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Power Inn\Finance\TCAC_CDLAC_Applications\~2021 Application &amp; Attachments\"/>
    </mc:Choice>
  </mc:AlternateContent>
  <xr:revisionPtr revIDLastSave="0" documentId="13_ncr:1_{555166D8-F416-4FED-AC8E-AC5B5E77D742}" xr6:coauthVersionLast="46" xr6:coauthVersionMax="46"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5" i="3" l="1"/>
  <c r="Z814" i="3" l="1"/>
  <c r="AH50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c r="BI713" i="3" s="1"/>
  <c r="AC739" i="3"/>
  <c r="AM739" i="3" s="1"/>
  <c r="BI714" i="3" s="1"/>
  <c r="AC740" i="3"/>
  <c r="AM740" i="3" s="1"/>
  <c r="BI715" i="3" s="1"/>
  <c r="AC741" i="3"/>
  <c r="AM741" i="3" s="1"/>
  <c r="BI716" i="3" s="1"/>
  <c r="AC742" i="3"/>
  <c r="AM742" i="3" s="1"/>
  <c r="BI717" i="3" s="1"/>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54" i="4" l="1"/>
  <c r="B77" i="4"/>
  <c r="N153" i="23"/>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<sst xmlns="http://schemas.openxmlformats.org/spreadsheetml/2006/main" count="5022" uniqueCount="2604">
  <si>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</si>
  <si>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</si>
  <si>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</si>
  <si>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</si>
  <si>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</si>
  <si>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</si>
  <si>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</si>
  <si>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</si>
  <si>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</si>
  <si>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</si>
  <si>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</si>
  <si>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</si>
  <si>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</si>
  <si>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</si>
  <si>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</si>
  <si>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</si>
  <si>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</si>
  <si>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</si>
  <si>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</si>
  <si>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</si>
  <si>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</si>
  <si>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</si>
  <si>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</si>
  <si>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</si>
  <si>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</si>
  <si>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</si>
  <si>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</si>
  <si>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</si>
  <si>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</si>
  <si>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</si>
  <si>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</si>
  <si>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</si>
  <si>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</si>
  <si>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</si>
  <si>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</si>
  <si>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</si>
  <si>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</si>
  <si>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</si>
  <si>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</si>
  <si>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</si>
  <si>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</si>
  <si>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</si>
  <si>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</si>
  <si>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</si>
  <si>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</si>
  <si>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</si>
  <si>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</si>
  <si>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</si>
  <si>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</si>
  <si>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</si>
  <si>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</si>
  <si>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</si>
  <si>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</si>
  <si>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</si>
  <si>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</si>
  <si>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</si>
  <si>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</si>
  <si>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</si>
  <si>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</si>
  <si>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</si>
  <si>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</si>
  <si>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</si>
  <si>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</si>
  <si>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</si>
  <si>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</si>
  <si>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</si>
  <si>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</si>
  <si>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</si>
  <si>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</si>
  <si>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</si>
  <si>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</si>
  <si>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</si>
  <si>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</si>
  <si>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</si>
  <si>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</si>
  <si>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</si>
  <si>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</si>
  <si>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</si>
  <si>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</si>
  <si>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</si>
  <si>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</si>
  <si>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</si>
  <si>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</si>
  <si>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</si>
  <si>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</si>
  <si>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</si>
  <si>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</si>
  <si>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</si>
  <si>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</si>
  <si>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</si>
  <si>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</si>
  <si>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</si>
  <si>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</si>
  <si>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</si>
  <si>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</si>
  <si>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</si>
  <si>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</si>
  <si>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</si>
  <si>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</si>
  <si>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</si>
  <si>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</si>
  <si>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</si>
  <si>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</si>
  <si>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</si>
  <si>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</si>
  <si>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</si>
  <si>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</si>
  <si>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</si>
  <si>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</si>
  <si>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</si>
  <si>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</si>
  <si>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</si>
  <si>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</si>
  <si>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</si>
  <si>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</si>
  <si>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</si>
  <si>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</si>
  <si>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</si>
  <si>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</si>
  <si>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</si>
  <si>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</si>
  <si>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</si>
  <si>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</si>
  <si>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</si>
  <si>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</si>
  <si>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</si>
  <si>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</si>
  <si>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</si>
  <si>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</si>
  <si>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</si>
  <si>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</si>
  <si>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</si>
  <si>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</si>
  <si>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</si>
  <si>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</si>
  <si>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</si>
  <si>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</si>
  <si>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</si>
  <si>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</si>
  <si>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</si>
  <si>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</si>
  <si>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</si>
  <si>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</si>
  <si>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</si>
  <si>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</si>
  <si>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</si>
  <si>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</si>
  <si>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</si>
  <si>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</si>
  <si>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</si>
  <si>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</si>
  <si>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</si>
  <si>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</si>
  <si>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</si>
  <si>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</si>
  <si>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</si>
  <si>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</si>
  <si>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</si>
  <si>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</si>
  <si>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</si>
  <si>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</si>
  <si>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</si>
  <si>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</si>
  <si>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</si>
  <si>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</si>
  <si>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</si>
  <si>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</si>
  <si>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</si>
  <si>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</si>
  <si>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</si>
  <si>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</si>
  <si>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</si>
  <si>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</si>
  <si>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</si>
  <si>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</si>
  <si>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</si>
  <si>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</si>
  <si>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</si>
  <si>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</si>
  <si>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</si>
  <si>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</si>
  <si>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</si>
  <si>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</si>
  <si>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</si>
  <si>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</si>
  <si>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</si>
  <si>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</si>
  <si>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</si>
  <si>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</si>
  <si>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</si>
  <si>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</si>
  <si>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</si>
  <si>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</si>
  <si>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</si>
  <si>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</si>
  <si>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</si>
  <si>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</si>
  <si>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</si>
  <si>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</si>
  <si>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</si>
  <si>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</si>
  <si>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</si>
  <si>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</si>
  <si>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</si>
  <si>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</si>
  <si>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</si>
  <si>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</si>
  <si>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</si>
  <si>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</si>
  <si>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</si>
  <si>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</si>
  <si>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</si>
  <si>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</si>
  <si>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</si>
  <si>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</si>
  <si>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</si>
  <si>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</si>
  <si>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</si>
  <si>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</si>
  <si>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</si>
  <si>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</si>
  <si>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</si>
  <si>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</si>
  <si>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</si>
  <si>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</si>
  <si>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</si>
  <si>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</si>
  <si>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</si>
  <si>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</si>
  <si>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</si>
  <si>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</si>
  <si>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</si>
  <si>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</si>
  <si>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</si>
  <si>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</si>
  <si>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</si>
  <si>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</si>
  <si>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</si>
  <si>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</si>
  <si>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</si>
  <si>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</si>
  <si>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</si>
  <si>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</si>
  <si>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</si>
  <si>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</si>
  <si>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</si>
  <si>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</si>
  <si>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</si>
  <si>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</si>
  <si>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</si>
  <si>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</si>
  <si>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</si>
  <si>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</si>
  <si>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</si>
  <si>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</si>
  <si>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</si>
  <si>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</si>
  <si>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</si>
  <si>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</si>
  <si>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</si>
  <si>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</si>
  <si>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</si>
  <si>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</si>
  <si>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</si>
  <si>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</si>
  <si>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</si>
  <si>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</si>
  <si>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</si>
  <si>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</si>
  <si>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</si>
  <si>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</si>
  <si>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</si>
  <si>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</si>
  <si>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</si>
  <si>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</si>
  <si>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</si>
  <si>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</si>
  <si>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</si>
  <si>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</si>
  <si>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</si>
  <si>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</si>
  <si>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</si>
  <si>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</si>
  <si>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</si>
  <si>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</si>
  <si>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</si>
  <si>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</si>
  <si>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</si>
  <si>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</si>
  <si>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</si>
  <si>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</si>
  <si>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</si>
  <si>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</si>
  <si>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</si>
  <si>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</si>
  <si>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</si>
  <si>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</si>
  <si>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</si>
  <si>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</si>
  <si>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</si>
  <si>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</si>
  <si>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</si>
  <si>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</si>
  <si>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</si>
  <si>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</si>
  <si>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</si>
  <si>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</si>
  <si>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</si>
  <si>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</si>
  <si>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</si>
  <si>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</si>
  <si>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</si>
  <si>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</si>
  <si>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</si>
  <si>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</si>
  <si>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</si>
  <si>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</si>
  <si>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</si>
  <si>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</si>
  <si>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</si>
  <si>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</si>
  <si>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</si>
  <si>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</si>
  <si>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</si>
  <si>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</si>
  <si>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</si>
  <si>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</si>
  <si>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</si>
  <si>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</si>
  <si>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</si>
  <si>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</si>
  <si>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</si>
  <si>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</si>
  <si>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</si>
  <si>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</si>
  <si>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</si>
  <si>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</si>
  <si>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</si>
  <si>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</si>
  <si>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</si>
  <si>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</si>
  <si>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</si>
  <si>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</si>
  <si>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</si>
  <si>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</si>
  <si>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</si>
  <si>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</si>
  <si>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</si>
  <si>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</si>
  <si>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</si>
  <si>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</si>
  <si>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</si>
  <si>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</si>
  <si>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</si>
  <si>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</si>
  <si>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</si>
  <si>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</si>
  <si>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</si>
  <si>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</si>
  <si>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</si>
  <si>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</si>
  <si>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</si>
  <si>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</si>
  <si>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</si>
  <si>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</si>
  <si>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</si>
  <si>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</si>
  <si>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</si>
  <si>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</si>
  <si>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</si>
  <si>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</si>
  <si>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</si>
  <si>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</si>
  <si>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</si>
  <si>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</si>
  <si>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</si>
  <si>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</si>
  <si>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</si>
  <si>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</si>
  <si>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</si>
  <si>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</si>
  <si>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</si>
  <si>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</si>
  <si>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</si>
  <si>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</si>
  <si>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</si>
  <si>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</si>
  <si>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</si>
  <si>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</si>
  <si>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</si>
  <si>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</si>
  <si>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</si>
  <si>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</si>
  <si>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</si>
  <si>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</si>
  <si>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</si>
  <si>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</si>
  <si>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</si>
  <si>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</si>
  <si>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</si>
  <si>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</si>
  <si>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</si>
  <si>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</si>
  <si>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</si>
  <si>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</si>
  <si>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</si>
  <si>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</si>
  <si>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</si>
  <si>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</si>
  <si>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</si>
  <si>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</si>
  <si>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</si>
  <si>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</si>
  <si>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</si>
  <si>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</si>
  <si>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</si>
  <si>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</si>
  <si>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</si>
  <si>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</si>
  <si>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</si>
  <si>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</si>
  <si>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</si>
  <si>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</si>
  <si>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</si>
  <si>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</si>
  <si>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</si>
  <si>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</si>
  <si>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</si>
  <si>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</si>
  <si>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</si>
  <si>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</si>
  <si>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</si>
  <si>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</si>
  <si>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</si>
  <si>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</si>
  <si>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</si>
  <si>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</si>
  <si>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</si>
  <si>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</si>
  <si>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</si>
  <si>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</si>
  <si>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</si>
  <si>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</si>
  <si>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</si>
  <si>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</si>
  <si>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</si>
  <si>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</si>
  <si>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</si>
  <si>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</si>
  <si>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</si>
  <si>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</si>
  <si>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</si>
  <si>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</si>
  <si>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</si>
  <si>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</si>
  <si>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</si>
  <si>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</si>
  <si>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</si>
  <si>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</si>
  <si>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</si>
  <si>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</si>
  <si>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</si>
  <si>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</si>
  <si>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</si>
  <si>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</si>
  <si>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</si>
  <si>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</si>
  <si>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</si>
  <si>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</si>
  <si>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</si>
  <si>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</si>
  <si>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</si>
  <si>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</si>
  <si>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</si>
  <si>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</si>
  <si>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</si>
  <si>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</si>
  <si>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</si>
  <si>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</si>
  <si>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</si>
  <si>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</si>
  <si>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</si>
  <si>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</si>
  <si>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</si>
  <si>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</si>
  <si>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</si>
  <si>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</si>
  <si>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</si>
  <si>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</si>
  <si>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</si>
  <si>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</si>
  <si>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</si>
  <si>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</si>
  <si>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</si>
  <si>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</si>
  <si>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</si>
  <si>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</si>
  <si>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</si>
  <si>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</si>
  <si>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</si>
  <si>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</si>
  <si>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</si>
  <si>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</si>
  <si>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</si>
  <si>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</si>
  <si>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</si>
  <si>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</si>
  <si>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</si>
  <si>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</si>
  <si>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</si>
  <si>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</si>
  <si>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</si>
  <si>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</si>
  <si>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</si>
  <si>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</si>
  <si>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</si>
  <si>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</si>
  <si>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</si>
  <si>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</si>
  <si>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</si>
  <si>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</si>
  <si>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</si>
  <si>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</si>
  <si>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</si>
  <si>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</si>
  <si>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</si>
  <si>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</si>
  <si>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</si>
  <si>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</si>
  <si>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</si>
  <si>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</si>
  <si>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</si>
  <si>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</si>
  <si>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</si>
  <si>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</si>
  <si>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</si>
  <si>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</si>
  <si>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</si>
  <si>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</si>
  <si>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</si>
  <si>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</si>
  <si>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</si>
  <si>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</si>
  <si>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</si>
  <si>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</si>
  <si>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</si>
  <si>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</si>
  <si>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</si>
  <si>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</si>
  <si>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</si>
  <si>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</si>
  <si>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</si>
  <si>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</si>
  <si>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</si>
  <si>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</si>
  <si>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</si>
  <si>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</si>
  <si>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</si>
  <si>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</si>
  <si>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</si>
  <si>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</si>
  <si>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</si>
  <si>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</si>
  <si>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</si>
  <si>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</si>
  <si>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</si>
  <si>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</si>
  <si>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</si>
  <si>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</si>
  <si>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</si>
  <si>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</si>
  <si>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</si>
  <si>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</si>
  <si>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</si>
  <si>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</si>
  <si>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</si>
  <si>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</si>
  <si>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</si>
  <si>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</si>
  <si>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</si>
  <si>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</si>
  <si>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</si>
  <si>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</si>
  <si>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</si>
  <si>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</si>
  <si>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</si>
  <si>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</si>
  <si>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</si>
  <si>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</si>
  <si>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</si>
  <si>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</si>
  <si>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</si>
  <si>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</si>
  <si>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</si>
  <si>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</si>
  <si>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</si>
  <si>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</si>
  <si>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</si>
  <si>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</si>
  <si>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</si>
  <si>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</si>
  <si>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</si>
  <si>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</si>
  <si>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</si>
  <si>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</si>
  <si>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</si>
  <si>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</si>
  <si>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</si>
  <si>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</si>
  <si>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</si>
  <si>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</si>
  <si>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</si>
  <si>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</si>
  <si>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</si>
  <si>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</si>
  <si>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</si>
  <si>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</si>
  <si>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</si>
  <si>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</si>
  <si>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</si>
  <si>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</si>
  <si>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</si>
  <si>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</si>
  <si>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</si>
  <si>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</si>
  <si>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</si>
  <si>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</si>
  <si>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</si>
  <si>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</si>
  <si>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</si>
  <si>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</si>
  <si>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</si>
  <si>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</si>
  <si>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</si>
  <si>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</si>
  <si>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</si>
  <si>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</si>
  <si>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</si>
  <si>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</si>
  <si>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</si>
  <si>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</si>
  <si>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</si>
  <si>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</si>
  <si>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</si>
  <si>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</si>
  <si>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</si>
  <si>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</si>
  <si>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</si>
  <si>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</si>
  <si>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</si>
  <si>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</si>
  <si>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</si>
  <si>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</si>
  <si>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</si>
  <si>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</si>
  <si>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</si>
  <si>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</si>
  <si>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</si>
  <si>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</si>
  <si>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</si>
  <si>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</si>
  <si>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</si>
  <si>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</si>
  <si>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</si>
  <si>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</si>
  <si>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</si>
  <si>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</si>
  <si>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</si>
  <si>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</si>
  <si>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</si>
  <si>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</si>
  <si>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</si>
  <si>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</si>
  <si>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</si>
  <si>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</si>
  <si>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</si>
  <si>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</si>
  <si>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</si>
  <si>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</si>
  <si>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</si>
  <si>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</si>
  <si>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</si>
  <si>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</si>
  <si>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</si>
  <si>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</si>
  <si>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</si>
  <si>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</si>
  <si>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</si>
  <si>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</si>
  <si>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</si>
  <si>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</si>
  <si>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</si>
  <si>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</si>
  <si>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</si>
  <si>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</si>
  <si>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</si>
  <si>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</si>
  <si>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</si>
  <si>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</si>
  <si>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</si>
  <si>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</si>
  <si>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</si>
  <si>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</si>
  <si>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</si>
  <si>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</si>
  <si>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</si>
  <si>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</si>
  <si>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</si>
  <si>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</si>
  <si>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</si>
  <si>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</si>
  <si>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</si>
  <si>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</si>
  <si>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</si>
  <si>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</si>
  <si>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</si>
  <si>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</si>
  <si>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</si>
  <si>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</si>
  <si>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</si>
  <si>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</si>
  <si>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</si>
  <si>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</si>
  <si>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</si>
  <si>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</si>
  <si>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</si>
  <si>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</si>
  <si>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</si>
  <si>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</si>
  <si>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</si>
  <si>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</si>
  <si>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</si>
  <si>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</si>
  <si>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</si>
  <si>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</si>
  <si>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</si>
  <si>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</si>
  <si>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</si>
  <si>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</si>
  <si>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</si>
  <si>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</si>
  <si>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</si>
  <si>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</si>
  <si>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</si>
  <si>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</si>
  <si>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</si>
  <si>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</si>
  <si>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</si>
  <si>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</si>
  <si>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</si>
  <si>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</si>
  <si>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</si>
  <si>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</si>
  <si>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</si>
  <si>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</si>
  <si>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</si>
  <si>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</si>
  <si>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</si>
  <si>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</si>
  <si>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</si>
  <si>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</si>
  <si>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</si>
  <si>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</si>
  <si>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</si>
  <si>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</si>
  <si>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</si>
  <si>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</si>
  <si>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</si>
  <si>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</si>
  <si>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</si>
  <si>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</si>
  <si>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</si>
  <si>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</si>
  <si>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</si>
  <si>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</si>
  <si>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</si>
  <si>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</si>
  <si>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</si>
  <si>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</si>
  <si>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</si>
  <si>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</si>
  <si>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</si>
  <si>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</si>
  <si>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</si>
  <si>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</si>
  <si>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</si>
  <si>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</si>
  <si>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</si>
  <si>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</si>
  <si>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</si>
  <si>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</si>
  <si>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</si>
  <si>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</si>
  <si>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</si>
  <si>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</si>
  <si>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</si>
  <si>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</si>
  <si>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</si>
  <si>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</si>
  <si>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</si>
  <si>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</si>
  <si>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</si>
  <si>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</si>
  <si>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</si>
  <si>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</si>
  <si>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</si>
  <si>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</si>
  <si>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</si>
  <si>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</si>
  <si>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</si>
  <si>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</si>
  <si>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</si>
  <si>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</si>
  <si>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</si>
  <si>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</si>
  <si>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</si>
  <si>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</si>
  <si>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</si>
  <si>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</si>
  <si>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</si>
  <si>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</si>
  <si>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</si>
  <si>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</si>
  <si>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</si>
  <si>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</si>
  <si>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</si>
  <si>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</si>
  <si>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</si>
  <si>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</si>
  <si>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</si>
  <si>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</si>
  <si>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</si>
  <si>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</si>
  <si>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</si>
  <si>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</si>
  <si>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</si>
  <si>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</si>
  <si>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</si>
  <si>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</si>
  <si>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</si>
  <si>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</si>
  <si>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</si>
  <si>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</si>
  <si>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</si>
  <si>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</si>
  <si>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</si>
  <si>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</si>
  <si>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</si>
  <si>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</si>
  <si>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</si>
  <si>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</si>
  <si>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</si>
  <si>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</si>
  <si>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</si>
  <si>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</si>
  <si>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</si>
  <si>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</si>
  <si>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</si>
  <si>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</si>
  <si>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</si>
  <si>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</si>
  <si>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</si>
  <si>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</si>
  <si>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</si>
  <si>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</si>
  <si>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</si>
  <si>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</si>
  <si>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</si>
  <si>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</si>
  <si>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</si>
  <si>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</si>
  <si>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</si>
  <si>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</si>
  <si>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</si>
  <si>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</si>
  <si>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</si>
  <si>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</si>
  <si>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</si>
  <si>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</si>
  <si>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</si>
  <si>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</si>
  <si>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</si>
  <si>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</si>
  <si>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</si>
  <si>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</si>
  <si>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</si>
  <si>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</si>
  <si>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</si>
  <si>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</si>
  <si>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</si>
  <si>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</si>
  <si>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</si>
  <si>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</si>
  <si>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</si>
  <si>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</si>
  <si>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</si>
  <si>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</si>
  <si>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</si>
  <si>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</si>
  <si>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</si>
  <si>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</si>
  <si>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</si>
  <si>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</si>
  <si>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</si>
  <si>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</si>
  <si>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</si>
  <si>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</si>
  <si>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</si>
  <si>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</si>
  <si>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</si>
  <si>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</si>
  <si>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</si>
  <si>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</si>
  <si>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</si>
  <si>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</si>
  <si>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</si>
  <si>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</si>
  <si>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</si>
  <si>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</si>
  <si>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</si>
  <si>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</si>
  <si>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</si>
  <si>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</si>
  <si>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</si>
  <si>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</si>
  <si>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</si>
  <si>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</si>
  <si>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</si>
  <si>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</si>
  <si>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</si>
  <si>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</si>
  <si>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</si>
  <si>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</si>
  <si>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</si>
  <si>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</si>
  <si>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</si>
  <si>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</si>
  <si>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</si>
  <si>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</si>
  <si>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</si>
  <si>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</si>
  <si>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</si>
  <si>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</si>
  <si>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</si>
  <si>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</si>
  <si>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</si>
  <si>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</si>
  <si>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</si>
  <si>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</si>
  <si>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</si>
  <si>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</si>
  <si>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</si>
  <si>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</si>
  <si>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</si>
  <si>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</si>
  <si>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</si>
  <si>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</si>
  <si>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</si>
  <si>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</si>
  <si>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</si>
  <si>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</si>
  <si>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</si>
  <si>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</si>
  <si>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</si>
  <si>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</si>
  <si>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</si>
  <si>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</si>
  <si>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</si>
  <si>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</si>
  <si>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</si>
  <si>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</si>
  <si>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</si>
  <si>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</si>
  <si>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</si>
  <si>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</si>
  <si>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</si>
  <si>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</si>
  <si>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</si>
  <si>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</si>
  <si>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</si>
  <si>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</si>
  <si>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</si>
  <si>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</si>
  <si>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</si>
  <si>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</si>
  <si>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</si>
  <si>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</si>
  <si>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</si>
  <si>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</si>
  <si>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</si>
  <si>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</si>
  <si>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</si>
  <si>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</si>
  <si>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</si>
  <si>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</si>
  <si>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</si>
  <si>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</si>
  <si>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</si>
  <si>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</si>
  <si>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</si>
  <si>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</si>
  <si>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</si>
  <si>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</si>
  <si>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</si>
  <si>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</si>
  <si>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</si>
  <si>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</si>
  <si>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</si>
  <si>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</si>
  <si>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</si>
  <si>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</si>
  <si>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</si>
  <si>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</si>
  <si>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</si>
  <si>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</si>
  <si>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</si>
  <si>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</si>
  <si>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</si>
  <si>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</si>
  <si>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</si>
  <si>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</si>
  <si>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</si>
  <si>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</si>
  <si>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</si>
  <si>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</si>
  <si>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</si>
  <si>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</si>
  <si>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</si>
  <si>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</si>
  <si>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</si>
  <si>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</si>
  <si>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</si>
  <si>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</si>
  <si>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</si>
  <si>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</si>
  <si>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</si>
  <si>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</si>
  <si>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</si>
  <si>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</si>
  <si>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</si>
  <si>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</si>
  <si>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</si>
  <si>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</si>
  <si>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</si>
  <si>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</si>
  <si>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</si>
  <si>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</si>
  <si>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</si>
  <si>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</si>
  <si>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</si>
  <si>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</si>
  <si>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</si>
  <si>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</si>
  <si>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</si>
  <si>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</si>
  <si>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</si>
  <si>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</si>
  <si>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</si>
  <si>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</si>
  <si>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</si>
  <si>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</si>
  <si>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</si>
  <si>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</si>
  <si>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</si>
  <si>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</si>
  <si>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</si>
  <si>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</si>
  <si>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</si>
  <si>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</si>
  <si>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</si>
  <si>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</si>
  <si>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</si>
  <si>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</si>
  <si>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</si>
  <si>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</si>
  <si>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</si>
  <si>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</si>
  <si>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</si>
  <si>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</si>
  <si>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</si>
  <si>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</si>
  <si>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</si>
  <si>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</si>
  <si>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</si>
  <si>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</si>
  <si>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</si>
  <si>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</si>
  <si>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</si>
  <si>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</si>
  <si>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</si>
  <si>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</si>
  <si>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</si>
  <si>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</si>
  <si>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</si>
  <si>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</si>
  <si>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</si>
  <si>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</si>
  <si>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</si>
  <si>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</si>
  <si>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</si>
  <si>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</si>
  <si>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</si>
  <si>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</si>
  <si>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</si>
  <si>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</si>
  <si>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</si>
  <si>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</si>
  <si>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</si>
  <si>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</si>
  <si>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</si>
  <si>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</si>
  <si>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</si>
  <si>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</si>
  <si>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</si>
  <si>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</si>
  <si>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</si>
  <si>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</si>
  <si>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</si>
  <si>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</si>
  <si>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</si>
  <si>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</si>
  <si>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</si>
  <si>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</si>
  <si>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</si>
  <si>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</si>
  <si>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</si>
  <si>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</si>
  <si>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</si>
  <si>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</si>
  <si>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</si>
  <si>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</si>
  <si>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</si>
  <si>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</si>
  <si>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</si>
  <si>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</si>
  <si>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</si>
  <si>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</si>
  <si>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</si>
  <si>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</si>
  <si>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</si>
  <si>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</si>
  <si>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</si>
  <si>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</si>
  <si>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</si>
  <si>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</si>
  <si>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</si>
  <si>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</si>
  <si>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</si>
  <si>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</si>
  <si>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</si>
  <si>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</si>
  <si>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</si>
  <si>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</si>
  <si>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</si>
  <si>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</si>
  <si>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</si>
  <si>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</si>
  <si>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</si>
  <si>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</si>
  <si>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</si>
  <si>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</si>
  <si>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</si>
  <si>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</si>
  <si>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</si>
  <si>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</si>
  <si>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</si>
  <si>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</si>
  <si>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</si>
  <si>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</si>
  <si>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</si>
  <si>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</si>
  <si>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</si>
  <si>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</si>
  <si>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</si>
  <si>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</si>
  <si>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</si>
  <si>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</si>
  <si>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</si>
  <si>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</si>
  <si>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</si>
  <si>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</si>
  <si>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</si>
  <si>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</si>
  <si>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</si>
  <si>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</si>
  <si>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</si>
  <si>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</si>
  <si>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</si>
  <si>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</si>
  <si>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</si>
  <si>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</si>
  <si>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</si>
  <si>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</si>
  <si>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</si>
  <si>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</si>
  <si>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</si>
  <si>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</si>
  <si>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</si>
  <si>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</si>
  <si>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</si>
  <si>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</si>
  <si>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</si>
  <si>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</si>
  <si>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</si>
  <si>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</si>
  <si>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</si>
  <si>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</si>
  <si>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</si>
  <si>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</si>
  <si>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</si>
  <si>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</si>
  <si>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</si>
  <si>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</si>
  <si>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</si>
  <si>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</si>
  <si>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</si>
  <si>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</si>
  <si>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</si>
  <si>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</si>
  <si>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</si>
  <si>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</si>
  <si>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</si>
  <si>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</si>
  <si>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</si>
  <si>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</si>
  <si>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</si>
  <si>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</si>
  <si>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</si>
  <si>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</si>
  <si>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</si>
  <si>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</si>
  <si>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</si>
  <si>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</si>
  <si>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</si>
  <si>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</si>
  <si>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</si>
  <si>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</si>
  <si>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</si>
  <si>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</si>
  <si>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</si>
  <si>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</si>
  <si>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</si>
  <si>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</si>
  <si>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</si>
  <si>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</si>
  <si>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</si>
  <si>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</si>
  <si>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</si>
  <si>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</si>
  <si>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</si>
  <si>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</si>
  <si>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</si>
  <si>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</si>
  <si>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</si>
  <si>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</si>
  <si>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</si>
  <si>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</si>
  <si>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</si>
  <si>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</si>
  <si>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</si>
  <si>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</si>
  <si>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</si>
  <si>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</si>
  <si>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</si>
  <si>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</si>
  <si>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</si>
  <si>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</si>
  <si>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</si>
  <si>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</si>
  <si>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</si>
  <si>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</si>
  <si>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</si>
  <si>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</si>
  <si>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</si>
  <si>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</si>
  <si>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</si>
  <si>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</si>
  <si>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</si>
  <si>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</si>
  <si>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</si>
  <si>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</si>
  <si>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</si>
  <si>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</si>
  <si>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</si>
  <si>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</si>
  <si>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</si>
  <si>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</si>
  <si>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</si>
  <si>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</si>
  <si>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</si>
  <si>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</si>
  <si>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</si>
  <si>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</si>
  <si>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</si>
  <si>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</si>
  <si>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</si>
  <si>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</si>
  <si>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</si>
  <si>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</si>
  <si>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</si>
  <si>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</si>
  <si>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</si>
  <si>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</si>
  <si>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</si>
  <si>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</si>
  <si>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</si>
  <si>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</si>
  <si>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</si>
  <si>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</si>
  <si>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</si>
  <si>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</si>
  <si>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</si>
  <si>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</si>
  <si>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</si>
  <si>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</si>
  <si>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</si>
  <si>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</si>
  <si>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</si>
  <si>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</si>
  <si>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</si>
  <si>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</si>
  <si>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</si>
  <si>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</si>
  <si>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</si>
  <si>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</si>
  <si>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</si>
  <si>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</si>
  <si>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</si>
  <si>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</si>
  <si>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</si>
  <si>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</si>
  <si>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</si>
  <si>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</si>
  <si>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</si>
  <si>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</si>
  <si>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</si>
  <si>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</si>
  <si>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</si>
  <si>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</si>
  <si>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</si>
  <si>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</si>
  <si>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</si>
  <si>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</si>
  <si>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</si>
  <si>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</si>
  <si>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</si>
  <si>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</si>
  <si>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</si>
  <si>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</si>
  <si>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</si>
  <si>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</si>
  <si>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</si>
  <si>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</si>
  <si>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</si>
  <si>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</si>
  <si>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</si>
  <si>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</si>
  <si>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</si>
  <si>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</si>
  <si>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</si>
  <si>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</si>
  <si>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</si>
  <si>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</si>
  <si>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</si>
  <si>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</si>
  <si>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</si>
  <si>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</si>
  <si>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</si>
  <si>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</si>
  <si>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</si>
  <si>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</si>
  <si>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</si>
  <si>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</si>
  <si>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</si>
  <si>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</si>
  <si>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</si>
  <si>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</si>
  <si>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</si>
  <si>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</si>
  <si>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</si>
  <si>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</si>
  <si>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</si>
  <si>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</si>
  <si>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</si>
  <si>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</si>
  <si>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</si>
  <si>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</si>
  <si>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</si>
  <si>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</si>
  <si>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</si>
  <si>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</si>
  <si>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</si>
  <si>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</si>
  <si>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</si>
  <si>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</si>
  <si>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</si>
  <si>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</si>
  <si>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</si>
  <si>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</si>
  <si>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</si>
  <si>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</si>
  <si>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</si>
  <si>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</si>
  <si>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</si>
  <si>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</si>
  <si>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</si>
  <si>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</si>
  <si>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</si>
  <si>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</si>
  <si>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</si>
  <si>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</si>
  <si>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</si>
  <si>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</si>
  <si>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</si>
  <si>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</si>
  <si>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</si>
  <si>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</si>
  <si>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</si>
  <si>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</si>
  <si>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</si>
  <si>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</si>
  <si>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</si>
  <si>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</si>
  <si>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</si>
  <si>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</si>
  <si>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</si>
  <si>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</si>
  <si>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</si>
  <si>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</si>
  <si>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</si>
  <si>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</si>
  <si>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</si>
  <si>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</si>
  <si>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</si>
  <si>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</si>
  <si>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</si>
  <si>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</si>
  <si>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</si>
  <si>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</si>
  <si>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</si>
  <si>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</si>
  <si>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</si>
  <si>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</si>
  <si>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</si>
  <si>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</si>
  <si>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</si>
  <si>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</si>
  <si>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</si>
  <si>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</si>
  <si>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</si>
  <si>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</si>
  <si>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</si>
  <si>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</si>
  <si>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</si>
  <si>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</si>
  <si>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</si>
  <si>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</si>
  <si>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</si>
  <si>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</si>
  <si>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</si>
  <si>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</si>
  <si>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</si>
  <si>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</si>
  <si>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</si>
  <si>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</si>
  <si>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</si>
  <si>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</si>
  <si>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</si>
  <si>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</si>
  <si>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</si>
  <si>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</si>
  <si>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</si>
  <si>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</si>
  <si>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</si>
  <si>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</si>
  <si>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</si>
  <si>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</si>
  <si>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</si>
  <si>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</si>
  <si>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</si>
  <si>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</si>
  <si>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</si>
  <si>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</si>
  <si>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</si>
  <si>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</si>
  <si>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</si>
  <si>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</si>
  <si>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</si>
  <si>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</si>
  <si>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</si>
  <si>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</si>
  <si>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</si>
  <si>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</si>
  <si>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</si>
  <si>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</si>
  <si>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</si>
  <si>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</si>
  <si>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</si>
  <si>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</si>
  <si>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</si>
  <si>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</si>
  <si>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</si>
  <si>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</si>
  <si>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</si>
  <si>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</si>
  <si>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</si>
  <si>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</si>
  <si>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</si>
  <si>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</si>
  <si>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</si>
  <si>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</si>
  <si>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</si>
  <si>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</si>
  <si>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</si>
  <si>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</si>
  <si>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</si>
  <si>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</si>
  <si>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</si>
  <si>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</si>
  <si>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</si>
  <si>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</si>
  <si>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</si>
  <si>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</si>
  <si>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</si>
  <si>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</si>
  <si>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</si>
  <si>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</si>
  <si>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</si>
  <si>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</si>
  <si>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</si>
  <si>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</si>
  <si>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</si>
  <si>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</si>
  <si>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</si>
  <si>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</si>
  <si>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</si>
  <si>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</si>
  <si>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</si>
  <si>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</si>
  <si>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</si>
  <si>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</si>
  <si>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</si>
  <si>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</si>
  <si>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</si>
  <si>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</si>
  <si>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</si>
  <si>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</si>
  <si>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</si>
  <si>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</si>
  <si>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</si>
  <si>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</si>
  <si>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</si>
  <si>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</si>
  <si>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</si>
  <si>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</si>
  <si>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</si>
  <si>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</si>
  <si>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</si>
  <si>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</si>
  <si>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</si>
  <si>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</si>
  <si>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</si>
  <si>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</si>
  <si>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</si>
  <si>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</si>
  <si>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</si>
  <si>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</si>
  <si>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</si>
  <si>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</si>
  <si>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</si>
  <si>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</si>
  <si>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</si>
  <si>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</si>
  <si>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</si>
  <si>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</si>
  <si>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</si>
  <si>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</si>
  <si>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</si>
  <si>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</si>
  <si>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</si>
  <si>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</si>
  <si>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</si>
  <si>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</si>
  <si>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</si>
  <si>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</si>
  <si>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</si>
  <si>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</si>
  <si>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</si>
  <si>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</si>
  <si>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</si>
  <si>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</si>
  <si>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</si>
  <si>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</si>
  <si>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</si>
  <si>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</si>
  <si>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</si>
  <si>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</si>
  <si>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</si>
  <si>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</si>
  <si>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</si>
  <si>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</si>
  <si>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</si>
  <si>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</si>
  <si>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</si>
  <si>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</si>
  <si>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</si>
  <si>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</si>
  <si>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</si>
  <si>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</si>
  <si>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</si>
  <si>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</si>
  <si>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</si>
  <si>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</si>
  <si>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</si>
  <si>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</si>
  <si>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</si>
  <si>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</si>
  <si>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</si>
  <si>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</si>
  <si>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</si>
  <si>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</si>
  <si>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</si>
  <si>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</si>
  <si>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</si>
  <si>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</si>
  <si>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</si>
  <si>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</si>
  <si>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</si>
  <si>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</si>
  <si>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</si>
  <si>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</si>
  <si>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</si>
  <si>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</si>
  <si>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</si>
  <si>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</si>
  <si>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</si>
  <si>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</si>
  <si>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</si>
  <si>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</si>
  <si>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</si>
  <si>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</si>
  <si>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</si>
  <si>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</si>
  <si>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</si>
  <si>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</si>
  <si>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</si>
  <si>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</si>
  <si>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</si>
  <si>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</si>
  <si>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</si>
  <si>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</si>
  <si>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</si>
  <si>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</si>
  <si>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</si>
  <si>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</si>
  <si>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</si>
  <si>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</si>
  <si>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</si>
  <si>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</si>
  <si>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</si>
  <si>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</si>
  <si>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</si>
  <si>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</si>
  <si>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</si>
  <si>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</si>
  <si>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</si>
  <si>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</si>
  <si>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</si>
  <si>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</si>
  <si>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</si>
  <si>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</si>
  <si>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</si>
  <si>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</si>
  <si>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</si>
  <si>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</si>
  <si>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</si>
  <si>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</si>
  <si>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</si>
  <si>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</si>
  <si>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</si>
  <si>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</si>
  <si>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</si>
  <si>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</si>
  <si>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</si>
  <si>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</si>
  <si>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</si>
  <si>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</si>
  <si>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</si>
  <si>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</si>
  <si>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</si>
  <si>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</si>
  <si>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</si>
  <si>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</si>
  <si>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</si>
  <si>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</si>
  <si>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</si>
  <si>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</si>
  <si>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</si>
  <si>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</si>
  <si>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</si>
  <si>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</si>
  <si>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</si>
  <si>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</si>
  <si>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</si>
  <si>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</si>
  <si>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</si>
  <si>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</si>
  <si>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</si>
  <si>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</si>
  <si>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</si>
  <si>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</si>
  <si>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</si>
  <si>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</si>
  <si>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</si>
  <si>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</si>
  <si>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</si>
  <si>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</si>
  <si>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</si>
  <si>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</si>
  <si>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</si>
  <si>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</si>
  <si>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</si>
  <si>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</si>
  <si>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</si>
  <si>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</si>
  <si>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</si>
  <si>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</si>
  <si>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</si>
  <si>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</si>
  <si>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</si>
  <si>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</si>
  <si>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</si>
  <si>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</si>
  <si>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</si>
  <si>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</si>
  <si>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</si>
  <si>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</si>
  <si>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</si>
  <si>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</si>
  <si>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</si>
  <si>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</si>
  <si>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</si>
  <si>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</si>
  <si>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</si>
  <si>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</si>
  <si>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</si>
  <si>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</si>
  <si>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</si>
  <si>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</si>
  <si>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</si>
  <si>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</si>
  <si>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</si>
  <si>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</si>
  <si>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</si>
  <si>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</si>
  <si>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</si>
  <si>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</si>
  <si>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</si>
  <si>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</si>
  <si>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</si>
  <si>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</si>
  <si>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</si>
  <si>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</si>
  <si>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</si>
  <si>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</si>
  <si>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</si>
  <si>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</si>
  <si>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</si>
  <si>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</si>
  <si>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</si>
  <si>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</si>
  <si>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</si>
  <si>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</si>
  <si>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</si>
  <si>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</si>
  <si>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</si>
  <si>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</si>
  <si>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</si>
  <si>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</si>
  <si>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</si>
  <si>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</si>
  <si>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</si>
  <si>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</si>
  <si>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</si>
  <si>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</si>
  <si>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</si>
  <si>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</si>
  <si>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</si>
  <si>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</si>
  <si>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</si>
  <si>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</si>
  <si>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</si>
  <si>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</si>
  <si>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</si>
  <si>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</si>
  <si>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</si>
  <si>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</si>
  <si>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</si>
  <si>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</si>
  <si>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</si>
  <si>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</si>
  <si>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</si>
  <si>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</si>
  <si>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</si>
  <si>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</si>
  <si>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</si>
  <si>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</si>
  <si>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</si>
  <si>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</si>
  <si>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</si>
  <si>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</si>
  <si>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</si>
  <si>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</si>
  <si>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</si>
  <si>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</si>
  <si>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</si>
  <si>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</si>
  <si>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</si>
  <si>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</si>
  <si>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</si>
  <si>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</si>
  <si>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</si>
  <si>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</si>
  <si>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</si>
  <si>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</si>
  <si>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</si>
  <si>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</si>
  <si>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</si>
  <si>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</si>
  <si>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</si>
  <si>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</si>
  <si>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</si>
  <si>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</si>
  <si>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</si>
  <si>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</si>
  <si>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</si>
  <si>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</si>
  <si>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</si>
  <si>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</si>
  <si>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</si>
  <si>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</si>
  <si>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</si>
  <si>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</si>
  <si>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</si>
  <si>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</si>
  <si>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</si>
  <si>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</si>
  <si>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</si>
  <si>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</si>
  <si>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</si>
  <si>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</si>
  <si>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</si>
  <si>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</si>
  <si>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</si>
  <si>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</si>
  <si>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</si>
  <si>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</si>
  <si>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</si>
  <si>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</si>
  <si>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</si>
  <si>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</si>
  <si>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</si>
  <si>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</si>
  <si>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</si>
  <si>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</si>
  <si>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</si>
  <si>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</si>
  <si>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</si>
  <si>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</si>
  <si>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</si>
  <si>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</si>
  <si>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</si>
  <si>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</si>
  <si>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</si>
  <si>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</si>
  <si>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</si>
  <si>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</si>
  <si>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</si>
  <si>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</si>
  <si>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</si>
  <si>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</si>
  <si>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</si>
  <si>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</si>
  <si>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</si>
  <si>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</si>
  <si>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</si>
  <si>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</si>
  <si>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</si>
  <si>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</si>
  <si>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</si>
  <si>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</si>
  <si>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</si>
  <si>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</si>
  <si>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</si>
  <si>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</si>
  <si>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</si>
  <si>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</si>
  <si>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</si>
  <si>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</si>
  <si>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</si>
  <si>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</si>
  <si>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</si>
  <si>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</si>
  <si>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</si>
  <si>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</si>
  <si>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</si>
  <si>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</si>
  <si>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</si>
  <si>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</si>
  <si>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</si>
  <si>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</si>
  <si>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</si>
  <si>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</si>
  <si>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</si>
  <si>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</si>
  <si>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</si>
  <si>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</si>
  <si>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</si>
  <si>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</si>
  <si>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</si>
  <si>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</si>
  <si>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</si>
  <si>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</si>
  <si>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</si>
  <si>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</si>
  <si>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</si>
  <si>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</si>
  <si>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</si>
  <si>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</si>
  <si>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</si>
  <si>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</si>
  <si>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</si>
  <si>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</si>
  <si>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</si>
  <si>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</si>
  <si>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</si>
  <si>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</si>
  <si>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</si>
  <si>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</si>
  <si>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</si>
  <si>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</si>
  <si>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</si>
  <si>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</si>
  <si>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</si>
  <si>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</si>
  <si>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</si>
  <si>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</si>
  <si>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</si>
  <si>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</si>
  <si>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</si>
  <si>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</si>
  <si>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</si>
  <si>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</si>
  <si>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</si>
  <si>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</si>
  <si>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</si>
  <si>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</si>
  <si>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</si>
  <si>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</si>
  <si>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</si>
  <si>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</si>
  <si>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</si>
  <si>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</si>
  <si>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</si>
  <si>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</si>
  <si>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</si>
  <si>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</si>
  <si>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</si>
  <si>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</si>
  <si>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</si>
  <si>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</si>
  <si>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</si>
  <si>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</si>
  <si>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</si>
  <si>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</si>
  <si>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</si>
  <si>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</si>
  <si>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</si>
  <si>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</si>
  <si>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</si>
  <si>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</si>
  <si>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</si>
  <si>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</si>
  <si>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</si>
  <si>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</si>
  <si>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</si>
  <si>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</si>
  <si>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</si>
  <si>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</si>
  <si>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</si>
  <si>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</si>
  <si>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</si>
  <si>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</si>
  <si>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</si>
  <si>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</si>
  <si>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</si>
  <si>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</si>
  <si>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</si>
  <si>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</si>
  <si>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</si>
  <si>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</si>
  <si>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</si>
  <si>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</si>
  <si>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</si>
  <si>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</si>
  <si>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</si>
  <si>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</si>
  <si>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</si>
  <si>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</si>
  <si>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</si>
  <si>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</si>
  <si>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</si>
  <si>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</si>
  <si>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</si>
  <si>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</si>
  <si>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</si>
  <si>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</si>
  <si>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</si>
  <si>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</si>
  <si>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</si>
  <si>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</si>
  <si>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</si>
  <si>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</si>
  <si>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</si>
  <si>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</si>
  <si>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</si>
  <si>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</si>
  <si>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</si>
  <si>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</si>
  <si>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</si>
  <si>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</si>
  <si>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</si>
  <si>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</si>
  <si>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</si>
  <si>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</si>
  <si>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</si>
  <si>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</si>
  <si>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</si>
  <si>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</si>
  <si>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</si>
  <si>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</si>
  <si>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</si>
  <si>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</si>
  <si>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</si>
  <si>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</si>
  <si>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</si>
  <si>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</si>
  <si>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</si>
  <si>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</si>
  <si>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</si>
  <si>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</si>
  <si>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</si>
  <si>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</si>
  <si>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</si>
  <si>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</si>
  <si>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</si>
  <si>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</si>
  <si>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</si>
  <si>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</si>
  <si>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</si>
  <si>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</si>
  <si>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</si>
  <si>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</si>
  <si>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</si>
  <si>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</si>
  <si>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</si>
  <si>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</si>
  <si>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</si>
  <si>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</si>
  <si>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</si>
  <si>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</si>
  <si>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</si>
  <si>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</si>
  <si>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</si>
  <si>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</si>
  <si>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</si>
  <si>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</si>
  <si>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</si>
  <si>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</si>
  <si>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</si>
  <si>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</si>
  <si>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</si>
  <si>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</si>
  <si>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</si>
  <si>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</si>
  <si>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</si>
  <si>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</si>
  <si>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</si>
  <si>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</si>
  <si>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</si>
  <si>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</si>
  <si>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</si>
  <si>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</si>
  <si>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</si>
  <si>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</si>
  <si>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</si>
  <si>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</si>
  <si>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</si>
  <si>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</si>
  <si>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</si>
  <si>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</si>
  <si>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</si>
  <si>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</si>
  <si>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</si>
  <si>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</si>
  <si>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</si>
  <si>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</si>
  <si>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</si>
  <si>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</si>
  <si>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</si>
  <si>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</si>
  <si>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</si>
  <si>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</si>
  <si>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</si>
  <si>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</si>
  <si>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</si>
  <si>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</si>
  <si>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</si>
  <si>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</si>
  <si>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</si>
  <si>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</si>
  <si>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</si>
  <si>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</si>
  <si>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</si>
  <si>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</si>
  <si>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</si>
  <si>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</si>
  <si>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</si>
  <si>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</si>
  <si>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</si>
  <si>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</si>
  <si>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</si>
  <si>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</si>
  <si>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</si>
  <si>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</si>
  <si>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</si>
  <si>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</si>
  <si>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</si>
  <si>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</si>
  <si>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</si>
  <si>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</si>
  <si>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</si>
  <si>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</si>
  <si>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</si>
  <si>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</si>
  <si>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</si>
  <si>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</si>
  <si>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</si>
  <si>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</si>
  <si>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</si>
  <si>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</si>
  <si>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</si>
  <si>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</si>
  <si>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</si>
  <si>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</si>
  <si>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</si>
  <si>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</si>
  <si>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</si>
  <si>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</si>
  <si>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</si>
  <si>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</si>
  <si>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</si>
  <si>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</si>
  <si>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</si>
  <si>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</si>
  <si>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</si>
  <si>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</si>
  <si>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</si>
  <si>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</si>
  <si>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</si>
  <si>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</si>
  <si>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</si>
  <si>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</si>
  <si>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</si>
  <si>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</si>
  <si>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</si>
  <si>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</si>
  <si>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</si>
  <si>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</si>
  <si>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</si>
  <si>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</si>
  <si>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</si>
  <si>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</si>
  <si>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</si>
  <si>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</si>
  <si>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</si>
  <si>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</si>
  <si>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</si>
  <si>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</si>
  <si>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</si>
  <si>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</si>
  <si>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</si>
  <si>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</si>
  <si>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</si>
  <si>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</si>
  <si>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</si>
  <si>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</si>
  <si>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</si>
  <si>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</si>
  <si>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</si>
  <si>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</si>
  <si>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</si>
  <si>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</si>
  <si>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</si>
  <si>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</si>
  <si>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</si>
  <si>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</si>
  <si>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</si>
  <si>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</si>
  <si>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</si>
  <si>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</si>
  <si>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</si>
  <si>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</si>
  <si>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</si>
  <si>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</si>
  <si>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</si>
  <si>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</si>
  <si>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</si>
  <si>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</si>
  <si>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</si>
  <si>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</si>
  <si>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</si>
  <si>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</si>
  <si>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</si>
  <si>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</si>
  <si>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</si>
  <si>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</si>
  <si>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</si>
  <si>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</si>
  <si>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</si>
  <si>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</si>
  <si>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</si>
  <si>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</si>
  <si>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</si>
  <si>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</si>
  <si>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</si>
  <si>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</si>
  <si>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</si>
  <si>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</si>
  <si>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</si>
  <si>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</si>
  <si>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</si>
  <si>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</si>
  <si>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</si>
  <si>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</si>
  <si>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</si>
  <si>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</si>
  <si>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</si>
  <si>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</si>
  <si>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</si>
  <si>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</si>
  <si>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</si>
  <si>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</si>
  <si>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</si>
  <si>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</si>
  <si>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</si>
  <si>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</si>
  <si>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</si>
  <si>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</si>
  <si>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</si>
  <si>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</si>
  <si>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</si>
  <si>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</si>
  <si>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</si>
  <si>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</si>
  <si>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</si>
  <si>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</si>
  <si>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</si>
  <si>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</si>
  <si>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</si>
  <si>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</si>
  <si>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</si>
  <si>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</si>
  <si>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</si>
  <si>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</si>
  <si>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</si>
  <si>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</si>
  <si>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</si>
  <si>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</si>
  <si>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</si>
  <si>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</si>
  <si>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</si>
  <si>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</si>
  <si>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</si>
  <si>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</si>
  <si>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</si>
  <si>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</si>
  <si>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</si>
  <si>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</si>
  <si>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</si>
  <si>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</si>
  <si>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</si>
  <si>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</si>
  <si>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</si>
  <si>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</si>
  <si>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</si>
  <si>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</si>
  <si>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</si>
  <si>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</si>
  <si>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</si>
  <si>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</si>
  <si>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</si>
  <si>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</si>
  <si>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</si>
  <si>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</si>
  <si>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</si>
  <si>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</si>
  <si>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</si>
  <si>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</si>
  <si>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</si>
  <si>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</si>
  <si>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</si>
  <si>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</si>
  <si>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</si>
  <si>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</si>
  <si>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</si>
  <si>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</si>
  <si>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</si>
  <si>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</si>
  <si>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</si>
  <si>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</si>
  <si>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</si>
  <si>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</si>
  <si>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</si>
  <si>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</si>
  <si>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</si>
  <si>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</si>
  <si>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</si>
  <si>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</si>
  <si>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</si>
  <si>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</si>
  <si>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</si>
  <si>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</si>
  <si>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</si>
  <si>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</si>
  <si>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</si>
  <si>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</si>
  <si>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</si>
  <si>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</si>
  <si>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</si>
  <si>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</si>
  <si>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</si>
  <si>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</si>
  <si>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</si>
  <si>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</si>
  <si>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</si>
  <si>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</si>
  <si>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</si>
  <si>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</si>
  <si>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</si>
  <si>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</si>
  <si>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</si>
  <si>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</si>
  <si>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</si>
  <si>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</si>
  <si>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</si>
  <si>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</si>
  <si>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</si>
  <si>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</si>
  <si>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</si>
  <si>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</si>
  <si>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</si>
  <si>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</si>
  <si>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</si>
  <si>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</si>
  <si>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</si>
  <si>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</si>
  <si>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</si>
  <si>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</si>
  <si>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</si>
  <si>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</si>
  <si>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</si>
  <si>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</si>
  <si>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</si>
  <si>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</si>
  <si>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</si>
  <si>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</si>
  <si>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</si>
  <si>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</si>
  <si>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</si>
  <si>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</si>
  <si>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</si>
  <si>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</si>
  <si>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</si>
  <si>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</si>
  <si>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</si>
  <si>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</si>
  <si>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</si>
  <si>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</si>
  <si>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</si>
  <si>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</si>
  <si>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</si>
  <si>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</si>
  <si>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</si>
  <si>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</si>
  <si>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</si>
  <si>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</si>
  <si>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</si>
  <si>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</si>
  <si>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</si>
  <si>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</si>
  <si>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</si>
  <si>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</si>
  <si>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</si>
  <si>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</si>
  <si>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</si>
  <si>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</si>
  <si>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</si>
  <si>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</si>
  <si>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</si>
  <si>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</si>
  <si>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</si>
  <si>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</si>
  <si>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</si>
  <si>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</si>
  <si>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</si>
  <si>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</si>
  <si>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</si>
  <si>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</si>
  <si>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</si>
  <si>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</si>
  <si>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</si>
  <si>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</si>
  <si>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</si>
  <si>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</si>
  <si>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</si>
  <si>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</si>
  <si>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</si>
  <si>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</si>
  <si>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</si>
  <si>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</si>
  <si>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</si>
  <si>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</si>
  <si>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</si>
  <si>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</si>
  <si>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</si>
  <si>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</si>
  <si>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</si>
  <si>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</si>
  <si>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</si>
  <si>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</si>
  <si>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</si>
  <si>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</si>
  <si>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</si>
  <si>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</si>
  <si>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</si>
  <si>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</si>
  <si>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</si>
  <si>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</si>
  <si>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</si>
  <si>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</si>
  <si>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</si>
  <si>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</si>
  <si>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</si>
  <si>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</si>
  <si>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</si>
  <si>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</si>
  <si>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</si>
  <si>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</si>
  <si>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</si>
  <si>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</si>
  <si>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</si>
  <si>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</si>
  <si>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Anton DevCo, Inc.</t>
  </si>
  <si>
    <t>Anton Power Inn</t>
  </si>
  <si>
    <t>CDLAC-TCAC Joint Application (submitting concurrently)</t>
  </si>
  <si>
    <t>7243 Power Inn Rd.</t>
  </si>
  <si>
    <t>051-0030-001-0000</t>
  </si>
  <si>
    <t>High Segregation &amp; Poverty</t>
  </si>
  <si>
    <t>$500M</t>
  </si>
  <si>
    <t>40%/60% Average Income</t>
  </si>
  <si>
    <t>CA</t>
  </si>
  <si>
    <t>Brandon Dinon</t>
  </si>
  <si>
    <t>916-730-4143</t>
  </si>
  <si>
    <t>bdinon@antondev.com</t>
  </si>
  <si>
    <t>1610 R Street, Suite 250</t>
  </si>
  <si>
    <t>1610 R St, Suite 250</t>
  </si>
  <si>
    <t>VA</t>
  </si>
  <si>
    <t>Co-General Partner</t>
  </si>
  <si>
    <t>1610 R Steet, Suite 250</t>
  </si>
  <si>
    <t>Sacramento, CA 95811</t>
  </si>
  <si>
    <t>Architecture Design Collaborative</t>
  </si>
  <si>
    <t>23231 South Pointe Dr.</t>
  </si>
  <si>
    <t>Laguna Hills, CA 92653</t>
  </si>
  <si>
    <t>Chris Weimholt</t>
  </si>
  <si>
    <t>949-267-1660</t>
  </si>
  <si>
    <t>cweimholt@adcollaborative.com</t>
  </si>
  <si>
    <t>Anton Building Company</t>
  </si>
  <si>
    <t>1676 N California Blvd, Suite 250</t>
  </si>
  <si>
    <t>Walnut Creek, CA 94596</t>
  </si>
  <si>
    <t>Andy Davidson</t>
  </si>
  <si>
    <t>650-549-1604</t>
  </si>
  <si>
    <t>adavidson@antondev.com</t>
  </si>
  <si>
    <t>CalHFA</t>
  </si>
  <si>
    <t>500 Capitol Mall, Suite 400, MS 990</t>
  </si>
  <si>
    <t>Sacramento, CA 95814</t>
  </si>
  <si>
    <t>Kevin Brown</t>
  </si>
  <si>
    <t>916-326-8808</t>
  </si>
  <si>
    <t>kbrown@calhfa.ca.gov</t>
  </si>
  <si>
    <t>Anton Residential</t>
  </si>
  <si>
    <t>Wes Carter</t>
  </si>
  <si>
    <t>650-241-1847</t>
  </si>
  <si>
    <t>wcarter@antondev.com</t>
  </si>
  <si>
    <t>Kelly Anne Commercial, LLC; Michael A. Digrazia; Thomas B. Halfaker; M&amp;MH L.P.</t>
  </si>
  <si>
    <t>Susan Halfaker, Michael DiGrazia</t>
  </si>
  <si>
    <t>Managing Member, Trustee</t>
  </si>
  <si>
    <t>Thomas Halfaker, Susan Halfaker</t>
  </si>
  <si>
    <t>Trustee, General Partner</t>
  </si>
  <si>
    <t>Other (Specify below)</t>
  </si>
  <si>
    <t>Special Planning Area: Old Florin Town, Residential 20</t>
  </si>
  <si>
    <t>Special Planning Area: Old Florin Town, Residential 25.7</t>
  </si>
  <si>
    <t>Site will be deed restricted as 100% affordable to tenants earning 70% AMI or less</t>
  </si>
  <si>
    <t>Fixed</t>
  </si>
  <si>
    <t>First</t>
  </si>
  <si>
    <t>NOI during Construction</t>
  </si>
  <si>
    <t>Deferred Reserve Funding</t>
  </si>
  <si>
    <t>NOI during lease up</t>
  </si>
  <si>
    <t>Telecom, Late fees, app fees, turnover</t>
  </si>
  <si>
    <t>Air Conditioning</t>
  </si>
  <si>
    <t>VCA Green</t>
  </si>
  <si>
    <t>Turnover</t>
  </si>
  <si>
    <t>General Admin Fees</t>
  </si>
  <si>
    <t>Professional Services</t>
  </si>
  <si>
    <t>Other: Washer &amp; Dryers</t>
  </si>
  <si>
    <t>Administrative GP</t>
  </si>
  <si>
    <t>Pacfic Housing, Inc.</t>
  </si>
  <si>
    <t>Managing GP</t>
  </si>
  <si>
    <t>2115 J Street, Suite 201</t>
  </si>
  <si>
    <t>916-638-5200</t>
  </si>
  <si>
    <t>mwiese@pacifichousing.org</t>
  </si>
  <si>
    <t>Mark Wiese</t>
  </si>
  <si>
    <t>1845 W. Orangewood Ave, Suite 220</t>
  </si>
  <si>
    <t>Orange, CA 92868</t>
  </si>
  <si>
    <t>Glen Folland</t>
  </si>
  <si>
    <t>714-363-4700</t>
  </si>
  <si>
    <t>gfolland@vca-green.com</t>
  </si>
  <si>
    <t>Medium Density Residential</t>
  </si>
  <si>
    <t>Not Applicable</t>
  </si>
  <si>
    <t>Provided</t>
  </si>
  <si>
    <t>Other: Audit</t>
  </si>
  <si>
    <t>Recycled Bonds</t>
  </si>
  <si>
    <t>The sponsor has previously developed affordable housing within the community in which the QRRP will be located in the past 20 years</t>
  </si>
  <si>
    <t>Trisha Malone</t>
  </si>
  <si>
    <t>Managing Partner and Chief Investment Officer</t>
  </si>
  <si>
    <t>Cox, Castle &amp; Nicholson</t>
  </si>
  <si>
    <t>50 California Street, Suite 3200</t>
  </si>
  <si>
    <t>San Francisco, CA 94111</t>
  </si>
  <si>
    <t>Ofer Elitzur</t>
  </si>
  <si>
    <t>oelitzur@coxcastle.com</t>
  </si>
  <si>
    <t>Novogradac &amp; Company, LLP</t>
  </si>
  <si>
    <t>2033 North Main Street, Suite 400</t>
  </si>
  <si>
    <t>Boston Financial Investment Management, LP</t>
  </si>
  <si>
    <t>8721 Sunset Boulevard, PH1</t>
  </si>
  <si>
    <t>Los Angeles, CA 90069</t>
  </si>
  <si>
    <t>Roy Faeber</t>
  </si>
  <si>
    <t>roy.faeber@bfim.com</t>
  </si>
  <si>
    <t>Mary Ellen Shay</t>
  </si>
  <si>
    <t>1724 10th Street, Suite 110</t>
  </si>
  <si>
    <t>M.E. Shay &amp; Co.</t>
  </si>
  <si>
    <t>meshay@meshayco.com</t>
  </si>
  <si>
    <t>Anton Residential, Inc.</t>
  </si>
  <si>
    <t>Sacramento, CA 95822</t>
  </si>
  <si>
    <t>937 Piedmont Dr</t>
  </si>
  <si>
    <t>Three story garden style multifamily</t>
  </si>
  <si>
    <t>Units with communications features</t>
  </si>
  <si>
    <t>45 feet</t>
  </si>
  <si>
    <t>455 Market Street, Suite 1460</t>
  </si>
  <si>
    <t>Michael Potter</t>
  </si>
  <si>
    <t>(415) 421-0500</t>
  </si>
  <si>
    <t>Construction</t>
  </si>
  <si>
    <t>Boston Financial - Tax Credit Equity</t>
  </si>
  <si>
    <t>8721 Sunset Blvd, PH1</t>
  </si>
  <si>
    <t>Roy Faerber</t>
  </si>
  <si>
    <t>Tax credit equity</t>
  </si>
  <si>
    <t>Align Finance - Series A1 New Bonds</t>
  </si>
  <si>
    <t>Align Finance - Series A2 Recycled Bonds</t>
  </si>
  <si>
    <t>Permanent</t>
  </si>
  <si>
    <t>Health/WC/Comissions</t>
  </si>
  <si>
    <t>Project revenues</t>
  </si>
  <si>
    <t>Pacific Housing, Inc</t>
  </si>
  <si>
    <t>Annual</t>
  </si>
  <si>
    <t>Resident services and coordination, after school programs</t>
  </si>
  <si>
    <t>Director of Acquisiions</t>
  </si>
  <si>
    <t>Operating Expenses</t>
  </si>
  <si>
    <t>Pacific Housing, Inc.</t>
  </si>
  <si>
    <t>Above residual receipts line for cash flow</t>
  </si>
  <si>
    <t>Sacramento County</t>
  </si>
  <si>
    <t>Leighann Moffitt</t>
  </si>
  <si>
    <t>Director</t>
  </si>
  <si>
    <t>827 7th Street, Room 225</t>
  </si>
  <si>
    <t>moffittl@saccounty.net​</t>
  </si>
  <si>
    <t>Holding Cost</t>
  </si>
  <si>
    <t>Contract TBD as we near permits</t>
  </si>
  <si>
    <t>Construction Inpections</t>
  </si>
  <si>
    <t>Administration</t>
  </si>
  <si>
    <t>Materials/Supplies</t>
  </si>
  <si>
    <t>Other: (Corporate Legal)</t>
  </si>
  <si>
    <t>Anton DevCo will use Anton Building Company as our GC. As we get closer to pulling permits we will execute a construction contract. Contractor has already recived pricing estimates on hard costs.</t>
  </si>
  <si>
    <t>310-860-4550</t>
  </si>
  <si>
    <t>Project costs paid at perm phase</t>
  </si>
  <si>
    <t>415-421-0500</t>
  </si>
  <si>
    <t xml:space="preserve">Align Finance - Taxable </t>
  </si>
  <si>
    <t>Project Revenues</t>
  </si>
  <si>
    <t>Parking Maintenance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</si>
</sst>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8" fillId="0" borderId="0" applyFont="0" applyFill="0" applyBorder="0" applyAlignment="0" applyProtection="0"/>
    <xf numFmtId="43" fontId="168"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12" fillId="0" borderId="0" xfId="570" applyFont="1" applyAlignment="1" applyProtection="1">
      <alignment horizontal="left" vertical="top" wrapText="1"/>
    </xf>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5"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164" fontId="12" fillId="0" borderId="0" xfId="4496" applyNumberFormat="1" applyFont="1" applyFill="1" applyBorder="1" applyAlignment="1" applyProtection="1">
      <alignment horizontal="left" vertical="top"/>
    </xf>
    <xf numFmtId="164" fontId="12" fillId="0" borderId="0" xfId="4496" applyNumberFormat="1" applyFont="1" applyFill="1" applyBorder="1" applyAlignment="1" applyProtection="1">
      <alignment horizontal="lef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6"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4" fontId="12" fillId="0" borderId="0" xfId="1193" applyNumberFormat="1" applyFont="1" applyFill="1" applyAlignment="1" applyProtection="1">
      <alignment horizontal="left" vertical="top" wrapText="1"/>
    </xf>
    <xf numFmtId="0" fontId="30" fillId="0" borderId="0" xfId="0" applyFont="1" applyFill="1" applyAlignment="1">
      <alignment horizontal="left"/>
    </xf>
    <xf numFmtId="0" fontId="30" fillId="0" borderId="0" xfId="0" applyFont="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4" fontId="12" fillId="0" borderId="0" xfId="1193" applyNumberFormat="1" applyFont="1" applyFill="1" applyAlignment="1" applyProtection="1">
      <alignment horizontal="left"/>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vertical="top" wrapText="1"/>
    </xf>
    <xf numFmtId="0" fontId="12"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2" fillId="0" borderId="0" xfId="0" applyNumberFormat="1" applyFont="1" applyFill="1" applyAlignment="1" applyProtection="1">
      <alignment horizontal="center"/>
    </xf>
    <xf numFmtId="0" fontId="12" fillId="0" borderId="0" xfId="1193" applyFont="1" applyAlignment="1">
      <alignment horizontal="left" wrapText="1"/>
    </xf>
    <xf numFmtId="49" fontId="12" fillId="0" borderId="0" xfId="1193" applyNumberFormat="1" applyFont="1" applyAlignment="1">
      <alignment horizontal="center"/>
    </xf>
    <xf numFmtId="49" fontId="12" fillId="0" borderId="0" xfId="1193" applyNumberFormat="1" applyFont="1" applyFill="1"/>
    <xf numFmtId="49" fontId="12" fillId="0" borderId="0" xfId="1193" applyNumberFormat="1" applyFont="1" applyAlignment="1" applyProtection="1">
      <alignment horizontal="center"/>
    </xf>
    <xf numFmtId="0" fontId="42" fillId="0" borderId="0" xfId="0" applyFont="1" applyAlignment="1">
      <alignment horizontal="left"/>
    </xf>
    <xf numFmtId="49" fontId="12" fillId="0" borderId="0" xfId="0" applyNumberFormat="1" applyFont="1" applyAlignment="1">
      <alignment horizontal="left" vertical="top" wrapText="1"/>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49" fillId="5" borderId="11" xfId="0" applyFont="1" applyFill="1" applyBorder="1" applyAlignment="1" applyProtection="1">
      <alignment horizontal="right" vertical="top" wrapText="1"/>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60" fillId="0" borderId="0" xfId="570" applyFont="1" applyAlignment="1">
      <alignment horizontal="center"/>
    </xf>
    <xf numFmtId="0" fontId="12" fillId="0" borderId="0" xfId="570" applyAlignment="1"/>
    <xf numFmtId="0" fontId="27" fillId="0" borderId="0" xfId="570" applyFont="1" applyAlignment="1">
      <alignment horizontal="center"/>
    </xf>
    <xf numFmtId="0" fontId="12" fillId="0" borderId="0" xfId="570" applyFont="1" applyAlignment="1">
      <alignment horizontal="left" wrapText="1"/>
    </xf>
    <xf numFmtId="0" fontId="12" fillId="0" borderId="0" xfId="570" applyAlignment="1">
      <alignment horizontal="left" wrapText="1"/>
    </xf>
    <xf numFmtId="0" fontId="12" fillId="0" borderId="0" xfId="1193" applyFont="1" applyAlignment="1">
      <alignment wrapText="1"/>
    </xf>
    <xf numFmtId="0" fontId="12" fillId="0" borderId="0" xfId="1193" applyAlignment="1">
      <alignment wrapText="1"/>
    </xf>
    <xf numFmtId="0" fontId="12" fillId="0" borderId="0" xfId="570" applyFont="1" applyAlignment="1"/>
    <xf numFmtId="0" fontId="12" fillId="0" borderId="0" xfId="0" applyFont="1" applyFill="1" applyBorder="1" applyAlignment="1">
      <alignment horizontal="left" vertical="center" wrapText="1"/>
    </xf>
    <xf numFmtId="0" fontId="19" fillId="0" borderId="4" xfId="0" applyFont="1" applyFill="1" applyBorder="1" applyAlignment="1" applyProtection="1">
      <alignment horizontal="left"/>
    </xf>
    <xf numFmtId="0" fontId="12" fillId="0" borderId="0" xfId="0" applyFont="1" applyFill="1" applyBorder="1" applyAlignment="1">
      <alignment horizontal="left" wrapText="1"/>
    </xf>
    <xf numFmtId="0" fontId="19" fillId="0" borderId="0" xfId="0" applyFont="1" applyAlignment="1">
      <alignment horizontal="left" vertical="top"/>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49" fontId="12" fillId="0" borderId="0" xfId="0" applyNumberFormat="1" applyFont="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0" fontId="12" fillId="0" borderId="0" xfId="1193" applyFont="1" applyAlignment="1">
      <alignment horizontal="left" wrapText="1"/>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9" fillId="0" borderId="0" xfId="0" applyFont="1" applyBorder="1" applyAlignment="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9" fillId="0" borderId="0" xfId="570" applyFont="1" applyAlignment="1">
      <alignment horizontal="left"/>
    </xf>
    <xf numFmtId="0" fontId="12" fillId="0" borderId="0" xfId="570"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30" fillId="0" borderId="0" xfId="570" applyFont="1" applyAlignment="1" applyProtection="1">
      <alignment horizontal="center"/>
    </xf>
    <xf numFmtId="0" fontId="12" fillId="0" borderId="0" xfId="570" applyFont="1" applyAlignment="1" applyProtection="1"/>
    <xf numFmtId="0" fontId="30" fillId="0" borderId="0" xfId="570" applyFont="1" applyFill="1" applyAlignment="1">
      <alignment horizontal="center"/>
    </xf>
    <xf numFmtId="0" fontId="12" fillId="0" borderId="0" xfId="570" applyFill="1" applyAlignment="1">
      <alignment horizontal="center"/>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570" applyFont="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lignment horizontal="left" wrapText="1"/>
    </xf>
    <xf numFmtId="0" fontId="12" fillId="0" borderId="0" xfId="1193" applyFont="1" applyAlignment="1" applyProtection="1">
      <alignment vertical="top" wrapText="1"/>
    </xf>
    <xf numFmtId="0" fontId="30" fillId="0" borderId="0" xfId="570" applyFont="1" applyFill="1" applyAlignment="1">
      <alignment horizontal="left"/>
    </xf>
    <xf numFmtId="0" fontId="0" fillId="5" borderId="4" xfId="0"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21" fillId="5" borderId="4" xfId="0" applyFont="1" applyFill="1" applyBorder="1" applyAlignment="1" applyProtection="1">
      <alignment horizontal="lef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0" fillId="0" borderId="6" xfId="0" applyFill="1" applyBorder="1" applyAlignment="1" applyProtection="1">
      <alignment horizontal="left"/>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0" fillId="44" borderId="4" xfId="0"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2"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21" fillId="5" borderId="5" xfId="0" applyFont="1" applyFill="1" applyBorder="1" applyAlignment="1" applyProtection="1">
      <alignment horizontal="lef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12" fillId="44"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2" borderId="11" xfId="0" applyFont="1" applyFill="1" applyBorder="1" applyAlignment="1" applyProtection="1">
      <alignment horizontal="center"/>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168" fontId="12" fillId="0" borderId="11" xfId="543" applyNumberFormat="1" applyFont="1"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 fontId="21" fillId="5" borderId="11" xfId="0" applyNumberFormat="1" applyFon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12"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8" fillId="3" borderId="0" xfId="0" applyFont="1" applyFill="1" applyBorder="1" applyAlignment="1" applyProtection="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1" xfId="0" applyFont="1" applyFill="1" applyBorder="1" applyAlignment="1" applyProtection="1">
      <alignment horizontal="center" vertical="top" wrapText="1"/>
    </xf>
    <xf numFmtId="0" fontId="45" fillId="0" borderId="0" xfId="0" applyFont="1" applyBorder="1" applyAlignment="1" applyProtection="1">
      <alignment horizontal="center"/>
    </xf>
    <xf numFmtId="0" fontId="12"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0" fontId="12"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2"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14" fontId="0" fillId="5" borderId="6" xfId="0" applyNumberFormat="1" applyFill="1" applyBorder="1" applyAlignment="1" applyProtection="1">
      <alignment horizontal="center"/>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31"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2" fontId="12" fillId="0" borderId="0" xfId="543" applyNumberFormat="1"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6" xfId="0" applyFont="1" applyBorder="1" applyAlignment="1" applyProtection="1">
      <alignment horizont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2" fillId="5" borderId="3"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2" fontId="12" fillId="0" borderId="0" xfId="543" applyNumberFormat="1" applyFont="1" applyFill="1" applyBorder="1" applyAlignment="1" applyProtection="1">
      <alignment horizontal="center"/>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0" fontId="21"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0" borderId="3" xfId="0" applyFont="1" applyBorder="1" applyAlignment="1" applyProtection="1">
      <alignment horizontal="left"/>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6" fontId="12"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12" fillId="0" borderId="6" xfId="0" applyFont="1" applyBorder="1" applyAlignment="1" applyProtection="1">
      <alignment horizontal="center"/>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21"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2" fillId="0" borderId="6" xfId="0" applyFont="1" applyFill="1" applyBorder="1" applyAlignment="1" applyProtection="1">
      <alignment horizontal="left"/>
    </xf>
    <xf numFmtId="0" fontId="21" fillId="0" borderId="6" xfId="0" applyFont="1" applyBorder="1" applyAlignment="1" applyProtection="1">
      <alignment horizontal="left"/>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3" fontId="21" fillId="5" borderId="11" xfId="0" applyNumberFormat="1" applyFont="1" applyFill="1"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1" xfId="0" applyFont="1" applyFill="1" applyBorder="1" applyAlignment="1" applyProtection="1">
      <alignment horizontal="center" vertical="top" wrapText="1"/>
    </xf>
    <xf numFmtId="0" fontId="12" fillId="0" borderId="6" xfId="0" applyFont="1" applyFill="1" applyBorder="1" applyAlignment="1" applyProtection="1">
      <alignment horizontal="left"/>
      <protection locked="0"/>
    </xf>
    <xf numFmtId="14" fontId="21" fillId="5" borderId="4" xfId="0" applyNumberFormat="1" applyFont="1" applyFill="1" applyBorder="1" applyAlignment="1" applyProtection="1">
      <alignment horizontal="right"/>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20" fillId="44" borderId="6"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1"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9" fillId="0" borderId="5" xfId="0" applyFont="1" applyFill="1" applyBorder="1" applyAlignment="1" applyProtection="1">
      <alignment horizontal="center"/>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0" borderId="5" xfId="0" applyBorder="1" applyAlignment="1" applyProtection="1">
      <alignment horizontal="left"/>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2" fillId="0" borderId="6" xfId="543" applyFont="1" applyBorder="1" applyAlignment="1" applyProtection="1">
      <alignment horizontal="left"/>
    </xf>
    <xf numFmtId="0" fontId="31" fillId="5" borderId="6" xfId="0" applyFont="1" applyFill="1" applyBorder="1" applyAlignment="1" applyProtection="1">
      <alignment horizontal="left"/>
      <protection locked="0"/>
    </xf>
    <xf numFmtId="168" fontId="21" fillId="0" borderId="11" xfId="0" applyNumberFormat="1" applyFont="1" applyFill="1" applyBorder="1" applyAlignment="1" applyProtection="1">
      <alignment horizontal="center"/>
    </xf>
    <xf numFmtId="0" fontId="12" fillId="5" borderId="6" xfId="0" applyFont="1" applyFill="1" applyBorder="1" applyAlignment="1" applyProtection="1">
      <alignment horizontal="left" vertical="top" wrapText="1"/>
      <protection locked="0"/>
    </xf>
    <xf numFmtId="168" fontId="12" fillId="0" borderId="3" xfId="0" applyNumberFormat="1" applyFont="1" applyFill="1" applyBorder="1" applyAlignment="1" applyProtection="1">
      <alignment horizontal="left" vertical="top"/>
    </xf>
    <xf numFmtId="0" fontId="21" fillId="5" borderId="11" xfId="0" applyFont="1" applyFill="1" applyBorder="1" applyAlignment="1" applyProtection="1">
      <alignment horizontal="center"/>
      <protection locked="0"/>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2" fillId="5" borderId="4" xfId="0" applyFont="1" applyFill="1"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21" fillId="0" borderId="4" xfId="0" applyFont="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4504" applyFont="1" applyFill="1" applyBorder="1" applyAlignment="1">
      <alignment horizontal="left" vertical="top"/>
    </xf>
    <xf numFmtId="14" fontId="5" fillId="48" borderId="68" xfId="4501" applyNumberFormat="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0" fontId="5" fillId="48" borderId="68" xfId="4501" applyFill="1" applyBorder="1" applyAlignment="1" applyProtection="1">
      <alignment horizontal="center"/>
      <protection locked="0"/>
    </xf>
    <xf numFmtId="0" fontId="98" fillId="45" borderId="74" xfId="4501" applyFont="1" applyFill="1" applyBorder="1" applyAlignment="1">
      <alignment horizontal="center"/>
    </xf>
    <xf numFmtId="0" fontId="98" fillId="45" borderId="75" xfId="4501" applyFont="1" applyFill="1" applyBorder="1" applyAlignment="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11"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50" fillId="45" borderId="5" xfId="4501" applyFont="1" applyFill="1" applyBorder="1" applyAlignment="1">
      <alignment horizontal="center"/>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81" xfId="4501" applyFont="1" applyFill="1" applyBorder="1" applyAlignment="1" applyProtection="1">
      <alignment horizontal="center"/>
      <protection locked="0"/>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48" borderId="11" xfId="450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 fillId="48" borderId="82" xfId="4501" applyFont="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82"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14" fontId="154" fillId="48" borderId="75" xfId="4501" applyNumberFormat="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3"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98" fillId="48" borderId="10" xfId="4501" applyFont="1" applyFill="1" applyBorder="1" applyAlignment="1" applyProtection="1">
      <alignment horizontal="center"/>
      <protection locked="0"/>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5" fillId="0" borderId="69" xfId="4501" applyBorder="1" applyAlignment="1"/>
    <xf numFmtId="0" fontId="5" fillId="0" borderId="70" xfId="4501" applyBorder="1" applyAlignment="1"/>
    <xf numFmtId="0" fontId="5" fillId="48" borderId="82" xfId="450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0" fontId="5" fillId="48" borderId="93"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149" fillId="45" borderId="79"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54" fillId="48" borderId="95" xfId="4501" applyFont="1" applyFill="1" applyBorder="1" applyAlignment="1" applyProtection="1">
      <alignment horizontal="center"/>
      <protection locked="0"/>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160" fillId="48" borderId="74"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60" fillId="48" borderId="82"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1" fontId="5" fillId="48" borderId="11" xfId="4501" applyNumberForma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5" fillId="48" borderId="5" xfId="450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5" fillId="48" borderId="13" xfId="4501" applyNumberFormat="1" applyFill="1" applyBorder="1" applyAlignment="1" applyProtection="1">
      <alignment horizontal="center"/>
      <protection locked="0"/>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81" xfId="4501" applyFont="1" applyFill="1" applyBorder="1" applyAlignment="1">
      <alignment horizontal="center"/>
    </xf>
    <xf numFmtId="0" fontId="154" fillId="48" borderId="68" xfId="450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14" fontId="154" fillId="48" borderId="73" xfId="4501" applyNumberFormat="1" applyFont="1" applyFill="1" applyBorder="1" applyAlignment="1" applyProtection="1">
      <alignment horizontal="center"/>
      <protection locked="0"/>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0" fontId="118" fillId="5" borderId="6" xfId="4497" applyFont="1" applyFill="1" applyBorder="1" applyAlignment="1" applyProtection="1">
      <alignment horizontal="center"/>
      <protection locked="0"/>
    </xf>
    <xf numFmtId="0" fontId="19" fillId="0" borderId="0" xfId="4496" applyFont="1" applyAlignment="1" applyProtection="1">
      <alignment horizontal="right"/>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0" xfId="4497" applyFont="1" applyAlignment="1">
      <alignment horizontal="left" vertical="center" wrapText="1"/>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2" fillId="0" borderId="11" xfId="4496" applyNumberFormat="1" applyFont="1" applyFill="1" applyBorder="1" applyAlignment="1" applyProtection="1">
      <alignment horizontal="center"/>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0" fontId="12" fillId="5" borderId="6" xfId="1193" applyFont="1" applyFill="1" applyBorder="1" applyAlignment="1" applyProtection="1">
      <alignment horizontal="left"/>
      <protection locked="0"/>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2" xfId="1193" applyNumberFormat="1" applyFont="1" applyFill="1" applyBorder="1" applyAlignment="1" applyProtection="1">
      <alignment horizontal="center"/>
      <protection locked="0"/>
    </xf>
    <xf numFmtId="9" fontId="12" fillId="5" borderId="4" xfId="1193" applyNumberFormat="1" applyFont="1" applyFill="1" applyBorder="1" applyAlignment="1" applyProtection="1">
      <alignment horizontal="left"/>
      <protection locked="0"/>
    </xf>
    <xf numFmtId="168" fontId="12" fillId="0" borderId="0" xfId="1193" applyNumberFormat="1" applyFont="1" applyBorder="1" applyAlignment="1" applyProtection="1">
      <alignment horizontal="right"/>
    </xf>
    <xf numFmtId="1" fontId="12" fillId="5" borderId="4" xfId="1193" applyNumberFormat="1" applyFont="1" applyFill="1" applyBorder="1" applyAlignment="1" applyProtection="1">
      <alignment horizontal="center"/>
      <protection locked="0"/>
    </xf>
    <xf numFmtId="0" fontId="145" fillId="0" borderId="6" xfId="1193" applyFont="1" applyBorder="1" applyAlignment="1" applyProtection="1">
      <alignment horizontal="center"/>
    </xf>
    <xf numFmtId="168" fontId="12" fillId="5" borderId="4" xfId="1193" applyNumberFormat="1" applyFont="1" applyFill="1" applyBorder="1" applyAlignment="1" applyProtection="1">
      <alignment horizontal="center"/>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168" fontId="12" fillId="44" borderId="6" xfId="543" applyNumberFormat="1" applyFont="1" applyFill="1" applyBorder="1" applyAlignment="1" applyProtection="1">
      <alignment horizontal="center"/>
      <protection locked="0"/>
    </xf>
    <xf numFmtId="0" fontId="12" fillId="0" borderId="0" xfId="1193" applyFont="1" applyBorder="1" applyAlignment="1" applyProtection="1">
      <alignment horizontal="right"/>
    </xf>
    <xf numFmtId="0" fontId="116" fillId="5" borderId="6" xfId="4496" applyFill="1" applyBorder="1" applyAlignment="1" applyProtection="1">
      <alignment horizontal="center"/>
      <protection locked="0"/>
    </xf>
    <xf numFmtId="164" fontId="12" fillId="0" borderId="50" xfId="4496" applyNumberFormat="1" applyFont="1" applyFill="1" applyBorder="1" applyAlignment="1" applyProtection="1">
      <alignment horizontal="left" vertical="top" wrapText="1"/>
    </xf>
    <xf numFmtId="164" fontId="12" fillId="0" borderId="51" xfId="4496" applyNumberFormat="1" applyFont="1" applyFill="1" applyBorder="1" applyAlignment="1" applyProtection="1">
      <alignment horizontal="left" vertical="top" wrapText="1"/>
    </xf>
    <xf numFmtId="164" fontId="12" fillId="0" borderId="52" xfId="4496" applyNumberFormat="1" applyFont="1" applyFill="1" applyBorder="1" applyAlignment="1" applyProtection="1">
      <alignment horizontal="left" vertical="top" wrapText="1"/>
    </xf>
    <xf numFmtId="164" fontId="12" fillId="0" borderId="57" xfId="4496" applyNumberFormat="1" applyFont="1" applyFill="1" applyBorder="1" applyAlignment="1" applyProtection="1">
      <alignment horizontal="left" vertical="top" wrapText="1"/>
    </xf>
    <xf numFmtId="164" fontId="12" fillId="0" borderId="58" xfId="4496" applyNumberFormat="1" applyFont="1" applyFill="1" applyBorder="1" applyAlignment="1" applyProtection="1">
      <alignment horizontal="left" vertical="top" wrapText="1"/>
    </xf>
    <xf numFmtId="164" fontId="12" fillId="0" borderId="59" xfId="4496" applyNumberFormat="1"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126" fillId="0" borderId="0" xfId="4496" applyFont="1" applyAlignment="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8" xfId="4496" applyFont="1" applyBorder="1" applyAlignment="1">
      <alignment horizontal="left" vertical="top" wrapText="1"/>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9" fillId="0" borderId="0" xfId="4496" applyFont="1" applyFill="1" applyBorder="1" applyAlignment="1" applyProtection="1">
      <alignment horizontal="center"/>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2" fillId="0" borderId="6" xfId="1193" applyFont="1" applyFill="1" applyBorder="1" applyAlignment="1" applyProtection="1">
      <alignment horizontal="left"/>
    </xf>
    <xf numFmtId="0" fontId="12" fillId="0" borderId="6" xfId="1193" applyFont="1" applyBorder="1" applyAlignment="1" applyProtection="1">
      <alignment horizontal="right"/>
    </xf>
    <xf numFmtId="4" fontId="20" fillId="0" borderId="0" xfId="4496" applyNumberFormat="1" applyFont="1" applyAlignment="1" applyProtection="1">
      <alignment horizontal="center"/>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0" fontId="28" fillId="0" borderId="2" xfId="4496" applyFont="1" applyFill="1" applyBorder="1" applyAlignment="1">
      <alignment horizontal="center"/>
    </xf>
    <xf numFmtId="0" fontId="28" fillId="0" borderId="6" xfId="4496" applyFont="1" applyFill="1" applyBorder="1" applyAlignment="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45" fillId="0" borderId="0" xfId="1193" applyFont="1" applyBorder="1" applyAlignment="1" applyProtection="1">
      <alignment horizontal="center"/>
    </xf>
    <xf numFmtId="4" fontId="20" fillId="0" borderId="6" xfId="4496" applyNumberFormat="1"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B03DEA3E-603E-480C-A136-FB16D9CC6758}"/>
    <cellStyle name="20% - Accent1 11" xfId="8718" xr:uid="{8877D640-6FAD-43FF-8C3C-0A6C97F730F9}"/>
    <cellStyle name="20% - Accent1 2" xfId="2" xr:uid="{00000000-0005-0000-0000-000002000000}"/>
    <cellStyle name="20% - Accent1 2 10" xfId="8719" xr:uid="{529D837C-B530-417F-AC86-A2032C8CCD48}"/>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E189CF89-D916-4FB3-95E7-22540E319869}"/>
    <cellStyle name="20% - Accent1 2 2 2 2 2 3" xfId="11280" xr:uid="{D71521A9-39E6-4FC6-996D-531B77525FD0}"/>
    <cellStyle name="20% - Accent1 2 2 2 2 3" xfId="4924" xr:uid="{00000000-0005-0000-0000-000008000000}"/>
    <cellStyle name="20% - Accent1 2 2 2 2 3 2" xfId="13353" xr:uid="{43D9CD7B-24A8-4DB9-B7A6-EA7060F03E8C}"/>
    <cellStyle name="20% - Accent1 2 2 2 2 4" xfId="9135" xr:uid="{719CAAF1-A888-4CA0-B39D-C3A90AC0CF65}"/>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580CBC91-F851-4A6A-A65F-3FB0E5D86086}"/>
    <cellStyle name="20% - Accent1 2 2 2 3 2 3" xfId="11693" xr:uid="{E2D9E3C9-D007-452B-936B-AB92E56304F7}"/>
    <cellStyle name="20% - Accent1 2 2 2 3 3" xfId="5337" xr:uid="{00000000-0005-0000-0000-00000C000000}"/>
    <cellStyle name="20% - Accent1 2 2 2 3 3 2" xfId="13766" xr:uid="{F98DD673-3461-4BB2-B9D2-074E3549C8D9}"/>
    <cellStyle name="20% - Accent1 2 2 2 3 4" xfId="9548" xr:uid="{812B4B80-21A3-453B-BF02-D5F40F9701F4}"/>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49E4736A-822C-4371-A7A0-3541F884C2AE}"/>
    <cellStyle name="20% - Accent1 2 2 2 4 2 3" xfId="12106" xr:uid="{9E7E1DB1-4A97-4D26-9EFA-CB4394108640}"/>
    <cellStyle name="20% - Accent1 2 2 2 4 3" xfId="5750" xr:uid="{00000000-0005-0000-0000-000010000000}"/>
    <cellStyle name="20% - Accent1 2 2 2 4 3 2" xfId="14179" xr:uid="{6ACFDF43-F44B-4CB3-A965-5C240F27757D}"/>
    <cellStyle name="20% - Accent1 2 2 2 4 4" xfId="9961" xr:uid="{2A74B7C7-6C85-4DB0-B639-9A9B4312ADEB}"/>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456382AD-7920-4D8F-B48A-0B5221115699}"/>
    <cellStyle name="20% - Accent1 2 2 2 5 2 3" xfId="12519" xr:uid="{E919D7FB-6417-4393-9FD8-244F0EA77713}"/>
    <cellStyle name="20% - Accent1 2 2 2 5 3" xfId="6163" xr:uid="{00000000-0005-0000-0000-000014000000}"/>
    <cellStyle name="20% - Accent1 2 2 2 5 3 2" xfId="14592" xr:uid="{D52A3F18-0AB8-45FC-BA25-B1E7B8184227}"/>
    <cellStyle name="20% - Accent1 2 2 2 5 4" xfId="10374" xr:uid="{D24FD24B-097E-4CE0-ACDC-9540CA6A117E}"/>
    <cellStyle name="20% - Accent1 2 2 2 6" xfId="2268" xr:uid="{00000000-0005-0000-0000-000015000000}"/>
    <cellStyle name="20% - Accent1 2 2 2 6 2" xfId="6576" xr:uid="{00000000-0005-0000-0000-000016000000}"/>
    <cellStyle name="20% - Accent1 2 2 2 6 2 2" xfId="15005" xr:uid="{C9152751-7F1E-44E8-8302-0143DCA767E6}"/>
    <cellStyle name="20% - Accent1 2 2 2 6 3" xfId="10787" xr:uid="{DB2F2584-D621-422F-8F32-63C7AA278E06}"/>
    <cellStyle name="20% - Accent1 2 2 2 7" xfId="4510" xr:uid="{00000000-0005-0000-0000-000017000000}"/>
    <cellStyle name="20% - Accent1 2 2 2 7 2" xfId="12939" xr:uid="{51E5DB80-5FD9-4F8D-859F-A45F6EEB1EB8}"/>
    <cellStyle name="20% - Accent1 2 2 2 8" xfId="8721" xr:uid="{6DEB1F17-84F4-4FF1-B06B-6FE6A86A018C}"/>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D6A681E5-2D68-4785-A2FB-0D7FEFED82EF}"/>
    <cellStyle name="20% - Accent1 2 2 3 2 3" xfId="11279" xr:uid="{C1421957-B91D-4D78-89AD-4171A7D331BD}"/>
    <cellStyle name="20% - Accent1 2 2 3 3" xfId="4923" xr:uid="{00000000-0005-0000-0000-00001B000000}"/>
    <cellStyle name="20% - Accent1 2 2 3 3 2" xfId="13352" xr:uid="{64FEF377-5F26-4E40-AC33-7A9429EFCA7A}"/>
    <cellStyle name="20% - Accent1 2 2 3 4" xfId="9134" xr:uid="{29CB47D9-6A7A-4706-9738-D28B90AE0890}"/>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A59D3446-07E6-42CD-8D6F-E3C8D1B3FC05}"/>
    <cellStyle name="20% - Accent1 2 2 4 2 3" xfId="11692" xr:uid="{32AFEABC-876D-4266-8505-3A4038FFE022}"/>
    <cellStyle name="20% - Accent1 2 2 4 3" xfId="5336" xr:uid="{00000000-0005-0000-0000-00001F000000}"/>
    <cellStyle name="20% - Accent1 2 2 4 3 2" xfId="13765" xr:uid="{E696F76E-90E7-4E1F-970C-BFEF4E64E728}"/>
    <cellStyle name="20% - Accent1 2 2 4 4" xfId="9547" xr:uid="{374C4009-E533-4E7A-AA63-0F231FADA947}"/>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18E7AB1C-0740-453B-AC1E-98AA13142FB6}"/>
    <cellStyle name="20% - Accent1 2 2 5 2 3" xfId="12105" xr:uid="{43CA8C74-2885-4C1D-927B-0E707F826191}"/>
    <cellStyle name="20% - Accent1 2 2 5 3" xfId="5749" xr:uid="{00000000-0005-0000-0000-000023000000}"/>
    <cellStyle name="20% - Accent1 2 2 5 3 2" xfId="14178" xr:uid="{A7A68C3A-3BB7-4E0D-A744-CB75611414B8}"/>
    <cellStyle name="20% - Accent1 2 2 5 4" xfId="9960" xr:uid="{0B300F11-1D62-44DA-B765-3451ACF25920}"/>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800F6DF7-7D1E-4958-8DB7-E1F589B9D130}"/>
    <cellStyle name="20% - Accent1 2 2 6 2 3" xfId="12518" xr:uid="{C7600325-DB65-4238-9836-7159A0C566F1}"/>
    <cellStyle name="20% - Accent1 2 2 6 3" xfId="6162" xr:uid="{00000000-0005-0000-0000-000027000000}"/>
    <cellStyle name="20% - Accent1 2 2 6 3 2" xfId="14591" xr:uid="{5A1BE19E-758B-48AF-A586-3CFB13DD1C6D}"/>
    <cellStyle name="20% - Accent1 2 2 6 4" xfId="10373" xr:uid="{92BDDE93-E501-43F5-8699-5259A617C00B}"/>
    <cellStyle name="20% - Accent1 2 2 7" xfId="2267" xr:uid="{00000000-0005-0000-0000-000028000000}"/>
    <cellStyle name="20% - Accent1 2 2 7 2" xfId="6575" xr:uid="{00000000-0005-0000-0000-000029000000}"/>
    <cellStyle name="20% - Accent1 2 2 7 2 2" xfId="15004" xr:uid="{C9666EB7-95BD-44E5-8AEE-C76A18867D1C}"/>
    <cellStyle name="20% - Accent1 2 2 7 3" xfId="10786" xr:uid="{5C921423-DAD3-4474-8B5B-75A6831B73F3}"/>
    <cellStyle name="20% - Accent1 2 2 8" xfId="4509" xr:uid="{00000000-0005-0000-0000-00002A000000}"/>
    <cellStyle name="20% - Accent1 2 2 8 2" xfId="12938" xr:uid="{B50E296A-36D7-4F7B-B247-5157F0A52A63}"/>
    <cellStyle name="20% - Accent1 2 2 9" xfId="8720" xr:uid="{83A107C0-E516-4D74-AE3F-6FB74B811E8A}"/>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3DF5F7DE-EAB5-4DC1-B6D0-FC3AA277A9C0}"/>
    <cellStyle name="20% - Accent1 2 3 2 2 3" xfId="11281" xr:uid="{05B75C15-304E-43A8-A182-31976B910B7C}"/>
    <cellStyle name="20% - Accent1 2 3 2 3" xfId="4925" xr:uid="{00000000-0005-0000-0000-00002F000000}"/>
    <cellStyle name="20% - Accent1 2 3 2 3 2" xfId="13354" xr:uid="{201171AF-85B3-4990-90F6-642E842A49DB}"/>
    <cellStyle name="20% - Accent1 2 3 2 4" xfId="9136" xr:uid="{DDCE56DE-D47C-4692-81A0-1D9D1039CBAE}"/>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8962EEE2-C34E-46EF-BEE3-5CBAA54099B6}"/>
    <cellStyle name="20% - Accent1 2 3 3 2 3" xfId="11694" xr:uid="{FD891A84-5261-47FC-BE1A-2999A90CCEB4}"/>
    <cellStyle name="20% - Accent1 2 3 3 3" xfId="5338" xr:uid="{00000000-0005-0000-0000-000033000000}"/>
    <cellStyle name="20% - Accent1 2 3 3 3 2" xfId="13767" xr:uid="{27B09132-C051-46F9-8FC0-AE6845704244}"/>
    <cellStyle name="20% - Accent1 2 3 3 4" xfId="9549" xr:uid="{CC47DC5E-5721-432E-AAE8-5EF22C7E98E2}"/>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E71AE64E-7D29-4FD5-9BDA-C26FBA44817F}"/>
    <cellStyle name="20% - Accent1 2 3 4 2 3" xfId="12107" xr:uid="{D375DAF1-C882-478F-AA2D-DA7F758753D3}"/>
    <cellStyle name="20% - Accent1 2 3 4 3" xfId="5751" xr:uid="{00000000-0005-0000-0000-000037000000}"/>
    <cellStyle name="20% - Accent1 2 3 4 3 2" xfId="14180" xr:uid="{1F6BCBF7-C972-4596-87E6-4563DF66B805}"/>
    <cellStyle name="20% - Accent1 2 3 4 4" xfId="9962" xr:uid="{0E15CD6B-8086-448C-8301-DC021E39A6B7}"/>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59890C84-3826-4C66-8B0A-899136306C99}"/>
    <cellStyle name="20% - Accent1 2 3 5 2 3" xfId="12520" xr:uid="{66149973-EBAB-437E-852D-AF0D88EFEA1F}"/>
    <cellStyle name="20% - Accent1 2 3 5 3" xfId="6164" xr:uid="{00000000-0005-0000-0000-00003B000000}"/>
    <cellStyle name="20% - Accent1 2 3 5 3 2" xfId="14593" xr:uid="{57C59785-FE65-49CB-ABE5-DB1898131DA8}"/>
    <cellStyle name="20% - Accent1 2 3 5 4" xfId="10375" xr:uid="{5A4D863A-C661-4C9B-9ABF-5CADA1635030}"/>
    <cellStyle name="20% - Accent1 2 3 6" xfId="2269" xr:uid="{00000000-0005-0000-0000-00003C000000}"/>
    <cellStyle name="20% - Accent1 2 3 6 2" xfId="6577" xr:uid="{00000000-0005-0000-0000-00003D000000}"/>
    <cellStyle name="20% - Accent1 2 3 6 2 2" xfId="15006" xr:uid="{76E3B9A1-E65D-45BF-836E-00AF29E01684}"/>
    <cellStyle name="20% - Accent1 2 3 6 3" xfId="10788" xr:uid="{12FF0CA4-5560-4644-BF21-941C686A7AFD}"/>
    <cellStyle name="20% - Accent1 2 3 7" xfId="4511" xr:uid="{00000000-0005-0000-0000-00003E000000}"/>
    <cellStyle name="20% - Accent1 2 3 7 2" xfId="12940" xr:uid="{A36FDD94-3F53-4D45-996A-7341FAA385E6}"/>
    <cellStyle name="20% - Accent1 2 3 8" xfId="8722" xr:uid="{534F4950-033D-4F49-B0E8-4369FAE5D30D}"/>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ACEC5CC4-92AE-477D-B6B5-EFF03B697F3E}"/>
    <cellStyle name="20% - Accent1 2 4 2 3" xfId="11278" xr:uid="{2839FC7E-04AC-48EF-85C5-4600909CF193}"/>
    <cellStyle name="20% - Accent1 2 4 3" xfId="4922" xr:uid="{00000000-0005-0000-0000-000042000000}"/>
    <cellStyle name="20% - Accent1 2 4 3 2" xfId="13351" xr:uid="{DDE17FB3-C2D4-4935-B070-53AB2A0A4E95}"/>
    <cellStyle name="20% - Accent1 2 4 4" xfId="9133" xr:uid="{68AC7685-F750-4D7F-85C3-D35FC6725279}"/>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970BC9A5-F8B1-4CC3-8CC4-3FED5071A892}"/>
    <cellStyle name="20% - Accent1 2 5 2 3" xfId="11691" xr:uid="{3C90357A-1A50-4600-9978-BEC46E978DF6}"/>
    <cellStyle name="20% - Accent1 2 5 3" xfId="5335" xr:uid="{00000000-0005-0000-0000-000046000000}"/>
    <cellStyle name="20% - Accent1 2 5 3 2" xfId="13764" xr:uid="{B09EF3BB-CBA4-434D-A342-20201561A60E}"/>
    <cellStyle name="20% - Accent1 2 5 4" xfId="9546" xr:uid="{849A9E04-DC3A-4EEB-A7CD-40D1F8F784D8}"/>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D3E44990-8E4B-4564-A8B6-444D5D745676}"/>
    <cellStyle name="20% - Accent1 2 6 2 3" xfId="12104" xr:uid="{F5045C0D-9666-4A02-8E7A-ED97E42386F2}"/>
    <cellStyle name="20% - Accent1 2 6 3" xfId="5748" xr:uid="{00000000-0005-0000-0000-00004A000000}"/>
    <cellStyle name="20% - Accent1 2 6 3 2" xfId="14177" xr:uid="{8EF5BFE6-CE09-48C2-B003-1EAA79457C46}"/>
    <cellStyle name="20% - Accent1 2 6 4" xfId="9959" xr:uid="{B1DA33B9-92F2-43E6-9EDF-C3719ABE4DBA}"/>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CF51D3E0-2164-4F16-B236-39EABC8C2D20}"/>
    <cellStyle name="20% - Accent1 2 7 2 3" xfId="12517" xr:uid="{5B2EFCBD-EE20-4FAA-8F39-7410B7A30DBE}"/>
    <cellStyle name="20% - Accent1 2 7 3" xfId="6161" xr:uid="{00000000-0005-0000-0000-00004E000000}"/>
    <cellStyle name="20% - Accent1 2 7 3 2" xfId="14590" xr:uid="{2A48E7AA-0062-4860-8C48-1EB6DCD6609A}"/>
    <cellStyle name="20% - Accent1 2 7 4" xfId="10372" xr:uid="{E5DA8A48-5CF8-4A93-8DBA-AF23FB1AEF68}"/>
    <cellStyle name="20% - Accent1 2 8" xfId="2266" xr:uid="{00000000-0005-0000-0000-00004F000000}"/>
    <cellStyle name="20% - Accent1 2 8 2" xfId="6574" xr:uid="{00000000-0005-0000-0000-000050000000}"/>
    <cellStyle name="20% - Accent1 2 8 2 2" xfId="15003" xr:uid="{6DABF929-3302-499D-83E0-60AB4D898624}"/>
    <cellStyle name="20% - Accent1 2 8 3" xfId="10785" xr:uid="{A780AFD4-733E-4CE9-ADAA-62F1E2249CC3}"/>
    <cellStyle name="20% - Accent1 2 9" xfId="4508" xr:uid="{00000000-0005-0000-0000-000051000000}"/>
    <cellStyle name="20% - Accent1 2 9 2" xfId="12937" xr:uid="{CE06ED12-A3FE-4114-97A8-7A8A6B785A22}"/>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F5D57302-6447-4686-8060-098100D0EC35}"/>
    <cellStyle name="20% - Accent1 3 2 2 2 3" xfId="11283" xr:uid="{0AFBA3FD-27A5-47B3-8D9C-7AA76AAA5D2A}"/>
    <cellStyle name="20% - Accent1 3 2 2 3" xfId="4927" xr:uid="{00000000-0005-0000-0000-000057000000}"/>
    <cellStyle name="20% - Accent1 3 2 2 3 2" xfId="13356" xr:uid="{7F3CD9AB-8AD2-4E8B-B498-70A22B0CF65B}"/>
    <cellStyle name="20% - Accent1 3 2 2 4" xfId="9138" xr:uid="{9C6DAF82-443F-43EB-9445-FDCA3117E56E}"/>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C8D3259C-CDD2-4263-A665-E2CE872DBF32}"/>
    <cellStyle name="20% - Accent1 3 2 3 2 3" xfId="11696" xr:uid="{003971CE-ADCE-4715-AFCE-19D149BFFCF6}"/>
    <cellStyle name="20% - Accent1 3 2 3 3" xfId="5340" xr:uid="{00000000-0005-0000-0000-00005B000000}"/>
    <cellStyle name="20% - Accent1 3 2 3 3 2" xfId="13769" xr:uid="{E0A635A5-6E8E-428A-BA2A-13A704F8CB24}"/>
    <cellStyle name="20% - Accent1 3 2 3 4" xfId="9551" xr:uid="{E988FAD6-1D1E-4FB4-B389-277E4DFEB8B7}"/>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FFB3317F-CEEA-466F-BE9F-8C10B9358098}"/>
    <cellStyle name="20% - Accent1 3 2 4 2 3" xfId="12109" xr:uid="{67D851B4-230A-415F-B057-5409F49F6A15}"/>
    <cellStyle name="20% - Accent1 3 2 4 3" xfId="5753" xr:uid="{00000000-0005-0000-0000-00005F000000}"/>
    <cellStyle name="20% - Accent1 3 2 4 3 2" xfId="14182" xr:uid="{F13DC62B-93F1-4AAC-9201-7C9D810C83C4}"/>
    <cellStyle name="20% - Accent1 3 2 4 4" xfId="9964" xr:uid="{858606C1-5381-4DD6-97C1-3C6391AF687A}"/>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AC2DEBF2-9E0B-4C0A-B4D0-8C2367B27B83}"/>
    <cellStyle name="20% - Accent1 3 2 5 2 3" xfId="12522" xr:uid="{B5781665-EFCE-4C29-A61A-0009A31F332C}"/>
    <cellStyle name="20% - Accent1 3 2 5 3" xfId="6166" xr:uid="{00000000-0005-0000-0000-000063000000}"/>
    <cellStyle name="20% - Accent1 3 2 5 3 2" xfId="14595" xr:uid="{EE11C5D6-0B8F-4B9F-9970-E90D39931257}"/>
    <cellStyle name="20% - Accent1 3 2 5 4" xfId="10377" xr:uid="{AF1396A7-D7FF-4925-A9C4-FD8DFC4AA296}"/>
    <cellStyle name="20% - Accent1 3 2 6" xfId="2271" xr:uid="{00000000-0005-0000-0000-000064000000}"/>
    <cellStyle name="20% - Accent1 3 2 6 2" xfId="6579" xr:uid="{00000000-0005-0000-0000-000065000000}"/>
    <cellStyle name="20% - Accent1 3 2 6 2 2" xfId="15008" xr:uid="{93B85DF9-D12C-4C0A-8723-97E51C9F5092}"/>
    <cellStyle name="20% - Accent1 3 2 6 3" xfId="10790" xr:uid="{4C3465DB-34CD-4147-A489-18B3E4EA9D6C}"/>
    <cellStyle name="20% - Accent1 3 2 7" xfId="4513" xr:uid="{00000000-0005-0000-0000-000066000000}"/>
    <cellStyle name="20% - Accent1 3 2 7 2" xfId="12942" xr:uid="{9FE33197-5D0D-4FA7-9A78-238443967C84}"/>
    <cellStyle name="20% - Accent1 3 2 8" xfId="8724" xr:uid="{D8DFFC58-E04A-401E-987E-2E1C91FBE2BA}"/>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FC811FFA-C90E-4576-87E5-4E5C93E116E1}"/>
    <cellStyle name="20% - Accent1 3 3 2 3" xfId="11282" xr:uid="{F9D8D678-1682-4CB5-8BEA-16B85A98C7A0}"/>
    <cellStyle name="20% - Accent1 3 3 3" xfId="4926" xr:uid="{00000000-0005-0000-0000-00006A000000}"/>
    <cellStyle name="20% - Accent1 3 3 3 2" xfId="13355" xr:uid="{D65BF708-C093-464F-98D4-2D7F9A6E0CCC}"/>
    <cellStyle name="20% - Accent1 3 3 4" xfId="9137" xr:uid="{A9ADCD08-3292-4FEF-BDE7-7F3B938FF687}"/>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55212FCD-3392-44E4-B3BB-43122326A06C}"/>
    <cellStyle name="20% - Accent1 3 4 2 3" xfId="11695" xr:uid="{BE46C31A-E066-4E85-A9B6-43A22C668A76}"/>
    <cellStyle name="20% - Accent1 3 4 3" xfId="5339" xr:uid="{00000000-0005-0000-0000-00006E000000}"/>
    <cellStyle name="20% - Accent1 3 4 3 2" xfId="13768" xr:uid="{C1682464-0727-4356-A98E-4E066EED0A0F}"/>
    <cellStyle name="20% - Accent1 3 4 4" xfId="9550" xr:uid="{77EC03CC-7481-4AEC-94C3-3C26ECCD9460}"/>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37A62D37-756A-494C-8B17-A8B70D784BAA}"/>
    <cellStyle name="20% - Accent1 3 5 2 3" xfId="12108" xr:uid="{B06B40EB-2772-4333-8644-E098C2997BE2}"/>
    <cellStyle name="20% - Accent1 3 5 3" xfId="5752" xr:uid="{00000000-0005-0000-0000-000072000000}"/>
    <cellStyle name="20% - Accent1 3 5 3 2" xfId="14181" xr:uid="{A94AAA6B-04E7-4A76-8DFA-9817F8E380F4}"/>
    <cellStyle name="20% - Accent1 3 5 4" xfId="9963" xr:uid="{56DFBC92-6784-4A59-8678-092DD3A4FD64}"/>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1FC7CE3E-4A12-4540-AA63-18FF5AC337A3}"/>
    <cellStyle name="20% - Accent1 3 6 2 3" xfId="12521" xr:uid="{27D72C6B-36A2-4553-94CD-BFB68ECDDFBA}"/>
    <cellStyle name="20% - Accent1 3 6 3" xfId="6165" xr:uid="{00000000-0005-0000-0000-000076000000}"/>
    <cellStyle name="20% - Accent1 3 6 3 2" xfId="14594" xr:uid="{5EA121CA-8EE4-4BC3-9C9D-E14F174EFB2E}"/>
    <cellStyle name="20% - Accent1 3 6 4" xfId="10376" xr:uid="{534A8141-6801-4493-9518-BFD3205C078C}"/>
    <cellStyle name="20% - Accent1 3 7" xfId="2270" xr:uid="{00000000-0005-0000-0000-000077000000}"/>
    <cellStyle name="20% - Accent1 3 7 2" xfId="6578" xr:uid="{00000000-0005-0000-0000-000078000000}"/>
    <cellStyle name="20% - Accent1 3 7 2 2" xfId="15007" xr:uid="{A81D34A5-4CB5-4FAC-B5FB-841958B35DAA}"/>
    <cellStyle name="20% - Accent1 3 7 3" xfId="10789" xr:uid="{5EEAE44B-39A2-4F32-A0C1-C0F9FC19A1D9}"/>
    <cellStyle name="20% - Accent1 3 8" xfId="4512" xr:uid="{00000000-0005-0000-0000-000079000000}"/>
    <cellStyle name="20% - Accent1 3 8 2" xfId="12941" xr:uid="{C4F3675D-E9CB-45E9-A670-9AE2AAF81102}"/>
    <cellStyle name="20% - Accent1 3 9" xfId="8723" xr:uid="{9F1944DF-8A8E-4668-864E-C3B19ACDFDD9}"/>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F5DD10C2-AB3D-44D4-97E8-A2F6EBDC1304}"/>
    <cellStyle name="20% - Accent1 4 2 2 3" xfId="11284" xr:uid="{E7B7677F-E025-4C56-9369-3E61A4E9426C}"/>
    <cellStyle name="20% - Accent1 4 2 3" xfId="4928" xr:uid="{00000000-0005-0000-0000-00007E000000}"/>
    <cellStyle name="20% - Accent1 4 2 3 2" xfId="13357" xr:uid="{DE789D38-AB54-4AD1-92E6-23BCD5322A9E}"/>
    <cellStyle name="20% - Accent1 4 2 4" xfId="9139" xr:uid="{C4C77ECD-C36E-47CE-99FA-D7853C777E14}"/>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1181DB49-7042-4619-8766-6E02B6D0ECF1}"/>
    <cellStyle name="20% - Accent1 4 3 2 3" xfId="11697" xr:uid="{C880DA9B-9007-440D-8413-7C6A8521AF4F}"/>
    <cellStyle name="20% - Accent1 4 3 3" xfId="5341" xr:uid="{00000000-0005-0000-0000-000082000000}"/>
    <cellStyle name="20% - Accent1 4 3 3 2" xfId="13770" xr:uid="{B2D5D307-3221-4836-A424-2AF965048CEB}"/>
    <cellStyle name="20% - Accent1 4 3 4" xfId="9552" xr:uid="{6B7C7373-4DB7-4F4A-90FD-4E57F0A98702}"/>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BBE88F3E-2C4E-40E6-9546-9FEE8027F80D}"/>
    <cellStyle name="20% - Accent1 4 4 2 3" xfId="12110" xr:uid="{B8225CF1-E145-40F0-BF52-06DCE6494EE3}"/>
    <cellStyle name="20% - Accent1 4 4 3" xfId="5754" xr:uid="{00000000-0005-0000-0000-000086000000}"/>
    <cellStyle name="20% - Accent1 4 4 3 2" xfId="14183" xr:uid="{0B0D8924-8401-4C90-80E3-7A10B345DAB4}"/>
    <cellStyle name="20% - Accent1 4 4 4" xfId="9965" xr:uid="{93986787-08B5-481C-AD70-2D816B3FF872}"/>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23D0EB4A-7DB7-46B6-B29F-66AC73CA3718}"/>
    <cellStyle name="20% - Accent1 4 5 2 3" xfId="12523" xr:uid="{91843439-304F-447D-8C80-21AB0E3D0E4F}"/>
    <cellStyle name="20% - Accent1 4 5 3" xfId="6167" xr:uid="{00000000-0005-0000-0000-00008A000000}"/>
    <cellStyle name="20% - Accent1 4 5 3 2" xfId="14596" xr:uid="{D39DA14F-714C-4523-94E3-BA03D0357F26}"/>
    <cellStyle name="20% - Accent1 4 5 4" xfId="10378" xr:uid="{8671ABDC-89C7-4CA4-B04B-D5BE51EE62E1}"/>
    <cellStyle name="20% - Accent1 4 6" xfId="2272" xr:uid="{00000000-0005-0000-0000-00008B000000}"/>
    <cellStyle name="20% - Accent1 4 6 2" xfId="6580" xr:uid="{00000000-0005-0000-0000-00008C000000}"/>
    <cellStyle name="20% - Accent1 4 6 2 2" xfId="15009" xr:uid="{4FBB103A-600F-414D-96D0-42282737C997}"/>
    <cellStyle name="20% - Accent1 4 6 3" xfId="10791" xr:uid="{F8D9149E-B20B-4297-A8DE-C932BEECB372}"/>
    <cellStyle name="20% - Accent1 4 7" xfId="4514" xr:uid="{00000000-0005-0000-0000-00008D000000}"/>
    <cellStyle name="20% - Accent1 4 7 2" xfId="12943" xr:uid="{85A6C220-25E8-4810-86D1-BE0B0122671A}"/>
    <cellStyle name="20% - Accent1 4 8" xfId="8725" xr:uid="{2AC17BB2-D22C-4DE2-86FE-549C89CF6C42}"/>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473D0223-A84B-4F43-8200-01AACEC8D7F3}"/>
    <cellStyle name="20% - Accent1 5 2 3" xfId="11277" xr:uid="{1DC2756B-85CB-4EF8-AB34-8DA3BF9283DA}"/>
    <cellStyle name="20% - Accent1 5 3" xfId="4921" xr:uid="{00000000-0005-0000-0000-000091000000}"/>
    <cellStyle name="20% - Accent1 5 3 2" xfId="13350" xr:uid="{EFBA2720-7BAF-46F2-AA7E-F776B2574843}"/>
    <cellStyle name="20% - Accent1 5 4" xfId="9132" xr:uid="{C6832058-9262-45CC-8064-07049CF28800}"/>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6217F868-2EBE-4627-9B9E-9D1F00791567}"/>
    <cellStyle name="20% - Accent1 6 2 3" xfId="11690" xr:uid="{44CE0354-069E-4687-8AC6-38EA3358A831}"/>
    <cellStyle name="20% - Accent1 6 3" xfId="5334" xr:uid="{00000000-0005-0000-0000-000095000000}"/>
    <cellStyle name="20% - Accent1 6 3 2" xfId="13763" xr:uid="{88618B2A-242C-45A9-8BD6-0E25E2410ED9}"/>
    <cellStyle name="20% - Accent1 6 4" xfId="9545" xr:uid="{3326F364-55C3-465E-AE9A-9C749A6C0592}"/>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6BE18830-BDE2-4782-86AA-C131DB4CDBC6}"/>
    <cellStyle name="20% - Accent1 7 2 3" xfId="12103" xr:uid="{020AC373-D006-48EA-89AB-AB64FE9E93B8}"/>
    <cellStyle name="20% - Accent1 7 3" xfId="5747" xr:uid="{00000000-0005-0000-0000-000099000000}"/>
    <cellStyle name="20% - Accent1 7 3 2" xfId="14176" xr:uid="{2B631AF3-DB32-4D67-9AAF-D129D33C5A97}"/>
    <cellStyle name="20% - Accent1 7 4" xfId="9958" xr:uid="{314513BF-5E14-4187-A092-2572C16687DB}"/>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9F67DEDD-10F2-4CD5-849A-3E046209584C}"/>
    <cellStyle name="20% - Accent1 8 2 3" xfId="12516" xr:uid="{D9D36095-5C33-4429-A640-FE986C66A3E7}"/>
    <cellStyle name="20% - Accent1 8 3" xfId="6160" xr:uid="{00000000-0005-0000-0000-00009D000000}"/>
    <cellStyle name="20% - Accent1 8 3 2" xfId="14589" xr:uid="{F2442F6E-8D1E-4DAA-A22F-9D1F76146646}"/>
    <cellStyle name="20% - Accent1 8 4" xfId="10371" xr:uid="{B520B9C0-7E99-4B00-BD05-FF81DDCC187E}"/>
    <cellStyle name="20% - Accent1 9" xfId="2265" xr:uid="{00000000-0005-0000-0000-00009E000000}"/>
    <cellStyle name="20% - Accent1 9 2" xfId="6573" xr:uid="{00000000-0005-0000-0000-00009F000000}"/>
    <cellStyle name="20% - Accent1 9 2 2" xfId="15002" xr:uid="{099B0719-CD7D-4F1A-A945-73A64A086277}"/>
    <cellStyle name="20% - Accent1 9 3" xfId="10784" xr:uid="{B00AD417-364B-4F31-B1DE-D6C76E332EB1}"/>
    <cellStyle name="20% - Accent2" xfId="9" builtinId="34" customBuiltin="1"/>
    <cellStyle name="20% - Accent2 10" xfId="4515" xr:uid="{00000000-0005-0000-0000-0000A1000000}"/>
    <cellStyle name="20% - Accent2 10 2" xfId="12944" xr:uid="{DA086B53-70B8-42D0-9D88-C8FA859DD32D}"/>
    <cellStyle name="20% - Accent2 11" xfId="8726" xr:uid="{18E8CADA-376D-4B80-B8C5-9415EAB0C264}"/>
    <cellStyle name="20% - Accent2 2" xfId="10" xr:uid="{00000000-0005-0000-0000-0000A2000000}"/>
    <cellStyle name="20% - Accent2 2 10" xfId="8727" xr:uid="{11A194BF-B6E0-4EC9-A9C2-3D1196B54C99}"/>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AFA7F5B2-8A9E-47FE-B0DB-417A11024567}"/>
    <cellStyle name="20% - Accent2 2 2 2 2 2 3" xfId="11288" xr:uid="{4B8D3C08-64CD-4CED-A07E-1059C0AF6C45}"/>
    <cellStyle name="20% - Accent2 2 2 2 2 3" xfId="4932" xr:uid="{00000000-0005-0000-0000-0000A8000000}"/>
    <cellStyle name="20% - Accent2 2 2 2 2 3 2" xfId="13361" xr:uid="{26EDF16F-361A-4F70-B453-94593B529BCE}"/>
    <cellStyle name="20% - Accent2 2 2 2 2 4" xfId="9143" xr:uid="{DFBC46CB-0C0C-4F1D-94A9-E35ED66D6844}"/>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E8C4E884-413C-4703-871F-76D94AEEF27B}"/>
    <cellStyle name="20% - Accent2 2 2 2 3 2 3" xfId="11701" xr:uid="{4D2C194A-AD38-49DB-B16D-4FC6A184CC0B}"/>
    <cellStyle name="20% - Accent2 2 2 2 3 3" xfId="5345" xr:uid="{00000000-0005-0000-0000-0000AC000000}"/>
    <cellStyle name="20% - Accent2 2 2 2 3 3 2" xfId="13774" xr:uid="{7269BADB-4BA3-452F-B367-7E15BCAEA841}"/>
    <cellStyle name="20% - Accent2 2 2 2 3 4" xfId="9556" xr:uid="{F3593FD7-6078-4A70-B288-2BB336858FD4}"/>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0E4FFFC0-D8EC-46B3-868A-29108D54F057}"/>
    <cellStyle name="20% - Accent2 2 2 2 4 2 3" xfId="12114" xr:uid="{50213165-74A4-4F41-999D-8ED29832F55B}"/>
    <cellStyle name="20% - Accent2 2 2 2 4 3" xfId="5758" xr:uid="{00000000-0005-0000-0000-0000B0000000}"/>
    <cellStyle name="20% - Accent2 2 2 2 4 3 2" xfId="14187" xr:uid="{7FBFE66A-D8C6-4AF0-BB69-04507CA787DF}"/>
    <cellStyle name="20% - Accent2 2 2 2 4 4" xfId="9969" xr:uid="{13D3DDDD-F49D-4B1D-AD56-68792FFCC9C5}"/>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BAB49B57-4584-4814-9531-59016F24E2F5}"/>
    <cellStyle name="20% - Accent2 2 2 2 5 2 3" xfId="12527" xr:uid="{D368684F-B935-48D6-8F02-72E88D2718C2}"/>
    <cellStyle name="20% - Accent2 2 2 2 5 3" xfId="6171" xr:uid="{00000000-0005-0000-0000-0000B4000000}"/>
    <cellStyle name="20% - Accent2 2 2 2 5 3 2" xfId="14600" xr:uid="{C6ED7987-2DEA-471E-9F40-D0E237284713}"/>
    <cellStyle name="20% - Accent2 2 2 2 5 4" xfId="10382" xr:uid="{4357B595-CB20-48F9-8363-F923C4A74B57}"/>
    <cellStyle name="20% - Accent2 2 2 2 6" xfId="2276" xr:uid="{00000000-0005-0000-0000-0000B5000000}"/>
    <cellStyle name="20% - Accent2 2 2 2 6 2" xfId="6584" xr:uid="{00000000-0005-0000-0000-0000B6000000}"/>
    <cellStyle name="20% - Accent2 2 2 2 6 2 2" xfId="15013" xr:uid="{AB06E06B-6344-43D8-867E-A1CE8BFA7482}"/>
    <cellStyle name="20% - Accent2 2 2 2 6 3" xfId="10795" xr:uid="{70AF679C-2740-46E0-866E-B75F81953D6D}"/>
    <cellStyle name="20% - Accent2 2 2 2 7" xfId="4518" xr:uid="{00000000-0005-0000-0000-0000B7000000}"/>
    <cellStyle name="20% - Accent2 2 2 2 7 2" xfId="12947" xr:uid="{96486128-8D9C-40DC-A4B0-69124A6175D0}"/>
    <cellStyle name="20% - Accent2 2 2 2 8" xfId="8729" xr:uid="{1DBC9DDF-5F70-4BC7-8A19-73DF4A296F0E}"/>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F2C53538-44AC-43A3-A5F2-8C567B63E3D1}"/>
    <cellStyle name="20% - Accent2 2 2 3 2 3" xfId="11287" xr:uid="{15AAF825-92EA-49B0-A7C9-5082BC23211C}"/>
    <cellStyle name="20% - Accent2 2 2 3 3" xfId="4931" xr:uid="{00000000-0005-0000-0000-0000BB000000}"/>
    <cellStyle name="20% - Accent2 2 2 3 3 2" xfId="13360" xr:uid="{D7192979-AA80-4707-838B-D7BE7ADBE9E2}"/>
    <cellStyle name="20% - Accent2 2 2 3 4" xfId="9142" xr:uid="{126984BD-4AC7-4721-A4D8-A96C748101DC}"/>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1FA76835-9CBB-4315-A3AB-96801B720E48}"/>
    <cellStyle name="20% - Accent2 2 2 4 2 3" xfId="11700" xr:uid="{C7FD4E92-ED65-489E-90E0-B0F836CA4A6C}"/>
    <cellStyle name="20% - Accent2 2 2 4 3" xfId="5344" xr:uid="{00000000-0005-0000-0000-0000BF000000}"/>
    <cellStyle name="20% - Accent2 2 2 4 3 2" xfId="13773" xr:uid="{0E0EAB5F-0228-410E-AA08-D97A1B2CA01D}"/>
    <cellStyle name="20% - Accent2 2 2 4 4" xfId="9555" xr:uid="{E94DD0C2-FECF-4B79-9D4F-AF057421D7F9}"/>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42239574-565E-4954-8931-C8536E3FFCA8}"/>
    <cellStyle name="20% - Accent2 2 2 5 2 3" xfId="12113" xr:uid="{0C0F5745-046F-4972-A8C0-80EC416F0D8B}"/>
    <cellStyle name="20% - Accent2 2 2 5 3" xfId="5757" xr:uid="{00000000-0005-0000-0000-0000C3000000}"/>
    <cellStyle name="20% - Accent2 2 2 5 3 2" xfId="14186" xr:uid="{11771D40-CC14-4D05-AC1D-3EF7816060C4}"/>
    <cellStyle name="20% - Accent2 2 2 5 4" xfId="9968" xr:uid="{29CD8B5B-8A2F-4A54-AEFA-31319333BE9B}"/>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E38B1E68-6666-4C18-8BED-78B4DAFEABFF}"/>
    <cellStyle name="20% - Accent2 2 2 6 2 3" xfId="12526" xr:uid="{F2F2B448-A22E-42D1-90CD-7B66D5B68E85}"/>
    <cellStyle name="20% - Accent2 2 2 6 3" xfId="6170" xr:uid="{00000000-0005-0000-0000-0000C7000000}"/>
    <cellStyle name="20% - Accent2 2 2 6 3 2" xfId="14599" xr:uid="{D8626704-894B-433E-A1B2-5B351EF95E16}"/>
    <cellStyle name="20% - Accent2 2 2 6 4" xfId="10381" xr:uid="{C7A49F86-70A1-4437-80B3-7F5A244C50EE}"/>
    <cellStyle name="20% - Accent2 2 2 7" xfId="2275" xr:uid="{00000000-0005-0000-0000-0000C8000000}"/>
    <cellStyle name="20% - Accent2 2 2 7 2" xfId="6583" xr:uid="{00000000-0005-0000-0000-0000C9000000}"/>
    <cellStyle name="20% - Accent2 2 2 7 2 2" xfId="15012" xr:uid="{B05D22B4-C019-4AA3-BC1C-9584D7ECE283}"/>
    <cellStyle name="20% - Accent2 2 2 7 3" xfId="10794" xr:uid="{1C58C9F6-DB31-467B-9E9E-D419C3D070E3}"/>
    <cellStyle name="20% - Accent2 2 2 8" xfId="4517" xr:uid="{00000000-0005-0000-0000-0000CA000000}"/>
    <cellStyle name="20% - Accent2 2 2 8 2" xfId="12946" xr:uid="{B45EA96B-548E-4F72-BD18-3D31DBB6A2FE}"/>
    <cellStyle name="20% - Accent2 2 2 9" xfId="8728" xr:uid="{D2D05741-90E6-4137-A28C-3F1CDD3A620E}"/>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A1E62CD8-0308-4443-AC8C-ED28F8985F66}"/>
    <cellStyle name="20% - Accent2 2 3 2 2 3" xfId="11289" xr:uid="{A80054DA-1CC1-4880-9F61-FFBCC9426339}"/>
    <cellStyle name="20% - Accent2 2 3 2 3" xfId="4933" xr:uid="{00000000-0005-0000-0000-0000CF000000}"/>
    <cellStyle name="20% - Accent2 2 3 2 3 2" xfId="13362" xr:uid="{4DF541E9-37E8-4AE2-AFC1-1FE5467069DA}"/>
    <cellStyle name="20% - Accent2 2 3 2 4" xfId="9144" xr:uid="{BDB97105-1E9B-404D-941B-B9B585DA8A6B}"/>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2B05F6FD-C4A8-400F-A9E2-6A9E8571DF7D}"/>
    <cellStyle name="20% - Accent2 2 3 3 2 3" xfId="11702" xr:uid="{8633D8D3-561E-4C86-9F3C-866229B32EAE}"/>
    <cellStyle name="20% - Accent2 2 3 3 3" xfId="5346" xr:uid="{00000000-0005-0000-0000-0000D3000000}"/>
    <cellStyle name="20% - Accent2 2 3 3 3 2" xfId="13775" xr:uid="{C50220B0-C45E-4A86-9D3C-3819DE158CA9}"/>
    <cellStyle name="20% - Accent2 2 3 3 4" xfId="9557" xr:uid="{6BBE7E74-BC9E-40FC-889E-C902C7CDF3DA}"/>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2A27B98C-42FE-4103-89CA-85B8276B24A4}"/>
    <cellStyle name="20% - Accent2 2 3 4 2 3" xfId="12115" xr:uid="{461169BD-7994-47CE-A0F7-486CC5A80F45}"/>
    <cellStyle name="20% - Accent2 2 3 4 3" xfId="5759" xr:uid="{00000000-0005-0000-0000-0000D7000000}"/>
    <cellStyle name="20% - Accent2 2 3 4 3 2" xfId="14188" xr:uid="{B17DF3B6-5302-4AAA-8002-347E77086D4E}"/>
    <cellStyle name="20% - Accent2 2 3 4 4" xfId="9970" xr:uid="{DA5EA304-4543-48DF-B269-FD66E23798E7}"/>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CAAA8967-005B-498C-9EF5-8103E8349091}"/>
    <cellStyle name="20% - Accent2 2 3 5 2 3" xfId="12528" xr:uid="{6CBBE95A-C31E-4B5E-A42F-B2D35509DBD2}"/>
    <cellStyle name="20% - Accent2 2 3 5 3" xfId="6172" xr:uid="{00000000-0005-0000-0000-0000DB000000}"/>
    <cellStyle name="20% - Accent2 2 3 5 3 2" xfId="14601" xr:uid="{BBF96AA4-5A46-4CD0-9C3B-232EDC669115}"/>
    <cellStyle name="20% - Accent2 2 3 5 4" xfId="10383" xr:uid="{5CDD61E1-1ACB-44D3-8BC4-4AC182B77B83}"/>
    <cellStyle name="20% - Accent2 2 3 6" xfId="2277" xr:uid="{00000000-0005-0000-0000-0000DC000000}"/>
    <cellStyle name="20% - Accent2 2 3 6 2" xfId="6585" xr:uid="{00000000-0005-0000-0000-0000DD000000}"/>
    <cellStyle name="20% - Accent2 2 3 6 2 2" xfId="15014" xr:uid="{6A54D0CD-7696-4BDC-86F4-F7025FEFD5D2}"/>
    <cellStyle name="20% - Accent2 2 3 6 3" xfId="10796" xr:uid="{52DBC5E6-3D4F-470B-8A4E-747D09E5CD6B}"/>
    <cellStyle name="20% - Accent2 2 3 7" xfId="4519" xr:uid="{00000000-0005-0000-0000-0000DE000000}"/>
    <cellStyle name="20% - Accent2 2 3 7 2" xfId="12948" xr:uid="{FAFBE08A-8589-477F-B07E-F01DC0BB2FFE}"/>
    <cellStyle name="20% - Accent2 2 3 8" xfId="8730" xr:uid="{4C18B393-F948-4A67-9B20-BBEE21FFFF43}"/>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2E172229-DE5A-4121-A23A-3A3292342860}"/>
    <cellStyle name="20% - Accent2 2 4 2 3" xfId="11286" xr:uid="{2F9ED5D3-CF70-4977-95A4-386200F166D5}"/>
    <cellStyle name="20% - Accent2 2 4 3" xfId="4930" xr:uid="{00000000-0005-0000-0000-0000E2000000}"/>
    <cellStyle name="20% - Accent2 2 4 3 2" xfId="13359" xr:uid="{2FD3F083-0F5A-4027-91AB-65E4E09E448B}"/>
    <cellStyle name="20% - Accent2 2 4 4" xfId="9141" xr:uid="{C58C7EDA-164D-482A-8298-AEAEC8FD28D3}"/>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E33D4023-3F4F-4E4A-BC5A-4D4E1DF72511}"/>
    <cellStyle name="20% - Accent2 2 5 2 3" xfId="11699" xr:uid="{FF369FAE-3B29-41E2-A2DE-F61855FB3D2D}"/>
    <cellStyle name="20% - Accent2 2 5 3" xfId="5343" xr:uid="{00000000-0005-0000-0000-0000E6000000}"/>
    <cellStyle name="20% - Accent2 2 5 3 2" xfId="13772" xr:uid="{7F412B11-1991-41A3-B3FE-99E7F14BEBED}"/>
    <cellStyle name="20% - Accent2 2 5 4" xfId="9554" xr:uid="{003E0AFB-CB72-4745-93D8-4DD9F58AD87F}"/>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A7615637-3C15-4F96-8B23-B614C9DE960C}"/>
    <cellStyle name="20% - Accent2 2 6 2 3" xfId="12112" xr:uid="{C440274D-3003-4450-9803-B9959AEA400D}"/>
    <cellStyle name="20% - Accent2 2 6 3" xfId="5756" xr:uid="{00000000-0005-0000-0000-0000EA000000}"/>
    <cellStyle name="20% - Accent2 2 6 3 2" xfId="14185" xr:uid="{683DF8E1-4642-486A-9B1D-859294DFDA24}"/>
    <cellStyle name="20% - Accent2 2 6 4" xfId="9967" xr:uid="{183E05B3-0916-433E-979C-55B4235A6E95}"/>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EEF81AC7-D956-4FCB-A629-AE165E4A3AED}"/>
    <cellStyle name="20% - Accent2 2 7 2 3" xfId="12525" xr:uid="{44DA913B-922F-4209-8831-B9832F482C46}"/>
    <cellStyle name="20% - Accent2 2 7 3" xfId="6169" xr:uid="{00000000-0005-0000-0000-0000EE000000}"/>
    <cellStyle name="20% - Accent2 2 7 3 2" xfId="14598" xr:uid="{D4816162-3718-44F3-BD46-BF6ED927EBFC}"/>
    <cellStyle name="20% - Accent2 2 7 4" xfId="10380" xr:uid="{C7A0182A-2750-4786-817D-F14E4781E989}"/>
    <cellStyle name="20% - Accent2 2 8" xfId="2274" xr:uid="{00000000-0005-0000-0000-0000EF000000}"/>
    <cellStyle name="20% - Accent2 2 8 2" xfId="6582" xr:uid="{00000000-0005-0000-0000-0000F0000000}"/>
    <cellStyle name="20% - Accent2 2 8 2 2" xfId="15011" xr:uid="{B733CE92-2B37-485E-88C3-4ECA85955C9F}"/>
    <cellStyle name="20% - Accent2 2 8 3" xfId="10793" xr:uid="{F5A79265-565D-4807-BC6A-DBE5619CF4B5}"/>
    <cellStyle name="20% - Accent2 2 9" xfId="4516" xr:uid="{00000000-0005-0000-0000-0000F1000000}"/>
    <cellStyle name="20% - Accent2 2 9 2" xfId="12945" xr:uid="{65C2F04C-3E80-471C-8BC4-002476C32F61}"/>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AFA599E4-735E-451E-8C1C-A202A75F05BE}"/>
    <cellStyle name="20% - Accent2 3 2 2 2 3" xfId="11291" xr:uid="{95136ABB-2541-4E64-B2E5-1ED01B54BB6E}"/>
    <cellStyle name="20% - Accent2 3 2 2 3" xfId="4935" xr:uid="{00000000-0005-0000-0000-0000F7000000}"/>
    <cellStyle name="20% - Accent2 3 2 2 3 2" xfId="13364" xr:uid="{365A54F5-14B1-4752-9922-94DE2E2084EF}"/>
    <cellStyle name="20% - Accent2 3 2 2 4" xfId="9146" xr:uid="{600E9F52-69D4-43E1-AD48-64AAC3939A71}"/>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B417A8A4-ABD8-4007-BEA5-2272B6A4292D}"/>
    <cellStyle name="20% - Accent2 3 2 3 2 3" xfId="11704" xr:uid="{98EC38E3-7338-43E4-8E78-2DCA18BCBEEC}"/>
    <cellStyle name="20% - Accent2 3 2 3 3" xfId="5348" xr:uid="{00000000-0005-0000-0000-0000FB000000}"/>
    <cellStyle name="20% - Accent2 3 2 3 3 2" xfId="13777" xr:uid="{9EB55F63-DE51-4144-A299-29D81A166029}"/>
    <cellStyle name="20% - Accent2 3 2 3 4" xfId="9559" xr:uid="{AF2BEC2E-7AA6-48C6-A394-079B14C514A3}"/>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85941219-8D40-4F0D-841D-23BC12FE9E15}"/>
    <cellStyle name="20% - Accent2 3 2 4 2 3" xfId="12117" xr:uid="{20532645-4834-41EA-BCFC-5FED03C5CA26}"/>
    <cellStyle name="20% - Accent2 3 2 4 3" xfId="5761" xr:uid="{00000000-0005-0000-0000-0000FF000000}"/>
    <cellStyle name="20% - Accent2 3 2 4 3 2" xfId="14190" xr:uid="{AB943E08-FE7C-4E76-A8B4-8B0498E84281}"/>
    <cellStyle name="20% - Accent2 3 2 4 4" xfId="9972" xr:uid="{556472F2-179D-4715-AA13-401DA2B08B2B}"/>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F1452067-09F2-4062-9BA0-9A8F6C25C8C7}"/>
    <cellStyle name="20% - Accent2 3 2 5 2 3" xfId="12530" xr:uid="{2BEA9B0B-36AF-452E-A679-21F86E2224D0}"/>
    <cellStyle name="20% - Accent2 3 2 5 3" xfId="6174" xr:uid="{00000000-0005-0000-0000-000003010000}"/>
    <cellStyle name="20% - Accent2 3 2 5 3 2" xfId="14603" xr:uid="{9D02A154-35F5-4716-BE3E-38DB977C0894}"/>
    <cellStyle name="20% - Accent2 3 2 5 4" xfId="10385" xr:uid="{4E248181-5576-489B-940C-5800557DB223}"/>
    <cellStyle name="20% - Accent2 3 2 6" xfId="2279" xr:uid="{00000000-0005-0000-0000-000004010000}"/>
    <cellStyle name="20% - Accent2 3 2 6 2" xfId="6587" xr:uid="{00000000-0005-0000-0000-000005010000}"/>
    <cellStyle name="20% - Accent2 3 2 6 2 2" xfId="15016" xr:uid="{9BD7D94C-E3CC-4918-BBA3-CB2635AD6188}"/>
    <cellStyle name="20% - Accent2 3 2 6 3" xfId="10798" xr:uid="{196D27C3-D62C-479C-9C85-7B191650DED4}"/>
    <cellStyle name="20% - Accent2 3 2 7" xfId="4521" xr:uid="{00000000-0005-0000-0000-000006010000}"/>
    <cellStyle name="20% - Accent2 3 2 7 2" xfId="12950" xr:uid="{AF6FF695-CCF9-4304-839F-FD2E8B635730}"/>
    <cellStyle name="20% - Accent2 3 2 8" xfId="8732" xr:uid="{71FD2B1C-07EB-4DC1-BF0C-DA19CEE4ADB9}"/>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49322875-1FE3-4687-806D-945174373BCC}"/>
    <cellStyle name="20% - Accent2 3 3 2 3" xfId="11290" xr:uid="{FC8478B6-ADF2-4EAE-83C6-C4831F7FABB4}"/>
    <cellStyle name="20% - Accent2 3 3 3" xfId="4934" xr:uid="{00000000-0005-0000-0000-00000A010000}"/>
    <cellStyle name="20% - Accent2 3 3 3 2" xfId="13363" xr:uid="{6372B998-8EFA-4D7E-ADA9-08227B99260D}"/>
    <cellStyle name="20% - Accent2 3 3 4" xfId="9145" xr:uid="{039CA1FD-B2B7-4B30-889F-BA7B584B61D1}"/>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96E8A34D-6728-49CD-86D5-386AFEEF071F}"/>
    <cellStyle name="20% - Accent2 3 4 2 3" xfId="11703" xr:uid="{9451B693-76A2-498C-B81A-17FEE1C797EF}"/>
    <cellStyle name="20% - Accent2 3 4 3" xfId="5347" xr:uid="{00000000-0005-0000-0000-00000E010000}"/>
    <cellStyle name="20% - Accent2 3 4 3 2" xfId="13776" xr:uid="{79807B6B-84B3-4504-9C5D-DA1D37901710}"/>
    <cellStyle name="20% - Accent2 3 4 4" xfId="9558" xr:uid="{E5D51783-D9C0-4E8A-8489-EBFD90E85FD6}"/>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EF146D19-000B-459A-B60A-A95724086E3D}"/>
    <cellStyle name="20% - Accent2 3 5 2 3" xfId="12116" xr:uid="{25B5357B-7ADA-4945-86B1-13FFBE0A6DE4}"/>
    <cellStyle name="20% - Accent2 3 5 3" xfId="5760" xr:uid="{00000000-0005-0000-0000-000012010000}"/>
    <cellStyle name="20% - Accent2 3 5 3 2" xfId="14189" xr:uid="{04398E2D-D235-4F18-8B4C-024C69E2B1AC}"/>
    <cellStyle name="20% - Accent2 3 5 4" xfId="9971" xr:uid="{262143CF-BAF4-4CA6-9D33-569E5DB476E9}"/>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18D1226A-6862-4979-AB54-912C05EE4BDA}"/>
    <cellStyle name="20% - Accent2 3 6 2 3" xfId="12529" xr:uid="{E26A5240-379E-46CE-82FA-5BDBC3D5BE23}"/>
    <cellStyle name="20% - Accent2 3 6 3" xfId="6173" xr:uid="{00000000-0005-0000-0000-000016010000}"/>
    <cellStyle name="20% - Accent2 3 6 3 2" xfId="14602" xr:uid="{C54A4E3A-F52C-4000-BC64-7E3C45BDF3B9}"/>
    <cellStyle name="20% - Accent2 3 6 4" xfId="10384" xr:uid="{83E653A2-E301-430D-AE7C-5293481F39B6}"/>
    <cellStyle name="20% - Accent2 3 7" xfId="2278" xr:uid="{00000000-0005-0000-0000-000017010000}"/>
    <cellStyle name="20% - Accent2 3 7 2" xfId="6586" xr:uid="{00000000-0005-0000-0000-000018010000}"/>
    <cellStyle name="20% - Accent2 3 7 2 2" xfId="15015" xr:uid="{B00C8ED5-5220-4CE0-A609-56FF66034554}"/>
    <cellStyle name="20% - Accent2 3 7 3" xfId="10797" xr:uid="{9DEE5BCA-1C54-4624-BAA0-56952AD54ABB}"/>
    <cellStyle name="20% - Accent2 3 8" xfId="4520" xr:uid="{00000000-0005-0000-0000-000019010000}"/>
    <cellStyle name="20% - Accent2 3 8 2" xfId="12949" xr:uid="{F9B9FEDF-6F83-4590-96C4-82AAE66B9551}"/>
    <cellStyle name="20% - Accent2 3 9" xfId="8731" xr:uid="{FA7B0B62-4F54-4BA4-B593-89C775EC99A7}"/>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7C593C72-581F-4EE4-B036-09D661CF2A5C}"/>
    <cellStyle name="20% - Accent2 4 2 2 3" xfId="11292" xr:uid="{31D5D234-0C42-4FDA-902C-A73D1F43BF7F}"/>
    <cellStyle name="20% - Accent2 4 2 3" xfId="4936" xr:uid="{00000000-0005-0000-0000-00001E010000}"/>
    <cellStyle name="20% - Accent2 4 2 3 2" xfId="13365" xr:uid="{4E3A91F2-AB46-4AEB-9FF6-498F0AEFBCE2}"/>
    <cellStyle name="20% - Accent2 4 2 4" xfId="9147" xr:uid="{F5A55560-B91B-42CC-8227-27D90C0524E3}"/>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216D78BF-96FF-4C94-80A7-22E143C56E97}"/>
    <cellStyle name="20% - Accent2 4 3 2 3" xfId="11705" xr:uid="{2D753456-BE74-4232-AACE-DA99EA1F9DD2}"/>
    <cellStyle name="20% - Accent2 4 3 3" xfId="5349" xr:uid="{00000000-0005-0000-0000-000022010000}"/>
    <cellStyle name="20% - Accent2 4 3 3 2" xfId="13778" xr:uid="{C79BEF44-29DF-48BF-A400-157708FA67EC}"/>
    <cellStyle name="20% - Accent2 4 3 4" xfId="9560" xr:uid="{63BD6200-903A-4C80-B8A5-8D033DAFE1BD}"/>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7AD784F2-8830-4615-9C90-CC48D6F70649}"/>
    <cellStyle name="20% - Accent2 4 4 2 3" xfId="12118" xr:uid="{1A96D148-8DC8-434D-B653-03C6C56899F0}"/>
    <cellStyle name="20% - Accent2 4 4 3" xfId="5762" xr:uid="{00000000-0005-0000-0000-000026010000}"/>
    <cellStyle name="20% - Accent2 4 4 3 2" xfId="14191" xr:uid="{6F94CCDE-95E1-4276-8FC4-B23F972B263E}"/>
    <cellStyle name="20% - Accent2 4 4 4" xfId="9973" xr:uid="{09867F73-3C26-493F-ABBC-3356F6758893}"/>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14AD2294-B3E0-44AC-B924-58350265C25F}"/>
    <cellStyle name="20% - Accent2 4 5 2 3" xfId="12531" xr:uid="{CBDA306A-4539-40D0-A4B2-CB7FE2B8E7A4}"/>
    <cellStyle name="20% - Accent2 4 5 3" xfId="6175" xr:uid="{00000000-0005-0000-0000-00002A010000}"/>
    <cellStyle name="20% - Accent2 4 5 3 2" xfId="14604" xr:uid="{5DCEFE60-EE2D-4BBF-9DCD-A6F582F03AC1}"/>
    <cellStyle name="20% - Accent2 4 5 4" xfId="10386" xr:uid="{F7D6838E-01E1-47DF-91BA-B8D8A6FC0087}"/>
    <cellStyle name="20% - Accent2 4 6" xfId="2280" xr:uid="{00000000-0005-0000-0000-00002B010000}"/>
    <cellStyle name="20% - Accent2 4 6 2" xfId="6588" xr:uid="{00000000-0005-0000-0000-00002C010000}"/>
    <cellStyle name="20% - Accent2 4 6 2 2" xfId="15017" xr:uid="{A4264E5F-FCC2-43DD-BDC1-F5929101C8E1}"/>
    <cellStyle name="20% - Accent2 4 6 3" xfId="10799" xr:uid="{739A5F91-A605-4312-8974-C46106295ECA}"/>
    <cellStyle name="20% - Accent2 4 7" xfId="4522" xr:uid="{00000000-0005-0000-0000-00002D010000}"/>
    <cellStyle name="20% - Accent2 4 7 2" xfId="12951" xr:uid="{4B9EB575-486A-4FD2-A9D0-F15ED082F015}"/>
    <cellStyle name="20% - Accent2 4 8" xfId="8733" xr:uid="{62663720-CEB2-4AE3-8FFA-CBCF2C66209C}"/>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710983BD-197D-4C80-ABC3-44ADB093E0CD}"/>
    <cellStyle name="20% - Accent2 5 2 3" xfId="11285" xr:uid="{AF1FAFA2-F2D1-4EC0-B8F4-ADDCD048384A}"/>
    <cellStyle name="20% - Accent2 5 3" xfId="4929" xr:uid="{00000000-0005-0000-0000-000031010000}"/>
    <cellStyle name="20% - Accent2 5 3 2" xfId="13358" xr:uid="{78C06DC3-84E0-4DE1-AE52-293FEB598863}"/>
    <cellStyle name="20% - Accent2 5 4" xfId="9140" xr:uid="{6A716BAB-E35C-4462-BB49-117957BF21F7}"/>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CD8CCBA5-7E15-49E4-8CE2-5C8962944AAD}"/>
    <cellStyle name="20% - Accent2 6 2 3" xfId="11698" xr:uid="{9627D2F4-0C9C-42AB-9D8C-359B68A3FF87}"/>
    <cellStyle name="20% - Accent2 6 3" xfId="5342" xr:uid="{00000000-0005-0000-0000-000035010000}"/>
    <cellStyle name="20% - Accent2 6 3 2" xfId="13771" xr:uid="{85DD407F-B7B9-4132-9C46-CF937AA4BA3D}"/>
    <cellStyle name="20% - Accent2 6 4" xfId="9553" xr:uid="{F3E4A5F6-553D-4874-A9D7-95076953E81B}"/>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D4CDA77C-5423-49A1-89DD-FABDE9326FEE}"/>
    <cellStyle name="20% - Accent2 7 2 3" xfId="12111" xr:uid="{177E4123-155B-4F5E-9EDB-3D605CE16F98}"/>
    <cellStyle name="20% - Accent2 7 3" xfId="5755" xr:uid="{00000000-0005-0000-0000-000039010000}"/>
    <cellStyle name="20% - Accent2 7 3 2" xfId="14184" xr:uid="{6BF95893-EC25-4C10-A31F-F399A20AC02A}"/>
    <cellStyle name="20% - Accent2 7 4" xfId="9966" xr:uid="{1BC5EFE0-CA2C-4E95-AA18-4841BD02F264}"/>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4D57D670-B489-437D-9CDB-9B43782754FC}"/>
    <cellStyle name="20% - Accent2 8 2 3" xfId="12524" xr:uid="{530D9665-FC49-486D-8129-C6D31C12D583}"/>
    <cellStyle name="20% - Accent2 8 3" xfId="6168" xr:uid="{00000000-0005-0000-0000-00003D010000}"/>
    <cellStyle name="20% - Accent2 8 3 2" xfId="14597" xr:uid="{E26DDF17-B320-45BC-AB11-EB0977E2D5F6}"/>
    <cellStyle name="20% - Accent2 8 4" xfId="10379" xr:uid="{D8C89D10-5648-4514-A45E-D87B9C5A2F8D}"/>
    <cellStyle name="20% - Accent2 9" xfId="2273" xr:uid="{00000000-0005-0000-0000-00003E010000}"/>
    <cellStyle name="20% - Accent2 9 2" xfId="6581" xr:uid="{00000000-0005-0000-0000-00003F010000}"/>
    <cellStyle name="20% - Accent2 9 2 2" xfId="15010" xr:uid="{E030CC8D-AD73-4062-8563-E13F35428521}"/>
    <cellStyle name="20% - Accent2 9 3" xfId="10792" xr:uid="{EBAC89B2-C4AF-4E25-94C7-326B7CE0BFE2}"/>
    <cellStyle name="20% - Accent3" xfId="17" builtinId="38" customBuiltin="1"/>
    <cellStyle name="20% - Accent3 10" xfId="4523" xr:uid="{00000000-0005-0000-0000-000041010000}"/>
    <cellStyle name="20% - Accent3 10 2" xfId="12952" xr:uid="{C831FAFE-8A26-4CAE-8911-CF3A21E331C0}"/>
    <cellStyle name="20% - Accent3 11" xfId="8734" xr:uid="{933B1142-EB77-4627-BED7-C4B9CE3CF12C}"/>
    <cellStyle name="20% - Accent3 2" xfId="18" xr:uid="{00000000-0005-0000-0000-000042010000}"/>
    <cellStyle name="20% - Accent3 2 10" xfId="8735" xr:uid="{C723AF63-DEF9-494D-B6A9-9CAB88D647D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D4A1785E-96E7-4AC4-A296-3E0F47C90DF7}"/>
    <cellStyle name="20% - Accent3 2 2 2 2 2 3" xfId="11296" xr:uid="{95CC5546-3A76-4357-BB63-747631904372}"/>
    <cellStyle name="20% - Accent3 2 2 2 2 3" xfId="4940" xr:uid="{00000000-0005-0000-0000-000048010000}"/>
    <cellStyle name="20% - Accent3 2 2 2 2 3 2" xfId="13369" xr:uid="{B4F50E70-5814-4B9E-981E-04CE41DD321C}"/>
    <cellStyle name="20% - Accent3 2 2 2 2 4" xfId="9151" xr:uid="{45E16AF3-E96D-4BD4-A393-4CA4117844AB}"/>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16332C6A-F922-40C7-AAEF-654279DDA70B}"/>
    <cellStyle name="20% - Accent3 2 2 2 3 2 3" xfId="11709" xr:uid="{F1798C89-B0E0-4765-A118-55D035A3A405}"/>
    <cellStyle name="20% - Accent3 2 2 2 3 3" xfId="5353" xr:uid="{00000000-0005-0000-0000-00004C010000}"/>
    <cellStyle name="20% - Accent3 2 2 2 3 3 2" xfId="13782" xr:uid="{D2F04866-EB7A-4C95-A6E8-9E2B11ECEEC8}"/>
    <cellStyle name="20% - Accent3 2 2 2 3 4" xfId="9564" xr:uid="{7A48C94D-3D38-4116-91FE-9AD028B741F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4856E5B2-844B-4BFA-8D08-12B0F8BFE66C}"/>
    <cellStyle name="20% - Accent3 2 2 2 4 2 3" xfId="12122" xr:uid="{F80A9FA1-B6E1-489C-A3DF-3DFB6A8186AD}"/>
    <cellStyle name="20% - Accent3 2 2 2 4 3" xfId="5766" xr:uid="{00000000-0005-0000-0000-000050010000}"/>
    <cellStyle name="20% - Accent3 2 2 2 4 3 2" xfId="14195" xr:uid="{074FED24-5258-41FF-8084-9FFBCEE0C6EB}"/>
    <cellStyle name="20% - Accent3 2 2 2 4 4" xfId="9977" xr:uid="{8EBB5F23-551A-4D4F-B45F-1034FF73C0F7}"/>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52D778AB-381F-4E1E-B059-F1F2CAB28038}"/>
    <cellStyle name="20% - Accent3 2 2 2 5 2 3" xfId="12535" xr:uid="{91B6D7B4-39C2-456F-B522-BFC7F8692376}"/>
    <cellStyle name="20% - Accent3 2 2 2 5 3" xfId="6179" xr:uid="{00000000-0005-0000-0000-000054010000}"/>
    <cellStyle name="20% - Accent3 2 2 2 5 3 2" xfId="14608" xr:uid="{08CCFD3C-C355-4843-8679-1304F90AF665}"/>
    <cellStyle name="20% - Accent3 2 2 2 5 4" xfId="10390" xr:uid="{6F7D93E7-B15A-4446-82BD-555273A27B00}"/>
    <cellStyle name="20% - Accent3 2 2 2 6" xfId="2284" xr:uid="{00000000-0005-0000-0000-000055010000}"/>
    <cellStyle name="20% - Accent3 2 2 2 6 2" xfId="6592" xr:uid="{00000000-0005-0000-0000-000056010000}"/>
    <cellStyle name="20% - Accent3 2 2 2 6 2 2" xfId="15021" xr:uid="{3D160817-4F9E-4394-ABA3-1906CB578AA0}"/>
    <cellStyle name="20% - Accent3 2 2 2 6 3" xfId="10803" xr:uid="{3D307C49-95F7-4B95-B315-CA3FCCF54790}"/>
    <cellStyle name="20% - Accent3 2 2 2 7" xfId="4526" xr:uid="{00000000-0005-0000-0000-000057010000}"/>
    <cellStyle name="20% - Accent3 2 2 2 7 2" xfId="12955" xr:uid="{0605B76A-163B-4E18-BB49-3B559747CDA9}"/>
    <cellStyle name="20% - Accent3 2 2 2 8" xfId="8737" xr:uid="{1A100FC6-95E7-4490-A8DA-B9A27C5AD9E1}"/>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82E086C0-6C75-4C52-A031-66FD4DB1F0A5}"/>
    <cellStyle name="20% - Accent3 2 2 3 2 3" xfId="11295" xr:uid="{EBB8D5AC-B42D-44DC-9296-42EDD644C2F4}"/>
    <cellStyle name="20% - Accent3 2 2 3 3" xfId="4939" xr:uid="{00000000-0005-0000-0000-00005B010000}"/>
    <cellStyle name="20% - Accent3 2 2 3 3 2" xfId="13368" xr:uid="{C6FAF10D-FE84-4698-B16E-D66A1A8739DE}"/>
    <cellStyle name="20% - Accent3 2 2 3 4" xfId="9150" xr:uid="{0650AD4A-3BC2-41DD-8F75-9852054F26EE}"/>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77C7C84E-F06E-4FDB-809B-631CFB439C41}"/>
    <cellStyle name="20% - Accent3 2 2 4 2 3" xfId="11708" xr:uid="{BE9947F6-5E92-4471-BD1D-D9FFE1F221CC}"/>
    <cellStyle name="20% - Accent3 2 2 4 3" xfId="5352" xr:uid="{00000000-0005-0000-0000-00005F010000}"/>
    <cellStyle name="20% - Accent3 2 2 4 3 2" xfId="13781" xr:uid="{81CB88E3-92F3-464F-AB9D-512B70E4A141}"/>
    <cellStyle name="20% - Accent3 2 2 4 4" xfId="9563" xr:uid="{3CD37AC7-773B-4082-ADD5-201BE73F23FC}"/>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74E69D2F-8A3A-4698-9140-3EBFCA7B16A1}"/>
    <cellStyle name="20% - Accent3 2 2 5 2 3" xfId="12121" xr:uid="{58CC3C21-1017-4D97-B438-597F733CDF81}"/>
    <cellStyle name="20% - Accent3 2 2 5 3" xfId="5765" xr:uid="{00000000-0005-0000-0000-000063010000}"/>
    <cellStyle name="20% - Accent3 2 2 5 3 2" xfId="14194" xr:uid="{61BFC7FB-BBD6-420A-A98A-6CB74094AD7C}"/>
    <cellStyle name="20% - Accent3 2 2 5 4" xfId="9976" xr:uid="{B64F4FFA-56B4-4DF7-8C97-A06A7069E5C6}"/>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1ED0ACBB-51AB-437C-B69E-758FBC0EA49A}"/>
    <cellStyle name="20% - Accent3 2 2 6 2 3" xfId="12534" xr:uid="{58D3BF92-4848-458F-8CAA-3A7107E7DDD1}"/>
    <cellStyle name="20% - Accent3 2 2 6 3" xfId="6178" xr:uid="{00000000-0005-0000-0000-000067010000}"/>
    <cellStyle name="20% - Accent3 2 2 6 3 2" xfId="14607" xr:uid="{A8DA0D0E-839C-4DB0-A492-097F9253B405}"/>
    <cellStyle name="20% - Accent3 2 2 6 4" xfId="10389" xr:uid="{1877573E-2C7E-4B24-97B4-F1D2BBD441B9}"/>
    <cellStyle name="20% - Accent3 2 2 7" xfId="2283" xr:uid="{00000000-0005-0000-0000-000068010000}"/>
    <cellStyle name="20% - Accent3 2 2 7 2" xfId="6591" xr:uid="{00000000-0005-0000-0000-000069010000}"/>
    <cellStyle name="20% - Accent3 2 2 7 2 2" xfId="15020" xr:uid="{98792251-7FF2-47E8-94A5-3CF339C1A9A9}"/>
    <cellStyle name="20% - Accent3 2 2 7 3" xfId="10802" xr:uid="{B82FCF17-E7C5-4CE9-AD4D-213AEB45CEF5}"/>
    <cellStyle name="20% - Accent3 2 2 8" xfId="4525" xr:uid="{00000000-0005-0000-0000-00006A010000}"/>
    <cellStyle name="20% - Accent3 2 2 8 2" xfId="12954" xr:uid="{59BFC5E6-313C-4F9A-8386-4715B9060033}"/>
    <cellStyle name="20% - Accent3 2 2 9" xfId="8736" xr:uid="{A590D05A-9B2E-4DD8-B961-873A222E534A}"/>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CC51F014-4F84-4633-A031-3AE421C49883}"/>
    <cellStyle name="20% - Accent3 2 3 2 2 3" xfId="11297" xr:uid="{065E3A9C-DCEC-4FF8-AFDF-F4B222119EF0}"/>
    <cellStyle name="20% - Accent3 2 3 2 3" xfId="4941" xr:uid="{00000000-0005-0000-0000-00006F010000}"/>
    <cellStyle name="20% - Accent3 2 3 2 3 2" xfId="13370" xr:uid="{BF44715A-CB69-4AC9-A9D3-EEA0F9795D2E}"/>
    <cellStyle name="20% - Accent3 2 3 2 4" xfId="9152" xr:uid="{58D070BD-7DB2-427A-8F3B-58815586D091}"/>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9C2968E5-86AF-4059-BD7D-640FC59FA960}"/>
    <cellStyle name="20% - Accent3 2 3 3 2 3" xfId="11710" xr:uid="{1DC54889-EF82-4EFD-835F-C234C9A21004}"/>
    <cellStyle name="20% - Accent3 2 3 3 3" xfId="5354" xr:uid="{00000000-0005-0000-0000-000073010000}"/>
    <cellStyle name="20% - Accent3 2 3 3 3 2" xfId="13783" xr:uid="{B3F55294-F344-4188-B29C-54C6562AE9DC}"/>
    <cellStyle name="20% - Accent3 2 3 3 4" xfId="9565" xr:uid="{A7501BAB-9A99-4337-9DB0-19E035974702}"/>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296B1B0B-D6E5-43AD-A084-93C3C34042DF}"/>
    <cellStyle name="20% - Accent3 2 3 4 2 3" xfId="12123" xr:uid="{1A856001-15D7-46F7-9E0B-F1E7B1FC01A3}"/>
    <cellStyle name="20% - Accent3 2 3 4 3" xfId="5767" xr:uid="{00000000-0005-0000-0000-000077010000}"/>
    <cellStyle name="20% - Accent3 2 3 4 3 2" xfId="14196" xr:uid="{CC467335-06F7-4A33-92CF-4CB05A258424}"/>
    <cellStyle name="20% - Accent3 2 3 4 4" xfId="9978" xr:uid="{78359FD6-6CEB-4DDD-96D0-08F86008A0B9}"/>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6EE88D6E-3C94-4B97-8483-3B6F88B29421}"/>
    <cellStyle name="20% - Accent3 2 3 5 2 3" xfId="12536" xr:uid="{E908CB3C-A8E4-429B-932F-2ACD5A46FE5C}"/>
    <cellStyle name="20% - Accent3 2 3 5 3" xfId="6180" xr:uid="{00000000-0005-0000-0000-00007B010000}"/>
    <cellStyle name="20% - Accent3 2 3 5 3 2" xfId="14609" xr:uid="{7F5957CD-1629-4404-8AE6-F4E338976BC7}"/>
    <cellStyle name="20% - Accent3 2 3 5 4" xfId="10391" xr:uid="{3CEB23B3-47AD-49EB-900D-3D5040272DF5}"/>
    <cellStyle name="20% - Accent3 2 3 6" xfId="2285" xr:uid="{00000000-0005-0000-0000-00007C010000}"/>
    <cellStyle name="20% - Accent3 2 3 6 2" xfId="6593" xr:uid="{00000000-0005-0000-0000-00007D010000}"/>
    <cellStyle name="20% - Accent3 2 3 6 2 2" xfId="15022" xr:uid="{50682C32-A5BA-4A56-A1CF-FC98AC8BE403}"/>
    <cellStyle name="20% - Accent3 2 3 6 3" xfId="10804" xr:uid="{547418E5-45B0-44FA-B107-82F01B2EF999}"/>
    <cellStyle name="20% - Accent3 2 3 7" xfId="4527" xr:uid="{00000000-0005-0000-0000-00007E010000}"/>
    <cellStyle name="20% - Accent3 2 3 7 2" xfId="12956" xr:uid="{E9309EF1-235F-4AFB-BED8-F525325E94C6}"/>
    <cellStyle name="20% - Accent3 2 3 8" xfId="8738" xr:uid="{7A9EC239-740A-4EEC-B385-364EB3DBD21F}"/>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C70E9085-0064-406C-9EDA-10C9E514ED8A}"/>
    <cellStyle name="20% - Accent3 2 4 2 3" xfId="11294" xr:uid="{3A48CFC3-7F0F-44F9-9F2C-E6C159BA01A1}"/>
    <cellStyle name="20% - Accent3 2 4 3" xfId="4938" xr:uid="{00000000-0005-0000-0000-000082010000}"/>
    <cellStyle name="20% - Accent3 2 4 3 2" xfId="13367" xr:uid="{B5B5D27C-FD88-41F6-A8C6-22893F2B091B}"/>
    <cellStyle name="20% - Accent3 2 4 4" xfId="9149" xr:uid="{58F613F0-CBE3-486B-99E3-F27B90E17A06}"/>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7F94AE19-A778-44B9-B7A1-65B1E7885882}"/>
    <cellStyle name="20% - Accent3 2 5 2 3" xfId="11707" xr:uid="{EC3096EE-AABE-439B-9028-49490596D5D1}"/>
    <cellStyle name="20% - Accent3 2 5 3" xfId="5351" xr:uid="{00000000-0005-0000-0000-000086010000}"/>
    <cellStyle name="20% - Accent3 2 5 3 2" xfId="13780" xr:uid="{5DE1C69E-9F18-4C96-BEE2-62057E562202}"/>
    <cellStyle name="20% - Accent3 2 5 4" xfId="9562" xr:uid="{C6185320-48E5-4A2F-B556-F76D9BB8F5AD}"/>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253DEA38-902E-4974-96BD-E4187A18650E}"/>
    <cellStyle name="20% - Accent3 2 6 2 3" xfId="12120" xr:uid="{574ED8BB-6AC8-4360-A4E9-EACF26D7A8DC}"/>
    <cellStyle name="20% - Accent3 2 6 3" xfId="5764" xr:uid="{00000000-0005-0000-0000-00008A010000}"/>
    <cellStyle name="20% - Accent3 2 6 3 2" xfId="14193" xr:uid="{2E63437F-E4B0-4C89-AF72-9ADD886F36F1}"/>
    <cellStyle name="20% - Accent3 2 6 4" xfId="9975" xr:uid="{12A1C6BC-8856-4E17-B286-422FA8FD2CDB}"/>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75A3F6A1-975C-44AE-8F6C-FF10E9E56422}"/>
    <cellStyle name="20% - Accent3 2 7 2 3" xfId="12533" xr:uid="{80257C4F-0FCA-4DDC-BEA6-F182E0EC4F69}"/>
    <cellStyle name="20% - Accent3 2 7 3" xfId="6177" xr:uid="{00000000-0005-0000-0000-00008E010000}"/>
    <cellStyle name="20% - Accent3 2 7 3 2" xfId="14606" xr:uid="{2F8FE84B-ABC2-4544-BBA6-844D162A1A11}"/>
    <cellStyle name="20% - Accent3 2 7 4" xfId="10388" xr:uid="{ADF7EEB8-27D1-4ECE-B6B8-08126157A534}"/>
    <cellStyle name="20% - Accent3 2 8" xfId="2282" xr:uid="{00000000-0005-0000-0000-00008F010000}"/>
    <cellStyle name="20% - Accent3 2 8 2" xfId="6590" xr:uid="{00000000-0005-0000-0000-000090010000}"/>
    <cellStyle name="20% - Accent3 2 8 2 2" xfId="15019" xr:uid="{96CEA0E4-3D66-4A0D-BDDF-088BAE3DFE0E}"/>
    <cellStyle name="20% - Accent3 2 8 3" xfId="10801" xr:uid="{78475FDB-50B1-4E3C-800D-79ABD6A80609}"/>
    <cellStyle name="20% - Accent3 2 9" xfId="4524" xr:uid="{00000000-0005-0000-0000-000091010000}"/>
    <cellStyle name="20% - Accent3 2 9 2" xfId="12953" xr:uid="{7B8D8A89-9665-4EBF-8F9A-90B4B48474DA}"/>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2BEED57D-08CA-41C7-8058-63CC03D2C0EA}"/>
    <cellStyle name="20% - Accent3 3 2 2 2 3" xfId="11299" xr:uid="{7F1E82B9-36AC-443E-8AA1-24293964A978}"/>
    <cellStyle name="20% - Accent3 3 2 2 3" xfId="4943" xr:uid="{00000000-0005-0000-0000-000097010000}"/>
    <cellStyle name="20% - Accent3 3 2 2 3 2" xfId="13372" xr:uid="{2124F2F4-A282-404E-8462-02352DDC888B}"/>
    <cellStyle name="20% - Accent3 3 2 2 4" xfId="9154" xr:uid="{06EC7496-1AEF-49BB-BEDF-6ADDC0010F84}"/>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0D74611E-AE70-4183-88AE-50B7CEA3543B}"/>
    <cellStyle name="20% - Accent3 3 2 3 2 3" xfId="11712" xr:uid="{B5B910D5-CBBF-4195-BFE8-4A923DFAB4C2}"/>
    <cellStyle name="20% - Accent3 3 2 3 3" xfId="5356" xr:uid="{00000000-0005-0000-0000-00009B010000}"/>
    <cellStyle name="20% - Accent3 3 2 3 3 2" xfId="13785" xr:uid="{3CA8817F-B428-4E88-B76C-A0E49D96C507}"/>
    <cellStyle name="20% - Accent3 3 2 3 4" xfId="9567" xr:uid="{3D456E73-1B43-4F5E-8134-ADBECBBA13F5}"/>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2DC9465A-7E7B-4134-B8FF-B0560BCC7649}"/>
    <cellStyle name="20% - Accent3 3 2 4 2 3" xfId="12125" xr:uid="{0350285D-D62B-403F-9E06-8EE3EBE08839}"/>
    <cellStyle name="20% - Accent3 3 2 4 3" xfId="5769" xr:uid="{00000000-0005-0000-0000-00009F010000}"/>
    <cellStyle name="20% - Accent3 3 2 4 3 2" xfId="14198" xr:uid="{31DDA275-1A87-4C1F-A8BA-54FEC080907B}"/>
    <cellStyle name="20% - Accent3 3 2 4 4" xfId="9980" xr:uid="{B99F1FFF-7EB0-4E3D-9ECB-AB353BB1E519}"/>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5CF7282A-A42A-447F-903D-1AD52964362B}"/>
    <cellStyle name="20% - Accent3 3 2 5 2 3" xfId="12538" xr:uid="{210394E8-BDDB-4D85-9E71-08DE5ECCAF31}"/>
    <cellStyle name="20% - Accent3 3 2 5 3" xfId="6182" xr:uid="{00000000-0005-0000-0000-0000A3010000}"/>
    <cellStyle name="20% - Accent3 3 2 5 3 2" xfId="14611" xr:uid="{AA43E96E-A1BA-4900-BBC3-F72B59AD959B}"/>
    <cellStyle name="20% - Accent3 3 2 5 4" xfId="10393" xr:uid="{C7644FF2-398F-48E0-A8C8-60949650A13C}"/>
    <cellStyle name="20% - Accent3 3 2 6" xfId="2287" xr:uid="{00000000-0005-0000-0000-0000A4010000}"/>
    <cellStyle name="20% - Accent3 3 2 6 2" xfId="6595" xr:uid="{00000000-0005-0000-0000-0000A5010000}"/>
    <cellStyle name="20% - Accent3 3 2 6 2 2" xfId="15024" xr:uid="{D76F9282-6D29-4B4F-BE1F-F25976593146}"/>
    <cellStyle name="20% - Accent3 3 2 6 3" xfId="10806" xr:uid="{2E103404-B8FC-48B5-955E-DE5B2A9E4E8A}"/>
    <cellStyle name="20% - Accent3 3 2 7" xfId="4529" xr:uid="{00000000-0005-0000-0000-0000A6010000}"/>
    <cellStyle name="20% - Accent3 3 2 7 2" xfId="12958" xr:uid="{9F79B835-6864-4B95-9E58-7A78D2EADF3F}"/>
    <cellStyle name="20% - Accent3 3 2 8" xfId="8740" xr:uid="{F219A2F7-09C7-432B-9F91-950B0724EFFE}"/>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A2C7545B-E8AA-4E14-BCE9-5CC1110CB084}"/>
    <cellStyle name="20% - Accent3 3 3 2 3" xfId="11298" xr:uid="{68F083F3-E022-4EF5-A149-6AE899225D7C}"/>
    <cellStyle name="20% - Accent3 3 3 3" xfId="4942" xr:uid="{00000000-0005-0000-0000-0000AA010000}"/>
    <cellStyle name="20% - Accent3 3 3 3 2" xfId="13371" xr:uid="{DF46DE47-9258-4F8A-AC2A-A514BC407303}"/>
    <cellStyle name="20% - Accent3 3 3 4" xfId="9153" xr:uid="{14739CB9-037D-4942-BCDB-DDEEA3841C9E}"/>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F670003A-5F51-4BD8-8145-6B991FE86539}"/>
    <cellStyle name="20% - Accent3 3 4 2 3" xfId="11711" xr:uid="{C5648107-44F4-415A-B0AC-202A121E09EE}"/>
    <cellStyle name="20% - Accent3 3 4 3" xfId="5355" xr:uid="{00000000-0005-0000-0000-0000AE010000}"/>
    <cellStyle name="20% - Accent3 3 4 3 2" xfId="13784" xr:uid="{97785E58-525B-4E3B-84FD-BAE7587272BD}"/>
    <cellStyle name="20% - Accent3 3 4 4" xfId="9566" xr:uid="{D9E02106-661B-4181-9D45-5606015EEA89}"/>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4B5AC9AF-162B-4B1C-AC76-816EED2D0F69}"/>
    <cellStyle name="20% - Accent3 3 5 2 3" xfId="12124" xr:uid="{93B9A0F5-07BC-4488-BCED-B62E02FF37FD}"/>
    <cellStyle name="20% - Accent3 3 5 3" xfId="5768" xr:uid="{00000000-0005-0000-0000-0000B2010000}"/>
    <cellStyle name="20% - Accent3 3 5 3 2" xfId="14197" xr:uid="{63D20E50-CE0F-4ECD-A6F7-BCCCC1BD23A8}"/>
    <cellStyle name="20% - Accent3 3 5 4" xfId="9979" xr:uid="{C0E88BAE-B03B-4083-BB5E-8D990B5017D0}"/>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EE359C95-BA80-4D25-A955-2ADF4E993E53}"/>
    <cellStyle name="20% - Accent3 3 6 2 3" xfId="12537" xr:uid="{D63D3DB8-0E75-46EB-A42D-2B0CE2FCA2B3}"/>
    <cellStyle name="20% - Accent3 3 6 3" xfId="6181" xr:uid="{00000000-0005-0000-0000-0000B6010000}"/>
    <cellStyle name="20% - Accent3 3 6 3 2" xfId="14610" xr:uid="{8C06B285-3972-41D5-B7B3-C3F5E136E9EF}"/>
    <cellStyle name="20% - Accent3 3 6 4" xfId="10392" xr:uid="{9CCB75E9-8685-4AD3-A892-04BA2CAFB11A}"/>
    <cellStyle name="20% - Accent3 3 7" xfId="2286" xr:uid="{00000000-0005-0000-0000-0000B7010000}"/>
    <cellStyle name="20% - Accent3 3 7 2" xfId="6594" xr:uid="{00000000-0005-0000-0000-0000B8010000}"/>
    <cellStyle name="20% - Accent3 3 7 2 2" xfId="15023" xr:uid="{8EE5B87B-D2CE-4CAF-81C3-A58FA1E02811}"/>
    <cellStyle name="20% - Accent3 3 7 3" xfId="10805" xr:uid="{AB0D7984-85E8-43B4-BD9A-28790B3E4C25}"/>
    <cellStyle name="20% - Accent3 3 8" xfId="4528" xr:uid="{00000000-0005-0000-0000-0000B9010000}"/>
    <cellStyle name="20% - Accent3 3 8 2" xfId="12957" xr:uid="{8F5B6DCF-0F33-4026-91CD-F6EE66E5C99B}"/>
    <cellStyle name="20% - Accent3 3 9" xfId="8739" xr:uid="{6A4BD654-EB72-4032-ABF3-15487D5C7045}"/>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881D16EF-E1CF-4B8E-ABF6-8FBE1489F805}"/>
    <cellStyle name="20% - Accent3 4 2 2 3" xfId="11300" xr:uid="{36698C6C-5C11-48F1-9357-779D8DE312E0}"/>
    <cellStyle name="20% - Accent3 4 2 3" xfId="4944" xr:uid="{00000000-0005-0000-0000-0000BE010000}"/>
    <cellStyle name="20% - Accent3 4 2 3 2" xfId="13373" xr:uid="{F1C930B9-7053-467B-888A-A8AB6A527E54}"/>
    <cellStyle name="20% - Accent3 4 2 4" xfId="9155" xr:uid="{BE8661ED-2601-4A4A-B888-8D12EAB26FCC}"/>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EE7D8FCC-B181-4ED0-B02C-E59CC6DF7C14}"/>
    <cellStyle name="20% - Accent3 4 3 2 3" xfId="11713" xr:uid="{411D1985-B961-4F19-97D2-448B2B2F7001}"/>
    <cellStyle name="20% - Accent3 4 3 3" xfId="5357" xr:uid="{00000000-0005-0000-0000-0000C2010000}"/>
    <cellStyle name="20% - Accent3 4 3 3 2" xfId="13786" xr:uid="{AAE8213E-C7C2-4DB2-AE4A-2A7081960A06}"/>
    <cellStyle name="20% - Accent3 4 3 4" xfId="9568" xr:uid="{FD3C619D-9289-44D7-84C0-0A8144FB8D9C}"/>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F46E8627-BB5D-468C-BEB4-F868B7452EF8}"/>
    <cellStyle name="20% - Accent3 4 4 2 3" xfId="12126" xr:uid="{D91159FD-7229-4BAB-8E5F-E324E583FF51}"/>
    <cellStyle name="20% - Accent3 4 4 3" xfId="5770" xr:uid="{00000000-0005-0000-0000-0000C6010000}"/>
    <cellStyle name="20% - Accent3 4 4 3 2" xfId="14199" xr:uid="{CA1F1A12-1A10-43FB-90B9-D3B892C4AFD9}"/>
    <cellStyle name="20% - Accent3 4 4 4" xfId="9981" xr:uid="{FBF0250D-D968-4EC7-B409-5F6192DA0242}"/>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D52EB4B1-8E0C-42FB-B55A-89D9253BDC53}"/>
    <cellStyle name="20% - Accent3 4 5 2 3" xfId="12539" xr:uid="{3548411B-7804-4931-8DB9-AC6167840DD6}"/>
    <cellStyle name="20% - Accent3 4 5 3" xfId="6183" xr:uid="{00000000-0005-0000-0000-0000CA010000}"/>
    <cellStyle name="20% - Accent3 4 5 3 2" xfId="14612" xr:uid="{D066A0FD-6F22-488E-92C8-64E85E2A51D9}"/>
    <cellStyle name="20% - Accent3 4 5 4" xfId="10394" xr:uid="{D0CABEAC-CDDE-4C45-9C3A-7C9A99350AD3}"/>
    <cellStyle name="20% - Accent3 4 6" xfId="2288" xr:uid="{00000000-0005-0000-0000-0000CB010000}"/>
    <cellStyle name="20% - Accent3 4 6 2" xfId="6596" xr:uid="{00000000-0005-0000-0000-0000CC010000}"/>
    <cellStyle name="20% - Accent3 4 6 2 2" xfId="15025" xr:uid="{25A917AC-A617-4B96-B8FA-7F32AF7B3B8E}"/>
    <cellStyle name="20% - Accent3 4 6 3" xfId="10807" xr:uid="{6B132FD6-E0E8-4474-B577-B1853B0BB326}"/>
    <cellStyle name="20% - Accent3 4 7" xfId="4530" xr:uid="{00000000-0005-0000-0000-0000CD010000}"/>
    <cellStyle name="20% - Accent3 4 7 2" xfId="12959" xr:uid="{A37B3098-09C3-4E3E-A283-14FAAF53F42D}"/>
    <cellStyle name="20% - Accent3 4 8" xfId="8741" xr:uid="{442A5786-1BD0-4532-91F3-768200946DB4}"/>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56256D50-E325-4C86-AF54-F5D927063399}"/>
    <cellStyle name="20% - Accent3 5 2 3" xfId="11293" xr:uid="{A4A023E1-A0EA-493E-91C5-576E79FD579A}"/>
    <cellStyle name="20% - Accent3 5 3" xfId="4937" xr:uid="{00000000-0005-0000-0000-0000D1010000}"/>
    <cellStyle name="20% - Accent3 5 3 2" xfId="13366" xr:uid="{8B47AF9B-6E29-4D37-95AA-E071CDC75F72}"/>
    <cellStyle name="20% - Accent3 5 4" xfId="9148" xr:uid="{7E376DBC-591F-48EB-86ED-132F48A79376}"/>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EB873A0E-2571-4A6D-936B-939314A5020E}"/>
    <cellStyle name="20% - Accent3 6 2 3" xfId="11706" xr:uid="{F3D36463-1176-427E-841D-F22FFC779A08}"/>
    <cellStyle name="20% - Accent3 6 3" xfId="5350" xr:uid="{00000000-0005-0000-0000-0000D5010000}"/>
    <cellStyle name="20% - Accent3 6 3 2" xfId="13779" xr:uid="{2E72EDC1-3ACF-428B-8916-945067829918}"/>
    <cellStyle name="20% - Accent3 6 4" xfId="9561" xr:uid="{C077AFC2-0AF9-4B53-AC84-FE98562CD7E4}"/>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06F7F1A8-6B82-45DB-822E-3CEB4BFA023F}"/>
    <cellStyle name="20% - Accent3 7 2 3" xfId="12119" xr:uid="{F71A045E-9501-4DAC-A3D8-AABBFE1FBABD}"/>
    <cellStyle name="20% - Accent3 7 3" xfId="5763" xr:uid="{00000000-0005-0000-0000-0000D9010000}"/>
    <cellStyle name="20% - Accent3 7 3 2" xfId="14192" xr:uid="{FAA5A07D-397D-467C-9787-A30C8D530012}"/>
    <cellStyle name="20% - Accent3 7 4" xfId="9974" xr:uid="{6C105E85-143D-4754-BCEF-B8ED529D4753}"/>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05D2395F-722F-4D13-B920-368D8CA9CE96}"/>
    <cellStyle name="20% - Accent3 8 2 3" xfId="12532" xr:uid="{AF90E7F5-630B-4C05-B2DA-67A228C1E189}"/>
    <cellStyle name="20% - Accent3 8 3" xfId="6176" xr:uid="{00000000-0005-0000-0000-0000DD010000}"/>
    <cellStyle name="20% - Accent3 8 3 2" xfId="14605" xr:uid="{299BFAD5-4972-448E-A61A-81F28DA7E5CC}"/>
    <cellStyle name="20% - Accent3 8 4" xfId="10387" xr:uid="{49858BAA-948E-485A-9759-5BEB8B5384AE}"/>
    <cellStyle name="20% - Accent3 9" xfId="2281" xr:uid="{00000000-0005-0000-0000-0000DE010000}"/>
    <cellStyle name="20% - Accent3 9 2" xfId="6589" xr:uid="{00000000-0005-0000-0000-0000DF010000}"/>
    <cellStyle name="20% - Accent3 9 2 2" xfId="15018" xr:uid="{F28FD5C2-14C5-4135-A433-27C304E7BE2D}"/>
    <cellStyle name="20% - Accent3 9 3" xfId="10800" xr:uid="{C88BADCE-2A1C-42DD-AFCE-BD7830B893A0}"/>
    <cellStyle name="20% - Accent4" xfId="25" builtinId="42" customBuiltin="1"/>
    <cellStyle name="20% - Accent4 10" xfId="4531" xr:uid="{00000000-0005-0000-0000-0000E1010000}"/>
    <cellStyle name="20% - Accent4 10 2" xfId="12960" xr:uid="{9E4402D2-2541-4354-A307-008D721D3879}"/>
    <cellStyle name="20% - Accent4 11" xfId="8742" xr:uid="{4900C300-0764-47CC-B56F-661DED7C5B81}"/>
    <cellStyle name="20% - Accent4 2" xfId="26" xr:uid="{00000000-0005-0000-0000-0000E2010000}"/>
    <cellStyle name="20% - Accent4 2 10" xfId="8743" xr:uid="{26748A44-B750-4DE5-8252-54512F5D8859}"/>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C75DED5D-D79F-49E5-969B-52162EE2558C}"/>
    <cellStyle name="20% - Accent4 2 2 2 2 2 3" xfId="11304" xr:uid="{7707D412-69CC-42E9-A3D5-E27829ECDF99}"/>
    <cellStyle name="20% - Accent4 2 2 2 2 3" xfId="4948" xr:uid="{00000000-0005-0000-0000-0000E8010000}"/>
    <cellStyle name="20% - Accent4 2 2 2 2 3 2" xfId="13377" xr:uid="{17ACDBFC-59A9-4B15-AF28-3691B4F46D43}"/>
    <cellStyle name="20% - Accent4 2 2 2 2 4" xfId="9159" xr:uid="{9190F0E6-1818-491E-93EF-A757CF55C044}"/>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06521D39-E79F-4E86-8994-8DCE2DAAF4AC}"/>
    <cellStyle name="20% - Accent4 2 2 2 3 2 3" xfId="11717" xr:uid="{B67351FA-D16B-4E0B-9951-C11921FF375C}"/>
    <cellStyle name="20% - Accent4 2 2 2 3 3" xfId="5361" xr:uid="{00000000-0005-0000-0000-0000EC010000}"/>
    <cellStyle name="20% - Accent4 2 2 2 3 3 2" xfId="13790" xr:uid="{02BD3ED2-64A7-417A-BB97-A5C1F9BD754B}"/>
    <cellStyle name="20% - Accent4 2 2 2 3 4" xfId="9572" xr:uid="{A5F53FEB-D274-457E-AB19-6D920B58C44A}"/>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5328B2EB-90A1-489F-9187-83AD77E472D9}"/>
    <cellStyle name="20% - Accent4 2 2 2 4 2 3" xfId="12130" xr:uid="{0FA95B96-1949-4C8B-9B19-E0B6548561B0}"/>
    <cellStyle name="20% - Accent4 2 2 2 4 3" xfId="5774" xr:uid="{00000000-0005-0000-0000-0000F0010000}"/>
    <cellStyle name="20% - Accent4 2 2 2 4 3 2" xfId="14203" xr:uid="{025B8CB5-9CAE-4B09-872B-D66650D6ACDB}"/>
    <cellStyle name="20% - Accent4 2 2 2 4 4" xfId="9985" xr:uid="{55E7A90A-5F5B-4164-B07E-F3CA2A694A4D}"/>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F903888D-6C53-44A5-9329-9E1F08006F3E}"/>
    <cellStyle name="20% - Accent4 2 2 2 5 2 3" xfId="12543" xr:uid="{C0C26C49-B152-46D1-B667-EC193E64844B}"/>
    <cellStyle name="20% - Accent4 2 2 2 5 3" xfId="6187" xr:uid="{00000000-0005-0000-0000-0000F4010000}"/>
    <cellStyle name="20% - Accent4 2 2 2 5 3 2" xfId="14616" xr:uid="{8A72E567-CC29-4AEC-880E-B2A6B544A4C2}"/>
    <cellStyle name="20% - Accent4 2 2 2 5 4" xfId="10398" xr:uid="{F890219C-AA5B-441A-BF72-D75E443AF6A4}"/>
    <cellStyle name="20% - Accent4 2 2 2 6" xfId="2292" xr:uid="{00000000-0005-0000-0000-0000F5010000}"/>
    <cellStyle name="20% - Accent4 2 2 2 6 2" xfId="6600" xr:uid="{00000000-0005-0000-0000-0000F6010000}"/>
    <cellStyle name="20% - Accent4 2 2 2 6 2 2" xfId="15029" xr:uid="{DA31FCD2-3C43-47A1-B3D7-EBDD8915424E}"/>
    <cellStyle name="20% - Accent4 2 2 2 6 3" xfId="10811" xr:uid="{BBC4377A-2339-47A8-959D-1258CBE641E8}"/>
    <cellStyle name="20% - Accent4 2 2 2 7" xfId="4534" xr:uid="{00000000-0005-0000-0000-0000F7010000}"/>
    <cellStyle name="20% - Accent4 2 2 2 7 2" xfId="12963" xr:uid="{FC39FF3E-05A3-4F27-B21E-9D6C8B5FB740}"/>
    <cellStyle name="20% - Accent4 2 2 2 8" xfId="8745" xr:uid="{5F3A881A-B9B8-48E1-B19A-645E1FC25E39}"/>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353B9266-5FC8-4CB1-806D-03ACFE7F3C59}"/>
    <cellStyle name="20% - Accent4 2 2 3 2 3" xfId="11303" xr:uid="{20A896F2-9CCC-4BC1-B170-A48956908D77}"/>
    <cellStyle name="20% - Accent4 2 2 3 3" xfId="4947" xr:uid="{00000000-0005-0000-0000-0000FB010000}"/>
    <cellStyle name="20% - Accent4 2 2 3 3 2" xfId="13376" xr:uid="{63C477C7-BF1C-4FF4-AC00-D3B8449B7C67}"/>
    <cellStyle name="20% - Accent4 2 2 3 4" xfId="9158" xr:uid="{9CDD220E-1DFA-4F0C-B65A-5BD641040EC7}"/>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1BCC5269-DBB7-4AE5-AC10-25381AD8522F}"/>
    <cellStyle name="20% - Accent4 2 2 4 2 3" xfId="11716" xr:uid="{B6204B14-A980-44FA-9179-081CC695544B}"/>
    <cellStyle name="20% - Accent4 2 2 4 3" xfId="5360" xr:uid="{00000000-0005-0000-0000-0000FF010000}"/>
    <cellStyle name="20% - Accent4 2 2 4 3 2" xfId="13789" xr:uid="{CC5B709A-500D-4DCA-A0C9-28677C5CF6CD}"/>
    <cellStyle name="20% - Accent4 2 2 4 4" xfId="9571" xr:uid="{5045EA07-A934-4CBB-8796-6A0320EC8296}"/>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403E31EE-D289-4E92-8190-091470B5D88B}"/>
    <cellStyle name="20% - Accent4 2 2 5 2 3" xfId="12129" xr:uid="{6EB6F9AA-29AF-4028-93D2-D4614F453C48}"/>
    <cellStyle name="20% - Accent4 2 2 5 3" xfId="5773" xr:uid="{00000000-0005-0000-0000-000003020000}"/>
    <cellStyle name="20% - Accent4 2 2 5 3 2" xfId="14202" xr:uid="{DB4E4D84-E182-4477-961E-84D2547FB0C3}"/>
    <cellStyle name="20% - Accent4 2 2 5 4" xfId="9984" xr:uid="{8928F0AF-5A02-4EE6-9023-F68E8DD3F139}"/>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E2741BF3-7F24-42CB-989F-3A74C682CB68}"/>
    <cellStyle name="20% - Accent4 2 2 6 2 3" xfId="12542" xr:uid="{F240BF5D-30A8-43C7-8A07-D0BA85240744}"/>
    <cellStyle name="20% - Accent4 2 2 6 3" xfId="6186" xr:uid="{00000000-0005-0000-0000-000007020000}"/>
    <cellStyle name="20% - Accent4 2 2 6 3 2" xfId="14615" xr:uid="{009FF5E5-B205-4BFA-AF17-B086676C7B21}"/>
    <cellStyle name="20% - Accent4 2 2 6 4" xfId="10397" xr:uid="{262AB63D-41B3-4AFD-B42D-36EA92B7B97F}"/>
    <cellStyle name="20% - Accent4 2 2 7" xfId="2291" xr:uid="{00000000-0005-0000-0000-000008020000}"/>
    <cellStyle name="20% - Accent4 2 2 7 2" xfId="6599" xr:uid="{00000000-0005-0000-0000-000009020000}"/>
    <cellStyle name="20% - Accent4 2 2 7 2 2" xfId="15028" xr:uid="{0F7A4813-046C-4823-925A-829B673A048B}"/>
    <cellStyle name="20% - Accent4 2 2 7 3" xfId="10810" xr:uid="{A69D139B-4C1D-495C-8439-3453FC20F560}"/>
    <cellStyle name="20% - Accent4 2 2 8" xfId="4533" xr:uid="{00000000-0005-0000-0000-00000A020000}"/>
    <cellStyle name="20% - Accent4 2 2 8 2" xfId="12962" xr:uid="{5A915262-79D1-4315-BCD2-4400A7530D6E}"/>
    <cellStyle name="20% - Accent4 2 2 9" xfId="8744" xr:uid="{B57FD4DA-8CEC-4AEE-BC87-1C8B7E08A361}"/>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460D81B3-FD92-4E0A-B0FA-2FBCDC655183}"/>
    <cellStyle name="20% - Accent4 2 3 2 2 3" xfId="11305" xr:uid="{92C6FD97-514F-4BBC-BD51-FBF3235CFB28}"/>
    <cellStyle name="20% - Accent4 2 3 2 3" xfId="4949" xr:uid="{00000000-0005-0000-0000-00000F020000}"/>
    <cellStyle name="20% - Accent4 2 3 2 3 2" xfId="13378" xr:uid="{0A28A50B-7E1F-4D08-A5FE-41B4CB95619C}"/>
    <cellStyle name="20% - Accent4 2 3 2 4" xfId="9160" xr:uid="{3C271CA6-4F64-468F-B11B-167AD016AA1B}"/>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5B4563FB-771D-49FF-B19E-511C1B6044D1}"/>
    <cellStyle name="20% - Accent4 2 3 3 2 3" xfId="11718" xr:uid="{E560CD97-99F0-487D-9217-A4B2602CB681}"/>
    <cellStyle name="20% - Accent4 2 3 3 3" xfId="5362" xr:uid="{00000000-0005-0000-0000-000013020000}"/>
    <cellStyle name="20% - Accent4 2 3 3 3 2" xfId="13791" xr:uid="{17B747C4-6ABE-439D-B592-46BA384BB75D}"/>
    <cellStyle name="20% - Accent4 2 3 3 4" xfId="9573" xr:uid="{D0C5EC26-9977-4267-A20D-A51462C038DD}"/>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FDC2702A-61AE-4B8B-898A-EDDD4514B4D6}"/>
    <cellStyle name="20% - Accent4 2 3 4 2 3" xfId="12131" xr:uid="{0FA9534B-69D9-4113-A072-1FDA297E8036}"/>
    <cellStyle name="20% - Accent4 2 3 4 3" xfId="5775" xr:uid="{00000000-0005-0000-0000-000017020000}"/>
    <cellStyle name="20% - Accent4 2 3 4 3 2" xfId="14204" xr:uid="{9E5F4961-A805-4DB0-B931-D9533A4D2BFF}"/>
    <cellStyle name="20% - Accent4 2 3 4 4" xfId="9986" xr:uid="{7F270391-1E97-4C3F-880A-B37E64D58264}"/>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F1D3B20E-D978-4CD1-BDB1-AC699415344E}"/>
    <cellStyle name="20% - Accent4 2 3 5 2 3" xfId="12544" xr:uid="{C171457B-C5E7-49C4-85D9-AAFD945A7C23}"/>
    <cellStyle name="20% - Accent4 2 3 5 3" xfId="6188" xr:uid="{00000000-0005-0000-0000-00001B020000}"/>
    <cellStyle name="20% - Accent4 2 3 5 3 2" xfId="14617" xr:uid="{B4BC742A-F5BE-4AA4-B11C-7191ABA52495}"/>
    <cellStyle name="20% - Accent4 2 3 5 4" xfId="10399" xr:uid="{46584EBD-9C1A-4EF9-89C8-DBF10D3A71CA}"/>
    <cellStyle name="20% - Accent4 2 3 6" xfId="2293" xr:uid="{00000000-0005-0000-0000-00001C020000}"/>
    <cellStyle name="20% - Accent4 2 3 6 2" xfId="6601" xr:uid="{00000000-0005-0000-0000-00001D020000}"/>
    <cellStyle name="20% - Accent4 2 3 6 2 2" xfId="15030" xr:uid="{E8B082B2-F388-47EB-AB92-C06502745E4C}"/>
    <cellStyle name="20% - Accent4 2 3 6 3" xfId="10812" xr:uid="{DC489D8C-2D1D-461D-AA76-54320DDC54B8}"/>
    <cellStyle name="20% - Accent4 2 3 7" xfId="4535" xr:uid="{00000000-0005-0000-0000-00001E020000}"/>
    <cellStyle name="20% - Accent4 2 3 7 2" xfId="12964" xr:uid="{D7FC50B9-AF88-4B0C-B915-2A23987DFDD6}"/>
    <cellStyle name="20% - Accent4 2 3 8" xfId="8746" xr:uid="{892C3F30-A941-411C-BE92-9F375E097754}"/>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FA930439-7359-4B91-8427-3971F775B083}"/>
    <cellStyle name="20% - Accent4 2 4 2 3" xfId="11302" xr:uid="{247E460E-E94B-41AA-A487-92C04FA2059A}"/>
    <cellStyle name="20% - Accent4 2 4 3" xfId="4946" xr:uid="{00000000-0005-0000-0000-000022020000}"/>
    <cellStyle name="20% - Accent4 2 4 3 2" xfId="13375" xr:uid="{A6292F72-73D4-4498-976C-E9E25983D299}"/>
    <cellStyle name="20% - Accent4 2 4 4" xfId="9157" xr:uid="{3DF1831B-C68B-46CF-893C-5F835C3BCB84}"/>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4B68AC44-9815-4AE4-BF2E-3246C80F6BA7}"/>
    <cellStyle name="20% - Accent4 2 5 2 3" xfId="11715" xr:uid="{252931B9-996A-417F-B0CA-D662F77F2BE8}"/>
    <cellStyle name="20% - Accent4 2 5 3" xfId="5359" xr:uid="{00000000-0005-0000-0000-000026020000}"/>
    <cellStyle name="20% - Accent4 2 5 3 2" xfId="13788" xr:uid="{97A13789-78B2-4BF4-9DD8-C3BFD59E6E2C}"/>
    <cellStyle name="20% - Accent4 2 5 4" xfId="9570" xr:uid="{DC6E5155-D9D7-4F00-BB92-C6006944367F}"/>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ABFA7C9C-1865-4F42-BBCA-CAF7F2211615}"/>
    <cellStyle name="20% - Accent4 2 6 2 3" xfId="12128" xr:uid="{7C58D04A-BE46-47C0-9624-FC3E995EB748}"/>
    <cellStyle name="20% - Accent4 2 6 3" xfId="5772" xr:uid="{00000000-0005-0000-0000-00002A020000}"/>
    <cellStyle name="20% - Accent4 2 6 3 2" xfId="14201" xr:uid="{5BA0656D-BBBA-4FE8-81B4-F71A2329D1E2}"/>
    <cellStyle name="20% - Accent4 2 6 4" xfId="9983" xr:uid="{6F350808-34C7-40EC-A603-FAAB33F12161}"/>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B820BF0F-B7CB-4E9F-A90E-266C148DDB5E}"/>
    <cellStyle name="20% - Accent4 2 7 2 3" xfId="12541" xr:uid="{F49480A7-2AB1-4CC4-A0B9-F73E4B55F539}"/>
    <cellStyle name="20% - Accent4 2 7 3" xfId="6185" xr:uid="{00000000-0005-0000-0000-00002E020000}"/>
    <cellStyle name="20% - Accent4 2 7 3 2" xfId="14614" xr:uid="{A121AF93-881D-46BD-9426-5F3DEE307538}"/>
    <cellStyle name="20% - Accent4 2 7 4" xfId="10396" xr:uid="{7B816178-044C-4B46-A701-C5BD851EA287}"/>
    <cellStyle name="20% - Accent4 2 8" xfId="2290" xr:uid="{00000000-0005-0000-0000-00002F020000}"/>
    <cellStyle name="20% - Accent4 2 8 2" xfId="6598" xr:uid="{00000000-0005-0000-0000-000030020000}"/>
    <cellStyle name="20% - Accent4 2 8 2 2" xfId="15027" xr:uid="{593BE688-0871-4495-8FB0-959F2F6205EB}"/>
    <cellStyle name="20% - Accent4 2 8 3" xfId="10809" xr:uid="{4E588676-F0F3-479E-B122-142C8DFBE2E8}"/>
    <cellStyle name="20% - Accent4 2 9" xfId="4532" xr:uid="{00000000-0005-0000-0000-000031020000}"/>
    <cellStyle name="20% - Accent4 2 9 2" xfId="12961" xr:uid="{57E8A30B-4179-427F-AB2F-A21276478DAE}"/>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4D3BC900-538E-4599-AE0B-59ED2B2EC248}"/>
    <cellStyle name="20% - Accent4 3 2 2 2 3" xfId="11307" xr:uid="{AC0CCC88-25FB-44D9-AE69-FA7FDCB98462}"/>
    <cellStyle name="20% - Accent4 3 2 2 3" xfId="4951" xr:uid="{00000000-0005-0000-0000-000037020000}"/>
    <cellStyle name="20% - Accent4 3 2 2 3 2" xfId="13380" xr:uid="{CA9F7C32-7077-4749-A2CC-9EF677FDBDC2}"/>
    <cellStyle name="20% - Accent4 3 2 2 4" xfId="9162" xr:uid="{69337B81-D1F4-4C54-A02C-A171BB7000D3}"/>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B296B90F-BB3E-4AFD-85E0-D70786196DCE}"/>
    <cellStyle name="20% - Accent4 3 2 3 2 3" xfId="11720" xr:uid="{0BB62E3A-6984-4378-A462-5E2787805F99}"/>
    <cellStyle name="20% - Accent4 3 2 3 3" xfId="5364" xr:uid="{00000000-0005-0000-0000-00003B020000}"/>
    <cellStyle name="20% - Accent4 3 2 3 3 2" xfId="13793" xr:uid="{F3C27EBA-1E8D-421A-8BE0-83A576A0145B}"/>
    <cellStyle name="20% - Accent4 3 2 3 4" xfId="9575" xr:uid="{F9CC7538-9C6D-4916-B01D-ED7DDF4B4B6B}"/>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4E414FEC-1C87-4AC6-864F-40CAED4AECD6}"/>
    <cellStyle name="20% - Accent4 3 2 4 2 3" xfId="12133" xr:uid="{254C3ADD-F8F9-4596-926B-2FA76226DF2E}"/>
    <cellStyle name="20% - Accent4 3 2 4 3" xfId="5777" xr:uid="{00000000-0005-0000-0000-00003F020000}"/>
    <cellStyle name="20% - Accent4 3 2 4 3 2" xfId="14206" xr:uid="{4B79B771-067F-4BE8-A554-5876DE563A3E}"/>
    <cellStyle name="20% - Accent4 3 2 4 4" xfId="9988" xr:uid="{30F113B8-15DC-4AF0-B3E2-D28BFD357CA7}"/>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70499285-AC50-4562-99C2-FBBAE46BA3B9}"/>
    <cellStyle name="20% - Accent4 3 2 5 2 3" xfId="12546" xr:uid="{E8F33954-1CA0-4199-94D1-5C1A153A9386}"/>
    <cellStyle name="20% - Accent4 3 2 5 3" xfId="6190" xr:uid="{00000000-0005-0000-0000-000043020000}"/>
    <cellStyle name="20% - Accent4 3 2 5 3 2" xfId="14619" xr:uid="{CE13CA63-EE77-4FC9-B489-1A61486A73CA}"/>
    <cellStyle name="20% - Accent4 3 2 5 4" xfId="10401" xr:uid="{BBE83D52-9065-4646-9D8C-F3E1D633D911}"/>
    <cellStyle name="20% - Accent4 3 2 6" xfId="2295" xr:uid="{00000000-0005-0000-0000-000044020000}"/>
    <cellStyle name="20% - Accent4 3 2 6 2" xfId="6603" xr:uid="{00000000-0005-0000-0000-000045020000}"/>
    <cellStyle name="20% - Accent4 3 2 6 2 2" xfId="15032" xr:uid="{24497A12-4946-41CC-B8BE-48DD98C02087}"/>
    <cellStyle name="20% - Accent4 3 2 6 3" xfId="10814" xr:uid="{FA8ED2A8-C79A-4AD4-880A-466B7AABCC2F}"/>
    <cellStyle name="20% - Accent4 3 2 7" xfId="4537" xr:uid="{00000000-0005-0000-0000-000046020000}"/>
    <cellStyle name="20% - Accent4 3 2 7 2" xfId="12966" xr:uid="{55DB9AB2-F361-427B-8EAD-DE4C74745EA4}"/>
    <cellStyle name="20% - Accent4 3 2 8" xfId="8748" xr:uid="{600C2EBC-5559-4FF1-9C8A-93B4AEB512C3}"/>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359482AB-285A-4F3E-BEA0-B848B73D8C9A}"/>
    <cellStyle name="20% - Accent4 3 3 2 3" xfId="11306" xr:uid="{B954E249-75F5-45B9-96F8-DDE40FF75096}"/>
    <cellStyle name="20% - Accent4 3 3 3" xfId="4950" xr:uid="{00000000-0005-0000-0000-00004A020000}"/>
    <cellStyle name="20% - Accent4 3 3 3 2" xfId="13379" xr:uid="{6A70BF4E-CE6D-4B32-86BC-F1E16198AF63}"/>
    <cellStyle name="20% - Accent4 3 3 4" xfId="9161" xr:uid="{1E09149E-8CBA-4A57-A0BD-E24273BE84F8}"/>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1C929CF5-0C5A-4F17-95E6-2B223C4F861A}"/>
    <cellStyle name="20% - Accent4 3 4 2 3" xfId="11719" xr:uid="{8CDE8BE4-4DD0-4958-81D6-B4FF89E2CFC8}"/>
    <cellStyle name="20% - Accent4 3 4 3" xfId="5363" xr:uid="{00000000-0005-0000-0000-00004E020000}"/>
    <cellStyle name="20% - Accent4 3 4 3 2" xfId="13792" xr:uid="{D77B80C8-FBAA-4A06-BB54-963C62F66599}"/>
    <cellStyle name="20% - Accent4 3 4 4" xfId="9574" xr:uid="{ED4E25D4-D34C-4186-A9A0-800F083A4977}"/>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324AC20C-4022-40BF-A489-F1856A3D6491}"/>
    <cellStyle name="20% - Accent4 3 5 2 3" xfId="12132" xr:uid="{20C1ECD8-055B-4B79-9650-342AB32C178B}"/>
    <cellStyle name="20% - Accent4 3 5 3" xfId="5776" xr:uid="{00000000-0005-0000-0000-000052020000}"/>
    <cellStyle name="20% - Accent4 3 5 3 2" xfId="14205" xr:uid="{CAF02AE0-37AC-4BA3-9045-A74D25D744C4}"/>
    <cellStyle name="20% - Accent4 3 5 4" xfId="9987" xr:uid="{774C91DC-7879-4A87-9F29-5A1A395D4247}"/>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B068C73C-8C8E-4A94-A8F0-D057340877D3}"/>
    <cellStyle name="20% - Accent4 3 6 2 3" xfId="12545" xr:uid="{21037049-BC26-465C-ADDC-BC750ECDF60D}"/>
    <cellStyle name="20% - Accent4 3 6 3" xfId="6189" xr:uid="{00000000-0005-0000-0000-000056020000}"/>
    <cellStyle name="20% - Accent4 3 6 3 2" xfId="14618" xr:uid="{2F9956E8-560A-4764-90C9-4D66D0D2602A}"/>
    <cellStyle name="20% - Accent4 3 6 4" xfId="10400" xr:uid="{F736DC3E-289B-48C7-8F5C-F2096000C40D}"/>
    <cellStyle name="20% - Accent4 3 7" xfId="2294" xr:uid="{00000000-0005-0000-0000-000057020000}"/>
    <cellStyle name="20% - Accent4 3 7 2" xfId="6602" xr:uid="{00000000-0005-0000-0000-000058020000}"/>
    <cellStyle name="20% - Accent4 3 7 2 2" xfId="15031" xr:uid="{2B9B0742-06D2-4222-8D70-A02552FAE5E0}"/>
    <cellStyle name="20% - Accent4 3 7 3" xfId="10813" xr:uid="{DCA12FF1-40A8-4712-8B76-5F85BCDDF8A8}"/>
    <cellStyle name="20% - Accent4 3 8" xfId="4536" xr:uid="{00000000-0005-0000-0000-000059020000}"/>
    <cellStyle name="20% - Accent4 3 8 2" xfId="12965" xr:uid="{5E17E427-B32A-4028-AC10-A154E1959797}"/>
    <cellStyle name="20% - Accent4 3 9" xfId="8747" xr:uid="{FD116BC5-9DCE-47BE-B9B6-F5E57AA0830B}"/>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95E65FE5-58F2-4A41-86F1-272B8311B5DE}"/>
    <cellStyle name="20% - Accent4 4 2 2 3" xfId="11308" xr:uid="{4DD79417-6403-44D1-9B19-7FE78C2C7514}"/>
    <cellStyle name="20% - Accent4 4 2 3" xfId="4952" xr:uid="{00000000-0005-0000-0000-00005E020000}"/>
    <cellStyle name="20% - Accent4 4 2 3 2" xfId="13381" xr:uid="{4BBE5DA5-C1EF-408C-B8AE-BB4BAB5C377A}"/>
    <cellStyle name="20% - Accent4 4 2 4" xfId="9163" xr:uid="{29C8B0D8-77E9-4933-8324-73CB926F1E6F}"/>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2FD66FE2-A672-4A58-860D-AC4C0AF077AA}"/>
    <cellStyle name="20% - Accent4 4 3 2 3" xfId="11721" xr:uid="{6B022B43-0D8E-4146-83E3-14EA7DFF4AA9}"/>
    <cellStyle name="20% - Accent4 4 3 3" xfId="5365" xr:uid="{00000000-0005-0000-0000-000062020000}"/>
    <cellStyle name="20% - Accent4 4 3 3 2" xfId="13794" xr:uid="{E861FCEB-9472-4DA3-B9E2-2B8DF10A9E3B}"/>
    <cellStyle name="20% - Accent4 4 3 4" xfId="9576" xr:uid="{D2E863F4-1B2C-421D-9B92-D76DA40C13B8}"/>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C869B079-4E3A-4958-ABA3-5477B5A494D0}"/>
    <cellStyle name="20% - Accent4 4 4 2 3" xfId="12134" xr:uid="{BE86DEA4-0C32-4BC8-AB5B-EF3402201B19}"/>
    <cellStyle name="20% - Accent4 4 4 3" xfId="5778" xr:uid="{00000000-0005-0000-0000-000066020000}"/>
    <cellStyle name="20% - Accent4 4 4 3 2" xfId="14207" xr:uid="{8975F4B4-901C-4CB0-98D2-D6335C66DD69}"/>
    <cellStyle name="20% - Accent4 4 4 4" xfId="9989" xr:uid="{70F0EC0A-9E80-4F70-8BCC-D621A6FAB458}"/>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0CA04C82-FF13-4E02-9799-7F370E5B4EB2}"/>
    <cellStyle name="20% - Accent4 4 5 2 3" xfId="12547" xr:uid="{735C10A8-7A43-4278-86EF-4C50A409FD80}"/>
    <cellStyle name="20% - Accent4 4 5 3" xfId="6191" xr:uid="{00000000-0005-0000-0000-00006A020000}"/>
    <cellStyle name="20% - Accent4 4 5 3 2" xfId="14620" xr:uid="{2FD294AE-9B3A-4518-959F-8812D6DAF685}"/>
    <cellStyle name="20% - Accent4 4 5 4" xfId="10402" xr:uid="{BF8EBB8B-98D2-40DC-BE0F-B4AD39D0C97C}"/>
    <cellStyle name="20% - Accent4 4 6" xfId="2296" xr:uid="{00000000-0005-0000-0000-00006B020000}"/>
    <cellStyle name="20% - Accent4 4 6 2" xfId="6604" xr:uid="{00000000-0005-0000-0000-00006C020000}"/>
    <cellStyle name="20% - Accent4 4 6 2 2" xfId="15033" xr:uid="{AE65DF41-C1EF-4F51-B7E5-55A292B71C69}"/>
    <cellStyle name="20% - Accent4 4 6 3" xfId="10815" xr:uid="{13E1AA9A-E893-4F83-A749-3980C84006C8}"/>
    <cellStyle name="20% - Accent4 4 7" xfId="4538" xr:uid="{00000000-0005-0000-0000-00006D020000}"/>
    <cellStyle name="20% - Accent4 4 7 2" xfId="12967" xr:uid="{1C113C23-73E3-4F50-B572-4851EB23C84B}"/>
    <cellStyle name="20% - Accent4 4 8" xfId="8749" xr:uid="{495C9BD6-C98B-4702-B445-39FA4492C04C}"/>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F10B8AE0-22AD-4231-8E6C-E11DBC77D29A}"/>
    <cellStyle name="20% - Accent4 5 2 3" xfId="11301" xr:uid="{002630E3-C1B1-4109-8DDA-931D9D89E776}"/>
    <cellStyle name="20% - Accent4 5 3" xfId="4945" xr:uid="{00000000-0005-0000-0000-000071020000}"/>
    <cellStyle name="20% - Accent4 5 3 2" xfId="13374" xr:uid="{B851AD6F-BF80-46E2-9771-3E022CEFB51A}"/>
    <cellStyle name="20% - Accent4 5 4" xfId="9156" xr:uid="{ECBDE645-E8C9-4FF3-A4B4-A6BAB59E023A}"/>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1C27C8B2-E908-46DD-BC68-088F2C4C73D9}"/>
    <cellStyle name="20% - Accent4 6 2 3" xfId="11714" xr:uid="{AABF13C2-E556-433A-9F4A-C7A37FE7C8E9}"/>
    <cellStyle name="20% - Accent4 6 3" xfId="5358" xr:uid="{00000000-0005-0000-0000-000075020000}"/>
    <cellStyle name="20% - Accent4 6 3 2" xfId="13787" xr:uid="{76778B39-EBCD-484F-B391-1DCD1C1DA19D}"/>
    <cellStyle name="20% - Accent4 6 4" xfId="9569" xr:uid="{D63E717F-8937-4D29-BC43-211460A52FEB}"/>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4AD8ECAD-22CD-46E6-B9D2-CD2F8C747ACD}"/>
    <cellStyle name="20% - Accent4 7 2 3" xfId="12127" xr:uid="{A2BB9BE5-E697-45EE-90B0-F44FC44BA3BE}"/>
    <cellStyle name="20% - Accent4 7 3" xfId="5771" xr:uid="{00000000-0005-0000-0000-000079020000}"/>
    <cellStyle name="20% - Accent4 7 3 2" xfId="14200" xr:uid="{DBDC0277-4201-4BFC-8982-F9EDD664CCA9}"/>
    <cellStyle name="20% - Accent4 7 4" xfId="9982" xr:uid="{3E320BC3-5FCF-407E-84BD-72E7D02AF5F5}"/>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3ABC78F4-0E9E-43B1-9BD5-0076BA0E9FC3}"/>
    <cellStyle name="20% - Accent4 8 2 3" xfId="12540" xr:uid="{647168FA-58D2-4339-9423-12CA854A52F2}"/>
    <cellStyle name="20% - Accent4 8 3" xfId="6184" xr:uid="{00000000-0005-0000-0000-00007D020000}"/>
    <cellStyle name="20% - Accent4 8 3 2" xfId="14613" xr:uid="{C55EADE5-B58D-4F4B-942F-4A58E8FBAFAD}"/>
    <cellStyle name="20% - Accent4 8 4" xfId="10395" xr:uid="{1381C38A-E331-4DC2-A8C0-8302F8E567A8}"/>
    <cellStyle name="20% - Accent4 9" xfId="2289" xr:uid="{00000000-0005-0000-0000-00007E020000}"/>
    <cellStyle name="20% - Accent4 9 2" xfId="6597" xr:uid="{00000000-0005-0000-0000-00007F020000}"/>
    <cellStyle name="20% - Accent4 9 2 2" xfId="15026" xr:uid="{E097D5C1-5999-42CC-9D58-9DDB3A8592BC}"/>
    <cellStyle name="20% - Accent4 9 3" xfId="10808" xr:uid="{6885F306-9B92-4964-8ABC-11F8BDCFA6F3}"/>
    <cellStyle name="20% - Accent5" xfId="33" builtinId="46" customBuiltin="1"/>
    <cellStyle name="20% - Accent5 10" xfId="4539" xr:uid="{00000000-0005-0000-0000-000081020000}"/>
    <cellStyle name="20% - Accent5 10 2" xfId="12968" xr:uid="{9E7D69DC-D88E-49ED-A101-F3FB8DDBCEC4}"/>
    <cellStyle name="20% - Accent5 11" xfId="8750" xr:uid="{4B3A95BF-878A-4B7E-9F63-369FE0D96D33}"/>
    <cellStyle name="20% - Accent5 2" xfId="34" xr:uid="{00000000-0005-0000-0000-000082020000}"/>
    <cellStyle name="20% - Accent5 2 10" xfId="8751" xr:uid="{80AF3276-4EEE-496D-A669-8EE25249F8DF}"/>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C65BB9E3-5947-4609-90D2-C65C3789EC0B}"/>
    <cellStyle name="20% - Accent5 2 2 2 2 2 3" xfId="11312" xr:uid="{C4B23BBA-4627-43F1-8001-D110CFA29E6D}"/>
    <cellStyle name="20% - Accent5 2 2 2 2 3" xfId="4956" xr:uid="{00000000-0005-0000-0000-000088020000}"/>
    <cellStyle name="20% - Accent5 2 2 2 2 3 2" xfId="13385" xr:uid="{3532DC65-6B47-4548-8E9A-78CD2DC892BB}"/>
    <cellStyle name="20% - Accent5 2 2 2 2 4" xfId="9167" xr:uid="{B12E9019-CD4E-493C-8DE5-AC48842659B5}"/>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68ABF01E-45F8-4BD7-82C5-0716EC7B8956}"/>
    <cellStyle name="20% - Accent5 2 2 2 3 2 3" xfId="11725" xr:uid="{5E224B22-5F00-4540-A5AA-71581AA714BC}"/>
    <cellStyle name="20% - Accent5 2 2 2 3 3" xfId="5369" xr:uid="{00000000-0005-0000-0000-00008C020000}"/>
    <cellStyle name="20% - Accent5 2 2 2 3 3 2" xfId="13798" xr:uid="{C63F55FA-E129-44C7-8AB5-0C84BD7E801B}"/>
    <cellStyle name="20% - Accent5 2 2 2 3 4" xfId="9580" xr:uid="{68E62729-1B10-44E7-9184-707271720EF1}"/>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58049D40-27F3-404D-9FFD-D3ED035E1DCB}"/>
    <cellStyle name="20% - Accent5 2 2 2 4 2 3" xfId="12138" xr:uid="{DC986533-A903-4114-A2B9-69A028B40D31}"/>
    <cellStyle name="20% - Accent5 2 2 2 4 3" xfId="5782" xr:uid="{00000000-0005-0000-0000-000090020000}"/>
    <cellStyle name="20% - Accent5 2 2 2 4 3 2" xfId="14211" xr:uid="{D9067B21-A466-4854-A35D-CDD3C90A6705}"/>
    <cellStyle name="20% - Accent5 2 2 2 4 4" xfId="9993" xr:uid="{16B5260C-100A-4F94-AB36-A63C931EDCC1}"/>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AB86981F-2565-4177-B8FD-B2477FDC6C37}"/>
    <cellStyle name="20% - Accent5 2 2 2 5 2 3" xfId="12551" xr:uid="{22BD05AD-FB02-4A11-BE93-9AB0A7EF705D}"/>
    <cellStyle name="20% - Accent5 2 2 2 5 3" xfId="6195" xr:uid="{00000000-0005-0000-0000-000094020000}"/>
    <cellStyle name="20% - Accent5 2 2 2 5 3 2" xfId="14624" xr:uid="{000A4D5D-F0E9-4208-AEC6-69520B095C16}"/>
    <cellStyle name="20% - Accent5 2 2 2 5 4" xfId="10406" xr:uid="{6EB06619-EDDB-4CC8-B50E-7BA4BDCD028C}"/>
    <cellStyle name="20% - Accent5 2 2 2 6" xfId="2300" xr:uid="{00000000-0005-0000-0000-000095020000}"/>
    <cellStyle name="20% - Accent5 2 2 2 6 2" xfId="6608" xr:uid="{00000000-0005-0000-0000-000096020000}"/>
    <cellStyle name="20% - Accent5 2 2 2 6 2 2" xfId="15037" xr:uid="{3F508BD9-656D-439B-9A09-99ABC725ECAC}"/>
    <cellStyle name="20% - Accent5 2 2 2 6 3" xfId="10819" xr:uid="{6B0DC903-298E-41F8-8187-9BC96DACB53E}"/>
    <cellStyle name="20% - Accent5 2 2 2 7" xfId="4542" xr:uid="{00000000-0005-0000-0000-000097020000}"/>
    <cellStyle name="20% - Accent5 2 2 2 7 2" xfId="12971" xr:uid="{DA53BFE5-D77F-4209-A84F-8E3FF59B7F24}"/>
    <cellStyle name="20% - Accent5 2 2 2 8" xfId="8753" xr:uid="{AB672A9E-7EFF-4B3E-8CCF-39281BDC0115}"/>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E318C6BC-DB4C-408B-8404-FB58058D65A0}"/>
    <cellStyle name="20% - Accent5 2 2 3 2 3" xfId="11311" xr:uid="{45B2CE1C-67A1-4F1C-8ACB-9A812FE39575}"/>
    <cellStyle name="20% - Accent5 2 2 3 3" xfId="4955" xr:uid="{00000000-0005-0000-0000-00009B020000}"/>
    <cellStyle name="20% - Accent5 2 2 3 3 2" xfId="13384" xr:uid="{43C8AB62-D118-433C-A0AC-E6A44FA7209B}"/>
    <cellStyle name="20% - Accent5 2 2 3 4" xfId="9166" xr:uid="{067D9109-9227-425D-A0D5-ED1E03708354}"/>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F0B3AA25-AB9B-4241-9730-D3C26925089C}"/>
    <cellStyle name="20% - Accent5 2 2 4 2 3" xfId="11724" xr:uid="{6687D81D-D1F7-4411-BB07-39E22031F63B}"/>
    <cellStyle name="20% - Accent5 2 2 4 3" xfId="5368" xr:uid="{00000000-0005-0000-0000-00009F020000}"/>
    <cellStyle name="20% - Accent5 2 2 4 3 2" xfId="13797" xr:uid="{1489077D-D1FF-4F08-A6CD-368486E919E5}"/>
    <cellStyle name="20% - Accent5 2 2 4 4" xfId="9579" xr:uid="{7FAC24E7-9AA0-4864-A550-02A37C8B103C}"/>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1AF791E1-7F12-4299-AD8A-F05FC816B0E2}"/>
    <cellStyle name="20% - Accent5 2 2 5 2 3" xfId="12137" xr:uid="{6542EF73-A5E7-40E8-AB64-2EDB4A5B55F2}"/>
    <cellStyle name="20% - Accent5 2 2 5 3" xfId="5781" xr:uid="{00000000-0005-0000-0000-0000A3020000}"/>
    <cellStyle name="20% - Accent5 2 2 5 3 2" xfId="14210" xr:uid="{971EFE68-611A-466A-AD29-886A09F6E505}"/>
    <cellStyle name="20% - Accent5 2 2 5 4" xfId="9992" xr:uid="{E09D9AC4-3E22-4C74-B861-258EA739BA8A}"/>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84438DAA-3EAA-432E-94CC-AE623EA1EB85}"/>
    <cellStyle name="20% - Accent5 2 2 6 2 3" xfId="12550" xr:uid="{66B90036-A70D-430C-9F30-464DA9DE8BF1}"/>
    <cellStyle name="20% - Accent5 2 2 6 3" xfId="6194" xr:uid="{00000000-0005-0000-0000-0000A7020000}"/>
    <cellStyle name="20% - Accent5 2 2 6 3 2" xfId="14623" xr:uid="{261D1E0B-AFE3-42EA-AAB6-F902546BC39C}"/>
    <cellStyle name="20% - Accent5 2 2 6 4" xfId="10405" xr:uid="{86A99C92-0EC2-4CFC-8F64-A683C6E641F3}"/>
    <cellStyle name="20% - Accent5 2 2 7" xfId="2299" xr:uid="{00000000-0005-0000-0000-0000A8020000}"/>
    <cellStyle name="20% - Accent5 2 2 7 2" xfId="6607" xr:uid="{00000000-0005-0000-0000-0000A9020000}"/>
    <cellStyle name="20% - Accent5 2 2 7 2 2" xfId="15036" xr:uid="{F247BCCF-8901-477E-A838-6C6F5D96A838}"/>
    <cellStyle name="20% - Accent5 2 2 7 3" xfId="10818" xr:uid="{B41837EB-35E9-4904-B839-54756D5E9920}"/>
    <cellStyle name="20% - Accent5 2 2 8" xfId="4541" xr:uid="{00000000-0005-0000-0000-0000AA020000}"/>
    <cellStyle name="20% - Accent5 2 2 8 2" xfId="12970" xr:uid="{063F94D8-BC92-4640-950A-448CC6E697D7}"/>
    <cellStyle name="20% - Accent5 2 2 9" xfId="8752" xr:uid="{70974EF2-45B3-4708-B483-607EAC9528EE}"/>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E1FB734E-CAF7-4642-B268-58D227A072C1}"/>
    <cellStyle name="20% - Accent5 2 3 2 2 3" xfId="11313" xr:uid="{54B1DBAB-22AA-4957-9DBE-013A77CB237D}"/>
    <cellStyle name="20% - Accent5 2 3 2 3" xfId="4957" xr:uid="{00000000-0005-0000-0000-0000AF020000}"/>
    <cellStyle name="20% - Accent5 2 3 2 3 2" xfId="13386" xr:uid="{CAA9596B-9718-4194-B62D-F64CE1DD32A7}"/>
    <cellStyle name="20% - Accent5 2 3 2 4" xfId="9168" xr:uid="{D7196150-AAF0-4033-BDFA-270DE5CC5DC6}"/>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0AEDA1EF-C863-4972-B619-5DAF0208A121}"/>
    <cellStyle name="20% - Accent5 2 3 3 2 3" xfId="11726" xr:uid="{510E853A-3156-4852-AE39-99DBB8C8935A}"/>
    <cellStyle name="20% - Accent5 2 3 3 3" xfId="5370" xr:uid="{00000000-0005-0000-0000-0000B3020000}"/>
    <cellStyle name="20% - Accent5 2 3 3 3 2" xfId="13799" xr:uid="{327CE0E5-74FB-4BEE-9AF9-8172C3A4CF4F}"/>
    <cellStyle name="20% - Accent5 2 3 3 4" xfId="9581" xr:uid="{BA433FD7-882F-4982-8CA4-605158482DC8}"/>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002ED0EF-5DF4-470A-A272-141AD1C74040}"/>
    <cellStyle name="20% - Accent5 2 3 4 2 3" xfId="12139" xr:uid="{D1CE1D4D-4FC4-44B9-96A2-26EF1390740C}"/>
    <cellStyle name="20% - Accent5 2 3 4 3" xfId="5783" xr:uid="{00000000-0005-0000-0000-0000B7020000}"/>
    <cellStyle name="20% - Accent5 2 3 4 3 2" xfId="14212" xr:uid="{ED1DEE96-65F6-47C1-8617-F0912C33B8A2}"/>
    <cellStyle name="20% - Accent5 2 3 4 4" xfId="9994" xr:uid="{84942271-1A4C-41DA-A320-8C96C202339A}"/>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0AE38AAC-9687-4181-A544-89BEE8C1D133}"/>
    <cellStyle name="20% - Accent5 2 3 5 2 3" xfId="12552" xr:uid="{CB048EF5-9015-4DFE-A674-9AF718C2EC79}"/>
    <cellStyle name="20% - Accent5 2 3 5 3" xfId="6196" xr:uid="{00000000-0005-0000-0000-0000BB020000}"/>
    <cellStyle name="20% - Accent5 2 3 5 3 2" xfId="14625" xr:uid="{AB452E91-7B77-49A5-87E0-06C7EC147A90}"/>
    <cellStyle name="20% - Accent5 2 3 5 4" xfId="10407" xr:uid="{7C21EA5E-EB61-4EEB-BBDF-606E27B4F42E}"/>
    <cellStyle name="20% - Accent5 2 3 6" xfId="2301" xr:uid="{00000000-0005-0000-0000-0000BC020000}"/>
    <cellStyle name="20% - Accent5 2 3 6 2" xfId="6609" xr:uid="{00000000-0005-0000-0000-0000BD020000}"/>
    <cellStyle name="20% - Accent5 2 3 6 2 2" xfId="15038" xr:uid="{BA15EF7E-95BD-4CF4-8297-1AE8D598A54B}"/>
    <cellStyle name="20% - Accent5 2 3 6 3" xfId="10820" xr:uid="{DC7803C1-BD39-41C2-86B3-0ADF51369B1D}"/>
    <cellStyle name="20% - Accent5 2 3 7" xfId="4543" xr:uid="{00000000-0005-0000-0000-0000BE020000}"/>
    <cellStyle name="20% - Accent5 2 3 7 2" xfId="12972" xr:uid="{520C1AE9-56B9-44C3-A265-50B776F5A0C4}"/>
    <cellStyle name="20% - Accent5 2 3 8" xfId="8754" xr:uid="{DC7EFCED-1BD5-441C-A7FB-2A3BE4217F36}"/>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9B90BC3D-63B9-49C9-A6DE-6207912502D4}"/>
    <cellStyle name="20% - Accent5 2 4 2 3" xfId="11310" xr:uid="{8965138D-19AB-4230-910B-C410211F8C2D}"/>
    <cellStyle name="20% - Accent5 2 4 3" xfId="4954" xr:uid="{00000000-0005-0000-0000-0000C2020000}"/>
    <cellStyle name="20% - Accent5 2 4 3 2" xfId="13383" xr:uid="{E47CB5FD-FBD1-4782-9DF9-4BF3E8BBE63C}"/>
    <cellStyle name="20% - Accent5 2 4 4" xfId="9165" xr:uid="{A94D8205-D978-45E6-8025-695FB7928827}"/>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732061A8-78D4-49F2-8FFB-199B6074CEBD}"/>
    <cellStyle name="20% - Accent5 2 5 2 3" xfId="11723" xr:uid="{41174182-C90D-4840-B39D-C4FBA294C2F9}"/>
    <cellStyle name="20% - Accent5 2 5 3" xfId="5367" xr:uid="{00000000-0005-0000-0000-0000C6020000}"/>
    <cellStyle name="20% - Accent5 2 5 3 2" xfId="13796" xr:uid="{E309EC03-B2EA-4BAD-877C-DD46206B98A2}"/>
    <cellStyle name="20% - Accent5 2 5 4" xfId="9578" xr:uid="{262033BC-BCCE-467A-AD5D-81AEF3989500}"/>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BD11E4BD-7F49-4066-9F13-3D4F012E5DBF}"/>
    <cellStyle name="20% - Accent5 2 6 2 3" xfId="12136" xr:uid="{60A3E9A2-34DA-413A-A23F-7D0D267E29F3}"/>
    <cellStyle name="20% - Accent5 2 6 3" xfId="5780" xr:uid="{00000000-0005-0000-0000-0000CA020000}"/>
    <cellStyle name="20% - Accent5 2 6 3 2" xfId="14209" xr:uid="{B19C3281-FAEB-44AB-BAB8-220F3DA70F82}"/>
    <cellStyle name="20% - Accent5 2 6 4" xfId="9991" xr:uid="{E2D24E66-62E8-46A3-88B7-C5B2095E5B54}"/>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23501E80-FF93-4EB2-BEC2-F890E22268FA}"/>
    <cellStyle name="20% - Accent5 2 7 2 3" xfId="12549" xr:uid="{2EC43A2C-A74E-4DDB-B98E-177F804BA061}"/>
    <cellStyle name="20% - Accent5 2 7 3" xfId="6193" xr:uid="{00000000-0005-0000-0000-0000CE020000}"/>
    <cellStyle name="20% - Accent5 2 7 3 2" xfId="14622" xr:uid="{3B0413C1-77C5-47B3-82B2-425B5E387AD7}"/>
    <cellStyle name="20% - Accent5 2 7 4" xfId="10404" xr:uid="{592C258E-2B28-42C4-B6C0-D145FD3C9198}"/>
    <cellStyle name="20% - Accent5 2 8" xfId="2298" xr:uid="{00000000-0005-0000-0000-0000CF020000}"/>
    <cellStyle name="20% - Accent5 2 8 2" xfId="6606" xr:uid="{00000000-0005-0000-0000-0000D0020000}"/>
    <cellStyle name="20% - Accent5 2 8 2 2" xfId="15035" xr:uid="{E728AF02-BD82-4A27-8B95-6ADB3988F88F}"/>
    <cellStyle name="20% - Accent5 2 8 3" xfId="10817" xr:uid="{0E3C0DD2-41CB-438A-BD38-B3A78446ABAC}"/>
    <cellStyle name="20% - Accent5 2 9" xfId="4540" xr:uid="{00000000-0005-0000-0000-0000D1020000}"/>
    <cellStyle name="20% - Accent5 2 9 2" xfId="12969" xr:uid="{4410995B-E7CA-4C9A-ACFC-37ABDEA99DF3}"/>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4208963F-3645-4681-941A-CA2A69326347}"/>
    <cellStyle name="20% - Accent5 3 2 2 2 3" xfId="11315" xr:uid="{AEE6EC62-9E0A-48D6-9C5D-352CBE7F1E80}"/>
    <cellStyle name="20% - Accent5 3 2 2 3" xfId="4959" xr:uid="{00000000-0005-0000-0000-0000D7020000}"/>
    <cellStyle name="20% - Accent5 3 2 2 3 2" xfId="13388" xr:uid="{27BFE8FF-B5B5-4B74-9C6B-D5991F57CB29}"/>
    <cellStyle name="20% - Accent5 3 2 2 4" xfId="9170" xr:uid="{6B750071-7E8A-4554-BD9A-0253C142299B}"/>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96C8655F-5690-42A0-8F33-0A287849F2A7}"/>
    <cellStyle name="20% - Accent5 3 2 3 2 3" xfId="11728" xr:uid="{772DC957-63F7-4BFD-BF8D-5C764F506FB4}"/>
    <cellStyle name="20% - Accent5 3 2 3 3" xfId="5372" xr:uid="{00000000-0005-0000-0000-0000DB020000}"/>
    <cellStyle name="20% - Accent5 3 2 3 3 2" xfId="13801" xr:uid="{B04E5870-6ADC-459E-8E6B-B4AA0D0357F3}"/>
    <cellStyle name="20% - Accent5 3 2 3 4" xfId="9583" xr:uid="{DBBD0292-260D-4850-A590-5E6EC07F65CA}"/>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E810D39A-A9AE-4144-AD3F-7CF502F22EB9}"/>
    <cellStyle name="20% - Accent5 3 2 4 2 3" xfId="12141" xr:uid="{591D6FE1-12D1-4AC1-A0E0-B791AAD64474}"/>
    <cellStyle name="20% - Accent5 3 2 4 3" xfId="5785" xr:uid="{00000000-0005-0000-0000-0000DF020000}"/>
    <cellStyle name="20% - Accent5 3 2 4 3 2" xfId="14214" xr:uid="{832FD7D0-ADFE-4CE0-AEF9-802DBC0FC9A5}"/>
    <cellStyle name="20% - Accent5 3 2 4 4" xfId="9996" xr:uid="{A21795AE-D5D0-450B-A23C-1A2F29257513}"/>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990E58B3-886C-4D53-B2BE-CA0811B4C425}"/>
    <cellStyle name="20% - Accent5 3 2 5 2 3" xfId="12554" xr:uid="{D1105762-864A-4B5C-A8FD-4B0A4C9BB8E1}"/>
    <cellStyle name="20% - Accent5 3 2 5 3" xfId="6198" xr:uid="{00000000-0005-0000-0000-0000E3020000}"/>
    <cellStyle name="20% - Accent5 3 2 5 3 2" xfId="14627" xr:uid="{8BD5BB72-345F-4AA8-8BF6-80F673B2C8F1}"/>
    <cellStyle name="20% - Accent5 3 2 5 4" xfId="10409" xr:uid="{279E166C-D0EC-4E9C-B5F8-C534236F40B7}"/>
    <cellStyle name="20% - Accent5 3 2 6" xfId="2303" xr:uid="{00000000-0005-0000-0000-0000E4020000}"/>
    <cellStyle name="20% - Accent5 3 2 6 2" xfId="6611" xr:uid="{00000000-0005-0000-0000-0000E5020000}"/>
    <cellStyle name="20% - Accent5 3 2 6 2 2" xfId="15040" xr:uid="{6015565E-8BAC-47B4-8CFB-560495F47B73}"/>
    <cellStyle name="20% - Accent5 3 2 6 3" xfId="10822" xr:uid="{DA5862DB-B8F6-4263-9D24-15CABC9525A4}"/>
    <cellStyle name="20% - Accent5 3 2 7" xfId="4545" xr:uid="{00000000-0005-0000-0000-0000E6020000}"/>
    <cellStyle name="20% - Accent5 3 2 7 2" xfId="12974" xr:uid="{9CDA0C6D-BE7E-4400-ADED-978D495B2F0E}"/>
    <cellStyle name="20% - Accent5 3 2 8" xfId="8756" xr:uid="{F68DD3E3-718A-4818-B856-56268810158F}"/>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1FA424C0-05D2-4E7A-9EB6-63B989A08372}"/>
    <cellStyle name="20% - Accent5 3 3 2 3" xfId="11314" xr:uid="{795DC180-7A41-49A2-9BF2-3725DB1D8DBD}"/>
    <cellStyle name="20% - Accent5 3 3 3" xfId="4958" xr:uid="{00000000-0005-0000-0000-0000EA020000}"/>
    <cellStyle name="20% - Accent5 3 3 3 2" xfId="13387" xr:uid="{471A0453-ADCB-4E0D-B386-99640605353D}"/>
    <cellStyle name="20% - Accent5 3 3 4" xfId="9169" xr:uid="{A85F46BE-8C1F-4305-84B4-FC4AC608B9E1}"/>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C59FA118-E33B-4EDC-8F79-22BE93ACAF91}"/>
    <cellStyle name="20% - Accent5 3 4 2 3" xfId="11727" xr:uid="{09266CEC-3353-4086-A4E4-48DE33116B9F}"/>
    <cellStyle name="20% - Accent5 3 4 3" xfId="5371" xr:uid="{00000000-0005-0000-0000-0000EE020000}"/>
    <cellStyle name="20% - Accent5 3 4 3 2" xfId="13800" xr:uid="{1C2ADF2C-CEF8-45D4-80C1-B9537A249407}"/>
    <cellStyle name="20% - Accent5 3 4 4" xfId="9582" xr:uid="{CE8DA52F-AB0E-4479-B9F3-E115A1FDF76E}"/>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3171222E-F09A-460F-A4DF-BD19F9999197}"/>
    <cellStyle name="20% - Accent5 3 5 2 3" xfId="12140" xr:uid="{C450B31F-817E-4BEB-B5E8-3B331B3555A3}"/>
    <cellStyle name="20% - Accent5 3 5 3" xfId="5784" xr:uid="{00000000-0005-0000-0000-0000F2020000}"/>
    <cellStyle name="20% - Accent5 3 5 3 2" xfId="14213" xr:uid="{39FBC77E-B785-442F-A330-74B975008033}"/>
    <cellStyle name="20% - Accent5 3 5 4" xfId="9995" xr:uid="{7AC9B61E-4FDF-4072-89C8-77004B9B51C6}"/>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17F9BD61-50C5-4CEF-998C-450DA1C9DCAE}"/>
    <cellStyle name="20% - Accent5 3 6 2 3" xfId="12553" xr:uid="{F4DD9812-219C-47B4-839F-7291C238ED3A}"/>
    <cellStyle name="20% - Accent5 3 6 3" xfId="6197" xr:uid="{00000000-0005-0000-0000-0000F6020000}"/>
    <cellStyle name="20% - Accent5 3 6 3 2" xfId="14626" xr:uid="{A8EEB1E7-4FA0-44DC-B271-ADFF68BDF925}"/>
    <cellStyle name="20% - Accent5 3 6 4" xfId="10408" xr:uid="{415B7DDC-F403-4F69-9898-5BADC7C41463}"/>
    <cellStyle name="20% - Accent5 3 7" xfId="2302" xr:uid="{00000000-0005-0000-0000-0000F7020000}"/>
    <cellStyle name="20% - Accent5 3 7 2" xfId="6610" xr:uid="{00000000-0005-0000-0000-0000F8020000}"/>
    <cellStyle name="20% - Accent5 3 7 2 2" xfId="15039" xr:uid="{CD006A66-DD64-45A5-AD17-FADA9BFD6F0A}"/>
    <cellStyle name="20% - Accent5 3 7 3" xfId="10821" xr:uid="{5AE5E5CC-6C90-4D33-A390-D67FCBA491BB}"/>
    <cellStyle name="20% - Accent5 3 8" xfId="4544" xr:uid="{00000000-0005-0000-0000-0000F9020000}"/>
    <cellStyle name="20% - Accent5 3 8 2" xfId="12973" xr:uid="{7297024A-7C9B-4D68-A94F-77D8965454D7}"/>
    <cellStyle name="20% - Accent5 3 9" xfId="8755" xr:uid="{2AD1D9D9-4FF7-4554-9396-D7192826294F}"/>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127E1133-5857-454E-AB15-BE620A0B3F07}"/>
    <cellStyle name="20% - Accent5 4 2 2 3" xfId="11316" xr:uid="{D98213C7-E339-4283-8E26-65774684404F}"/>
    <cellStyle name="20% - Accent5 4 2 3" xfId="4960" xr:uid="{00000000-0005-0000-0000-0000FE020000}"/>
    <cellStyle name="20% - Accent5 4 2 3 2" xfId="13389" xr:uid="{ADE85AC3-6A36-41FA-BD40-D916549F22E7}"/>
    <cellStyle name="20% - Accent5 4 2 4" xfId="9171" xr:uid="{12B7F6CA-23F2-48CC-BEB1-0E904F2A0224}"/>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2B77FC86-CDF1-4F87-8AA2-14AA256B8B2D}"/>
    <cellStyle name="20% - Accent5 4 3 2 3" xfId="11729" xr:uid="{DC1C40FF-F746-4BC4-9BC9-9CAA3E82B55A}"/>
    <cellStyle name="20% - Accent5 4 3 3" xfId="5373" xr:uid="{00000000-0005-0000-0000-000002030000}"/>
    <cellStyle name="20% - Accent5 4 3 3 2" xfId="13802" xr:uid="{F805F8E1-DEC3-4506-89A9-954829246ED0}"/>
    <cellStyle name="20% - Accent5 4 3 4" xfId="9584" xr:uid="{FD06414D-D24D-4F01-AD49-19B05D7C34F3}"/>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AFE00A1A-C256-45F7-9A57-E3D6628D2E6D}"/>
    <cellStyle name="20% - Accent5 4 4 2 3" xfId="12142" xr:uid="{FBB40E2D-2D93-4024-A3F1-12400070A990}"/>
    <cellStyle name="20% - Accent5 4 4 3" xfId="5786" xr:uid="{00000000-0005-0000-0000-000006030000}"/>
    <cellStyle name="20% - Accent5 4 4 3 2" xfId="14215" xr:uid="{7A26C0F0-55DD-4A88-8116-ACC1D2DB0B44}"/>
    <cellStyle name="20% - Accent5 4 4 4" xfId="9997" xr:uid="{7598072B-3E3A-491F-916C-C64880107C1B}"/>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9C26CCF9-9130-47BF-9626-C2A6DA25C365}"/>
    <cellStyle name="20% - Accent5 4 5 2 3" xfId="12555" xr:uid="{CAF96BBB-5330-42AD-BA0B-171DF2DD18CB}"/>
    <cellStyle name="20% - Accent5 4 5 3" xfId="6199" xr:uid="{00000000-0005-0000-0000-00000A030000}"/>
    <cellStyle name="20% - Accent5 4 5 3 2" xfId="14628" xr:uid="{D4F11A67-5B4E-44BB-BF03-75A322A28993}"/>
    <cellStyle name="20% - Accent5 4 5 4" xfId="10410" xr:uid="{3B468602-66AF-492B-8E89-78F276024CFE}"/>
    <cellStyle name="20% - Accent5 4 6" xfId="2304" xr:uid="{00000000-0005-0000-0000-00000B030000}"/>
    <cellStyle name="20% - Accent5 4 6 2" xfId="6612" xr:uid="{00000000-0005-0000-0000-00000C030000}"/>
    <cellStyle name="20% - Accent5 4 6 2 2" xfId="15041" xr:uid="{22F669ED-A69B-46E2-8AA6-FED6FDC1A20C}"/>
    <cellStyle name="20% - Accent5 4 6 3" xfId="10823" xr:uid="{3DE8CBDF-5366-4607-8F79-072EDB0120CB}"/>
    <cellStyle name="20% - Accent5 4 7" xfId="4546" xr:uid="{00000000-0005-0000-0000-00000D030000}"/>
    <cellStyle name="20% - Accent5 4 7 2" xfId="12975" xr:uid="{9B06B1F6-57E1-4D93-BA3F-223E8E23361A}"/>
    <cellStyle name="20% - Accent5 4 8" xfId="8757" xr:uid="{89399AAD-7967-489A-AF31-2B027428AA58}"/>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51BA92F4-86EE-4237-AEB3-A7D03FDED035}"/>
    <cellStyle name="20% - Accent5 5 2 3" xfId="11309" xr:uid="{50A0BF2C-E331-441D-BEAD-4D7851476936}"/>
    <cellStyle name="20% - Accent5 5 3" xfId="4953" xr:uid="{00000000-0005-0000-0000-000011030000}"/>
    <cellStyle name="20% - Accent5 5 3 2" xfId="13382" xr:uid="{A809B8C0-6116-4425-836A-F3AEF18F2526}"/>
    <cellStyle name="20% - Accent5 5 4" xfId="9164" xr:uid="{8989F556-FEF6-4726-8D60-696D37EC540B}"/>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806F3080-B122-4EC5-8033-964F4FC480B4}"/>
    <cellStyle name="20% - Accent5 6 2 3" xfId="11722" xr:uid="{95B25974-EC00-4C6B-9A32-9B57F5DA80D8}"/>
    <cellStyle name="20% - Accent5 6 3" xfId="5366" xr:uid="{00000000-0005-0000-0000-000015030000}"/>
    <cellStyle name="20% - Accent5 6 3 2" xfId="13795" xr:uid="{EA7E30D0-61A0-4873-A2A7-19EE56AA7782}"/>
    <cellStyle name="20% - Accent5 6 4" xfId="9577" xr:uid="{0799FA2E-2F19-448E-92E4-89AEB0EDE438}"/>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5D99A0B3-21D9-474F-AC5F-0BD18DAD76D5}"/>
    <cellStyle name="20% - Accent5 7 2 3" xfId="12135" xr:uid="{4EEA9E19-3EBF-4564-A3CE-1B982359E252}"/>
    <cellStyle name="20% - Accent5 7 3" xfId="5779" xr:uid="{00000000-0005-0000-0000-000019030000}"/>
    <cellStyle name="20% - Accent5 7 3 2" xfId="14208" xr:uid="{7D2370A2-4B8C-4C1A-88C6-02C7D1436B73}"/>
    <cellStyle name="20% - Accent5 7 4" xfId="9990" xr:uid="{E76F24E0-0874-4418-8C09-84D5C01E8EA3}"/>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3C38869C-8ED1-4464-9404-5E0D73ABE863}"/>
    <cellStyle name="20% - Accent5 8 2 3" xfId="12548" xr:uid="{56F89270-8A10-4032-A9D6-072FB9E9B6F8}"/>
    <cellStyle name="20% - Accent5 8 3" xfId="6192" xr:uid="{00000000-0005-0000-0000-00001D030000}"/>
    <cellStyle name="20% - Accent5 8 3 2" xfId="14621" xr:uid="{F2BB96C9-149C-4A36-8D25-8CDC2E15F0D0}"/>
    <cellStyle name="20% - Accent5 8 4" xfId="10403" xr:uid="{DA5B9E07-9D2B-45CF-9650-AB0FD27BE410}"/>
    <cellStyle name="20% - Accent5 9" xfId="2297" xr:uid="{00000000-0005-0000-0000-00001E030000}"/>
    <cellStyle name="20% - Accent5 9 2" xfId="6605" xr:uid="{00000000-0005-0000-0000-00001F030000}"/>
    <cellStyle name="20% - Accent5 9 2 2" xfId="15034" xr:uid="{CE34B8B2-2F4D-4A3B-BED5-CD280F31C053}"/>
    <cellStyle name="20% - Accent5 9 3" xfId="10816" xr:uid="{E1B79A15-C9CD-435B-8EA2-42CD529C1FDD}"/>
    <cellStyle name="20% - Accent6" xfId="41" builtinId="50" customBuiltin="1"/>
    <cellStyle name="20% - Accent6 10" xfId="4547" xr:uid="{00000000-0005-0000-0000-000021030000}"/>
    <cellStyle name="20% - Accent6 10 2" xfId="12976" xr:uid="{BE5BDDCD-3EF0-41F9-A854-28224085E519}"/>
    <cellStyle name="20% - Accent6 11" xfId="8758" xr:uid="{99BEE07A-0E22-457B-9646-E7E37110899E}"/>
    <cellStyle name="20% - Accent6 2" xfId="42" xr:uid="{00000000-0005-0000-0000-000022030000}"/>
    <cellStyle name="20% - Accent6 2 10" xfId="8759" xr:uid="{A310ECED-5544-41CC-AB61-0E1CF01ABB56}"/>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EAF2F010-6CD4-4E8F-8FAA-1BA818F95F9A}"/>
    <cellStyle name="20% - Accent6 2 2 2 2 2 3" xfId="11320" xr:uid="{9A9DCF93-0A6B-4017-AB5A-A4693C3B2598}"/>
    <cellStyle name="20% - Accent6 2 2 2 2 3" xfId="4964" xr:uid="{00000000-0005-0000-0000-000028030000}"/>
    <cellStyle name="20% - Accent6 2 2 2 2 3 2" xfId="13393" xr:uid="{4391BBB4-F6B7-440F-94FB-AE5B8CCC47A1}"/>
    <cellStyle name="20% - Accent6 2 2 2 2 4" xfId="9175" xr:uid="{7EFB6130-7F3A-4D3C-98BA-B08B8BB15E94}"/>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6C2C8C52-667A-4F0E-86EB-BED2566AED58}"/>
    <cellStyle name="20% - Accent6 2 2 2 3 2 3" xfId="11733" xr:uid="{3E9C7D7B-B541-483D-9C1D-E99D21693E09}"/>
    <cellStyle name="20% - Accent6 2 2 2 3 3" xfId="5377" xr:uid="{00000000-0005-0000-0000-00002C030000}"/>
    <cellStyle name="20% - Accent6 2 2 2 3 3 2" xfId="13806" xr:uid="{CE6D55AA-4430-424D-97B8-5412C5EBB1D9}"/>
    <cellStyle name="20% - Accent6 2 2 2 3 4" xfId="9588" xr:uid="{182A39F6-8318-4A9B-9432-4074A9233A11}"/>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D3848612-A429-4055-A187-2C18B5081759}"/>
    <cellStyle name="20% - Accent6 2 2 2 4 2 3" xfId="12146" xr:uid="{EFFAF9D8-C813-4139-8624-28CA2B964CDF}"/>
    <cellStyle name="20% - Accent6 2 2 2 4 3" xfId="5790" xr:uid="{00000000-0005-0000-0000-000030030000}"/>
    <cellStyle name="20% - Accent6 2 2 2 4 3 2" xfId="14219" xr:uid="{AFCC16A1-0426-4134-91EF-FDA2D65FE088}"/>
    <cellStyle name="20% - Accent6 2 2 2 4 4" xfId="10001" xr:uid="{D9E52E37-A67C-443C-9E0F-0E1A3A9551CD}"/>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86E1FFA8-DA28-4153-88BB-CB4CCB6E5531}"/>
    <cellStyle name="20% - Accent6 2 2 2 5 2 3" xfId="12559" xr:uid="{3D56F6E6-9820-4BCC-9338-29BA0189C994}"/>
    <cellStyle name="20% - Accent6 2 2 2 5 3" xfId="6203" xr:uid="{00000000-0005-0000-0000-000034030000}"/>
    <cellStyle name="20% - Accent6 2 2 2 5 3 2" xfId="14632" xr:uid="{2119C221-DAAD-47CE-98DA-F341B6847AFE}"/>
    <cellStyle name="20% - Accent6 2 2 2 5 4" xfId="10414" xr:uid="{928F24C0-22F4-4929-A09D-88004F2346E7}"/>
    <cellStyle name="20% - Accent6 2 2 2 6" xfId="2308" xr:uid="{00000000-0005-0000-0000-000035030000}"/>
    <cellStyle name="20% - Accent6 2 2 2 6 2" xfId="6616" xr:uid="{00000000-0005-0000-0000-000036030000}"/>
    <cellStyle name="20% - Accent6 2 2 2 6 2 2" xfId="15045" xr:uid="{BEE1723C-DAD4-46D8-B779-D7CC35B1EDFA}"/>
    <cellStyle name="20% - Accent6 2 2 2 6 3" xfId="10827" xr:uid="{EF7362A7-D9A0-45E0-8398-9F04B933A946}"/>
    <cellStyle name="20% - Accent6 2 2 2 7" xfId="4550" xr:uid="{00000000-0005-0000-0000-000037030000}"/>
    <cellStyle name="20% - Accent6 2 2 2 7 2" xfId="12979" xr:uid="{8E060842-E98E-4AC6-B043-C3247272BECA}"/>
    <cellStyle name="20% - Accent6 2 2 2 8" xfId="8761" xr:uid="{FD0D2683-5FC6-44E2-8267-3391FBA1FC19}"/>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9D698527-4122-4A7E-8BC6-6958CFC057C6}"/>
    <cellStyle name="20% - Accent6 2 2 3 2 3" xfId="11319" xr:uid="{47448D25-AB7F-4770-BA61-2BC5A6ED959D}"/>
    <cellStyle name="20% - Accent6 2 2 3 3" xfId="4963" xr:uid="{00000000-0005-0000-0000-00003B030000}"/>
    <cellStyle name="20% - Accent6 2 2 3 3 2" xfId="13392" xr:uid="{2AF479B0-AB01-4079-8466-66CD2FAEEF0E}"/>
    <cellStyle name="20% - Accent6 2 2 3 4" xfId="9174" xr:uid="{C9C5C719-A2F0-4598-8A8A-F721E1C61A2D}"/>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C4B26BF5-54A4-49FB-B9F9-2277CCF165EC}"/>
    <cellStyle name="20% - Accent6 2 2 4 2 3" xfId="11732" xr:uid="{6AB7DC71-DBBB-4EA2-98CD-B6EDFC4E4FEB}"/>
    <cellStyle name="20% - Accent6 2 2 4 3" xfId="5376" xr:uid="{00000000-0005-0000-0000-00003F030000}"/>
    <cellStyle name="20% - Accent6 2 2 4 3 2" xfId="13805" xr:uid="{8FB6E9C2-9CCF-4B1D-885C-EFD0F193566F}"/>
    <cellStyle name="20% - Accent6 2 2 4 4" xfId="9587" xr:uid="{64E74C6F-2C6E-4E40-969C-ADEA2BEB0B7D}"/>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B87DF532-7319-430F-8950-84E35DC15D96}"/>
    <cellStyle name="20% - Accent6 2 2 5 2 3" xfId="12145" xr:uid="{E2A5EE10-A1B0-4C99-94C5-15F1BF03B8C4}"/>
    <cellStyle name="20% - Accent6 2 2 5 3" xfId="5789" xr:uid="{00000000-0005-0000-0000-000043030000}"/>
    <cellStyle name="20% - Accent6 2 2 5 3 2" xfId="14218" xr:uid="{46C4DA7F-2BC5-4F7A-BDFB-3CE4E945F975}"/>
    <cellStyle name="20% - Accent6 2 2 5 4" xfId="10000" xr:uid="{842638C1-D082-4AC1-A713-D1F5D9C22EB8}"/>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C4D7AAAC-26B3-4B53-973C-E5E05DF431A1}"/>
    <cellStyle name="20% - Accent6 2 2 6 2 3" xfId="12558" xr:uid="{AF210666-9368-459F-AB31-896D2E191FBC}"/>
    <cellStyle name="20% - Accent6 2 2 6 3" xfId="6202" xr:uid="{00000000-0005-0000-0000-000047030000}"/>
    <cellStyle name="20% - Accent6 2 2 6 3 2" xfId="14631" xr:uid="{E0B54E7F-76F1-43E1-8425-B0E52ED86E20}"/>
    <cellStyle name="20% - Accent6 2 2 6 4" xfId="10413" xr:uid="{6F4958F3-BFFD-4D64-A64D-352C6C443A02}"/>
    <cellStyle name="20% - Accent6 2 2 7" xfId="2307" xr:uid="{00000000-0005-0000-0000-000048030000}"/>
    <cellStyle name="20% - Accent6 2 2 7 2" xfId="6615" xr:uid="{00000000-0005-0000-0000-000049030000}"/>
    <cellStyle name="20% - Accent6 2 2 7 2 2" xfId="15044" xr:uid="{B51DC094-D0F8-4B42-A274-EF9D3D1E9A0C}"/>
    <cellStyle name="20% - Accent6 2 2 7 3" xfId="10826" xr:uid="{E0118228-B2F5-48F5-87C9-E119167ED863}"/>
    <cellStyle name="20% - Accent6 2 2 8" xfId="4549" xr:uid="{00000000-0005-0000-0000-00004A030000}"/>
    <cellStyle name="20% - Accent6 2 2 8 2" xfId="12978" xr:uid="{B19ABEFA-BE62-4A71-9482-233BEB6D7639}"/>
    <cellStyle name="20% - Accent6 2 2 9" xfId="8760" xr:uid="{90D33DCA-DD89-49DF-B5B6-1DD53CBDD6EB}"/>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4CC053FC-3B3E-420D-A35F-8E2B567F8349}"/>
    <cellStyle name="20% - Accent6 2 3 2 2 3" xfId="11321" xr:uid="{C8AD3A88-FC6E-4CBD-8A1C-6CC6B8C40A05}"/>
    <cellStyle name="20% - Accent6 2 3 2 3" xfId="4965" xr:uid="{00000000-0005-0000-0000-00004F030000}"/>
    <cellStyle name="20% - Accent6 2 3 2 3 2" xfId="13394" xr:uid="{FC79A001-AAD3-494C-BD32-EE107B46C99F}"/>
    <cellStyle name="20% - Accent6 2 3 2 4" xfId="9176" xr:uid="{1BB10F35-A8B6-42CC-A68F-846B3CF33286}"/>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F6B0A03F-CECC-4EBD-A940-BE802A33979C}"/>
    <cellStyle name="20% - Accent6 2 3 3 2 3" xfId="11734" xr:uid="{5BDE986F-C05A-4F59-986E-ABE88224160A}"/>
    <cellStyle name="20% - Accent6 2 3 3 3" xfId="5378" xr:uid="{00000000-0005-0000-0000-000053030000}"/>
    <cellStyle name="20% - Accent6 2 3 3 3 2" xfId="13807" xr:uid="{0ECA717B-D21A-4110-9F20-0A6F7085DDBF}"/>
    <cellStyle name="20% - Accent6 2 3 3 4" xfId="9589" xr:uid="{DB45B99C-D424-48DB-A95C-8195C9457BED}"/>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54A9C884-AF43-4191-BB57-4FE4DB096681}"/>
    <cellStyle name="20% - Accent6 2 3 4 2 3" xfId="12147" xr:uid="{372A6B43-7313-4E20-AFB5-9209337CA101}"/>
    <cellStyle name="20% - Accent6 2 3 4 3" xfId="5791" xr:uid="{00000000-0005-0000-0000-000057030000}"/>
    <cellStyle name="20% - Accent6 2 3 4 3 2" xfId="14220" xr:uid="{A01C6174-C8D0-497D-B042-6D322C1C3C4B}"/>
    <cellStyle name="20% - Accent6 2 3 4 4" xfId="10002" xr:uid="{3D7A2F4F-34B8-4C6D-AAA9-94DEAC8FE517}"/>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A7C9610B-A8AA-4629-818F-26B6D6B87889}"/>
    <cellStyle name="20% - Accent6 2 3 5 2 3" xfId="12560" xr:uid="{A33AEE93-3F1F-4893-8875-C2AC4FFB4B06}"/>
    <cellStyle name="20% - Accent6 2 3 5 3" xfId="6204" xr:uid="{00000000-0005-0000-0000-00005B030000}"/>
    <cellStyle name="20% - Accent6 2 3 5 3 2" xfId="14633" xr:uid="{EE493DEF-4737-4E10-BBF2-C6CFC3DB0F8A}"/>
    <cellStyle name="20% - Accent6 2 3 5 4" xfId="10415" xr:uid="{12604D65-56E1-49DA-A7A7-D097FFCC186A}"/>
    <cellStyle name="20% - Accent6 2 3 6" xfId="2309" xr:uid="{00000000-0005-0000-0000-00005C030000}"/>
    <cellStyle name="20% - Accent6 2 3 6 2" xfId="6617" xr:uid="{00000000-0005-0000-0000-00005D030000}"/>
    <cellStyle name="20% - Accent6 2 3 6 2 2" xfId="15046" xr:uid="{84D6D1FA-BBF7-4677-835C-4C2299B95781}"/>
    <cellStyle name="20% - Accent6 2 3 6 3" xfId="10828" xr:uid="{F8F491E4-D7F1-4C81-8575-4573F9D07034}"/>
    <cellStyle name="20% - Accent6 2 3 7" xfId="4551" xr:uid="{00000000-0005-0000-0000-00005E030000}"/>
    <cellStyle name="20% - Accent6 2 3 7 2" xfId="12980" xr:uid="{ED4A994E-157E-4669-868B-9500B66B42BB}"/>
    <cellStyle name="20% - Accent6 2 3 8" xfId="8762" xr:uid="{D053A4BD-8AF7-47D5-8195-078563BE2C80}"/>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7A4EC217-A1EA-4F9D-83B2-C084FD2A7A23}"/>
    <cellStyle name="20% - Accent6 2 4 2 3" xfId="11318" xr:uid="{449E7175-6772-477C-B721-42754AF418EF}"/>
    <cellStyle name="20% - Accent6 2 4 3" xfId="4962" xr:uid="{00000000-0005-0000-0000-000062030000}"/>
    <cellStyle name="20% - Accent6 2 4 3 2" xfId="13391" xr:uid="{2D09B1C5-646A-4B10-A0ED-2B1D4620E978}"/>
    <cellStyle name="20% - Accent6 2 4 4" xfId="9173" xr:uid="{17B4B189-06B8-4553-805B-428A35621FF6}"/>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AA5644D3-12C0-4F13-A063-F281FF672FEE}"/>
    <cellStyle name="20% - Accent6 2 5 2 3" xfId="11731" xr:uid="{C9BD22F4-5D42-4B5B-B6AE-03E84A2ABA28}"/>
    <cellStyle name="20% - Accent6 2 5 3" xfId="5375" xr:uid="{00000000-0005-0000-0000-000066030000}"/>
    <cellStyle name="20% - Accent6 2 5 3 2" xfId="13804" xr:uid="{A63489D8-B87F-479A-9664-B19C2A2C94E5}"/>
    <cellStyle name="20% - Accent6 2 5 4" xfId="9586" xr:uid="{E48B9DCA-1409-45B0-9B57-E5C316A946CF}"/>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65A4B28C-3EF9-4284-9EE2-1256D1990DD4}"/>
    <cellStyle name="20% - Accent6 2 6 2 3" xfId="12144" xr:uid="{3FA9D521-9B98-4E74-817E-53F7F95C6711}"/>
    <cellStyle name="20% - Accent6 2 6 3" xfId="5788" xr:uid="{00000000-0005-0000-0000-00006A030000}"/>
    <cellStyle name="20% - Accent6 2 6 3 2" xfId="14217" xr:uid="{55137210-7ACE-4AB3-8AE3-068D6F9A6F19}"/>
    <cellStyle name="20% - Accent6 2 6 4" xfId="9999" xr:uid="{BDDD53AF-164D-437D-A5AB-DDB80EFEEA17}"/>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035E4CAE-ADA4-4490-A2CA-D9136E17BA56}"/>
    <cellStyle name="20% - Accent6 2 7 2 3" xfId="12557" xr:uid="{196AB7A8-56F9-4E6D-9767-8C83313D4233}"/>
    <cellStyle name="20% - Accent6 2 7 3" xfId="6201" xr:uid="{00000000-0005-0000-0000-00006E030000}"/>
    <cellStyle name="20% - Accent6 2 7 3 2" xfId="14630" xr:uid="{EEF76F60-C30C-47E2-8612-F32DE7349451}"/>
    <cellStyle name="20% - Accent6 2 7 4" xfId="10412" xr:uid="{5E5FA366-BF24-4C99-B18A-B30BC7B0A598}"/>
    <cellStyle name="20% - Accent6 2 8" xfId="2306" xr:uid="{00000000-0005-0000-0000-00006F030000}"/>
    <cellStyle name="20% - Accent6 2 8 2" xfId="6614" xr:uid="{00000000-0005-0000-0000-000070030000}"/>
    <cellStyle name="20% - Accent6 2 8 2 2" xfId="15043" xr:uid="{0A303C36-E457-4AD9-893D-E4D92CD5F384}"/>
    <cellStyle name="20% - Accent6 2 8 3" xfId="10825" xr:uid="{689FE809-196F-4A34-8023-808F640C76F9}"/>
    <cellStyle name="20% - Accent6 2 9" xfId="4548" xr:uid="{00000000-0005-0000-0000-000071030000}"/>
    <cellStyle name="20% - Accent6 2 9 2" xfId="12977" xr:uid="{C17DAAFD-31FD-4EB7-896F-79679FE4753C}"/>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85ECDB03-6FA3-4455-B5E8-7966A510005D}"/>
    <cellStyle name="20% - Accent6 3 2 2 2 3" xfId="11323" xr:uid="{A23C76BB-AC29-4824-91BD-02E6D8585688}"/>
    <cellStyle name="20% - Accent6 3 2 2 3" xfId="4967" xr:uid="{00000000-0005-0000-0000-000077030000}"/>
    <cellStyle name="20% - Accent6 3 2 2 3 2" xfId="13396" xr:uid="{7372C61D-DE6F-4453-A88D-26957BE97441}"/>
    <cellStyle name="20% - Accent6 3 2 2 4" xfId="9178" xr:uid="{BB38ADF7-8BF2-4461-BE84-02A83CDF46FD}"/>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BA940AF7-B432-4BA4-9FDC-308D0F1E2092}"/>
    <cellStyle name="20% - Accent6 3 2 3 2 3" xfId="11736" xr:uid="{4A7BEAF5-BB86-418E-B645-121ED53D5DED}"/>
    <cellStyle name="20% - Accent6 3 2 3 3" xfId="5380" xr:uid="{00000000-0005-0000-0000-00007B030000}"/>
    <cellStyle name="20% - Accent6 3 2 3 3 2" xfId="13809" xr:uid="{72034143-6555-40E2-BAC3-D466F15F0DAC}"/>
    <cellStyle name="20% - Accent6 3 2 3 4" xfId="9591" xr:uid="{21E42033-A325-4E9F-81BF-25ED22DF9A73}"/>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2A682A2E-5196-4AA0-8684-ED09CCB4D555}"/>
    <cellStyle name="20% - Accent6 3 2 4 2 3" xfId="12149" xr:uid="{DA7D8D0C-63F3-4D11-AEC3-E025D450C188}"/>
    <cellStyle name="20% - Accent6 3 2 4 3" xfId="5793" xr:uid="{00000000-0005-0000-0000-00007F030000}"/>
    <cellStyle name="20% - Accent6 3 2 4 3 2" xfId="14222" xr:uid="{933EE279-9D40-476E-B96B-B14A3D271669}"/>
    <cellStyle name="20% - Accent6 3 2 4 4" xfId="10004" xr:uid="{B9D32195-8A52-40AF-9604-72A66161B767}"/>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6103E992-A3F9-4AFC-8659-F218F4D890C7}"/>
    <cellStyle name="20% - Accent6 3 2 5 2 3" xfId="12562" xr:uid="{85F3977A-84F1-4C5E-8AC7-B2E918F8719B}"/>
    <cellStyle name="20% - Accent6 3 2 5 3" xfId="6206" xr:uid="{00000000-0005-0000-0000-000083030000}"/>
    <cellStyle name="20% - Accent6 3 2 5 3 2" xfId="14635" xr:uid="{A9482736-64FA-4D86-A81D-EB63E9ACE217}"/>
    <cellStyle name="20% - Accent6 3 2 5 4" xfId="10417" xr:uid="{5DA75E24-6C5B-4370-B920-FD3CC4690097}"/>
    <cellStyle name="20% - Accent6 3 2 6" xfId="2311" xr:uid="{00000000-0005-0000-0000-000084030000}"/>
    <cellStyle name="20% - Accent6 3 2 6 2" xfId="6619" xr:uid="{00000000-0005-0000-0000-000085030000}"/>
    <cellStyle name="20% - Accent6 3 2 6 2 2" xfId="15048" xr:uid="{0ED48723-0B33-414C-B1AB-46914700AF81}"/>
    <cellStyle name="20% - Accent6 3 2 6 3" xfId="10830" xr:uid="{88678C13-6815-4B28-A72A-DA211A124442}"/>
    <cellStyle name="20% - Accent6 3 2 7" xfId="4553" xr:uid="{00000000-0005-0000-0000-000086030000}"/>
    <cellStyle name="20% - Accent6 3 2 7 2" xfId="12982" xr:uid="{437A749C-6128-4081-88AB-EE155680652D}"/>
    <cellStyle name="20% - Accent6 3 2 8" xfId="8764" xr:uid="{1652FEAD-E60F-4805-A9E7-BE917CF94FAB}"/>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DA047243-3525-45AF-9AF2-799A5CC6149A}"/>
    <cellStyle name="20% - Accent6 3 3 2 3" xfId="11322" xr:uid="{36FC1A6D-FD1F-4AA0-B016-FB2EF69F678C}"/>
    <cellStyle name="20% - Accent6 3 3 3" xfId="4966" xr:uid="{00000000-0005-0000-0000-00008A030000}"/>
    <cellStyle name="20% - Accent6 3 3 3 2" xfId="13395" xr:uid="{A6051B45-4509-48AF-B2F4-976516CD0A19}"/>
    <cellStyle name="20% - Accent6 3 3 4" xfId="9177" xr:uid="{347BE014-3AF6-470B-81B9-E1DA5A7F5720}"/>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F7251975-EBD7-4845-B422-32807526FFC6}"/>
    <cellStyle name="20% - Accent6 3 4 2 3" xfId="11735" xr:uid="{92839DF7-231C-4499-82F9-34359CBB736B}"/>
    <cellStyle name="20% - Accent6 3 4 3" xfId="5379" xr:uid="{00000000-0005-0000-0000-00008E030000}"/>
    <cellStyle name="20% - Accent6 3 4 3 2" xfId="13808" xr:uid="{686E753C-89DE-48FD-9414-C166F1283F45}"/>
    <cellStyle name="20% - Accent6 3 4 4" xfId="9590" xr:uid="{57836F44-D33E-410A-AD8F-E8E5EEF15A17}"/>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0E868A0E-1F25-4DF2-80AE-3E2B7ABC5B6A}"/>
    <cellStyle name="20% - Accent6 3 5 2 3" xfId="12148" xr:uid="{B1DECFAA-6DE5-4358-ACA1-FEFBF0549287}"/>
    <cellStyle name="20% - Accent6 3 5 3" xfId="5792" xr:uid="{00000000-0005-0000-0000-000092030000}"/>
    <cellStyle name="20% - Accent6 3 5 3 2" xfId="14221" xr:uid="{D405A4C6-315E-4E6F-BB5A-18DB242B81B5}"/>
    <cellStyle name="20% - Accent6 3 5 4" xfId="10003" xr:uid="{A979555D-BB31-49AC-B97A-4518A11FF366}"/>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E0A1FC2B-6729-44EC-B805-CE48CD8F6859}"/>
    <cellStyle name="20% - Accent6 3 6 2 3" xfId="12561" xr:uid="{35B3856B-22DB-4312-81DD-C95E8BA0FB6A}"/>
    <cellStyle name="20% - Accent6 3 6 3" xfId="6205" xr:uid="{00000000-0005-0000-0000-000096030000}"/>
    <cellStyle name="20% - Accent6 3 6 3 2" xfId="14634" xr:uid="{7B886304-349A-4429-83D5-8C59693631EC}"/>
    <cellStyle name="20% - Accent6 3 6 4" xfId="10416" xr:uid="{761FDA34-86E1-4879-9FA3-FEFDABF60605}"/>
    <cellStyle name="20% - Accent6 3 7" xfId="2310" xr:uid="{00000000-0005-0000-0000-000097030000}"/>
    <cellStyle name="20% - Accent6 3 7 2" xfId="6618" xr:uid="{00000000-0005-0000-0000-000098030000}"/>
    <cellStyle name="20% - Accent6 3 7 2 2" xfId="15047" xr:uid="{1925F10D-769B-494D-832A-7214F2469E56}"/>
    <cellStyle name="20% - Accent6 3 7 3" xfId="10829" xr:uid="{79D3DA9C-1B87-4D88-8AC7-E3D0F370F5EA}"/>
    <cellStyle name="20% - Accent6 3 8" xfId="4552" xr:uid="{00000000-0005-0000-0000-000099030000}"/>
    <cellStyle name="20% - Accent6 3 8 2" xfId="12981" xr:uid="{B52EE009-8A15-47CE-8AAC-24BBC2959C88}"/>
    <cellStyle name="20% - Accent6 3 9" xfId="8763" xr:uid="{2487C860-82F3-4B43-8A3A-B22A24A29303}"/>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68609A45-0B6B-4E84-8777-955395D472BE}"/>
    <cellStyle name="20% - Accent6 4 2 2 3" xfId="11324" xr:uid="{244E0451-C4EF-42DA-923B-B0DB6B501550}"/>
    <cellStyle name="20% - Accent6 4 2 3" xfId="4968" xr:uid="{00000000-0005-0000-0000-00009E030000}"/>
    <cellStyle name="20% - Accent6 4 2 3 2" xfId="13397" xr:uid="{B6A778CB-136D-4F3D-B44D-C62E0C326F89}"/>
    <cellStyle name="20% - Accent6 4 2 4" xfId="9179" xr:uid="{6DD8B580-072B-4CF4-8BB1-EF553A6BF108}"/>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E3F53200-4F87-492E-8ADF-4E976F78E4F0}"/>
    <cellStyle name="20% - Accent6 4 3 2 3" xfId="11737" xr:uid="{B13082F9-C875-4035-933E-391FE6AC480D}"/>
    <cellStyle name="20% - Accent6 4 3 3" xfId="5381" xr:uid="{00000000-0005-0000-0000-0000A2030000}"/>
    <cellStyle name="20% - Accent6 4 3 3 2" xfId="13810" xr:uid="{FE561D2A-DA9C-4655-9475-03E3C78F29E6}"/>
    <cellStyle name="20% - Accent6 4 3 4" xfId="9592" xr:uid="{AAFD8DBF-5565-417C-BAC3-1B7DD0DEE487}"/>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1CDD3340-987E-43DE-963F-873190842BB5}"/>
    <cellStyle name="20% - Accent6 4 4 2 3" xfId="12150" xr:uid="{F3D49B44-913B-4581-8AF9-D8277E8A057A}"/>
    <cellStyle name="20% - Accent6 4 4 3" xfId="5794" xr:uid="{00000000-0005-0000-0000-0000A6030000}"/>
    <cellStyle name="20% - Accent6 4 4 3 2" xfId="14223" xr:uid="{3B491AB9-9777-49DB-971D-9E05E6BC9DC3}"/>
    <cellStyle name="20% - Accent6 4 4 4" xfId="10005" xr:uid="{B56EA2B2-29ED-4683-87EC-44260A9DE1BD}"/>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F15E4103-0F99-4E05-B901-1E6357E4F035}"/>
    <cellStyle name="20% - Accent6 4 5 2 3" xfId="12563" xr:uid="{02DBB1BA-36D6-487E-8633-C7F71772DF52}"/>
    <cellStyle name="20% - Accent6 4 5 3" xfId="6207" xr:uid="{00000000-0005-0000-0000-0000AA030000}"/>
    <cellStyle name="20% - Accent6 4 5 3 2" xfId="14636" xr:uid="{47F58BEF-D68C-4C30-9319-1F1EDA52E86B}"/>
    <cellStyle name="20% - Accent6 4 5 4" xfId="10418" xr:uid="{F47E58ED-8840-4C97-BBA3-4283205A48C5}"/>
    <cellStyle name="20% - Accent6 4 6" xfId="2312" xr:uid="{00000000-0005-0000-0000-0000AB030000}"/>
    <cellStyle name="20% - Accent6 4 6 2" xfId="6620" xr:uid="{00000000-0005-0000-0000-0000AC030000}"/>
    <cellStyle name="20% - Accent6 4 6 2 2" xfId="15049" xr:uid="{EE6E0BBF-13D2-4A8C-B060-795A0DA0DA35}"/>
    <cellStyle name="20% - Accent6 4 6 3" xfId="10831" xr:uid="{30BF6FAF-CCD0-484D-8BE9-9E329166933F}"/>
    <cellStyle name="20% - Accent6 4 7" xfId="4554" xr:uid="{00000000-0005-0000-0000-0000AD030000}"/>
    <cellStyle name="20% - Accent6 4 7 2" xfId="12983" xr:uid="{4F69D251-5835-4523-A54F-C0953E71E388}"/>
    <cellStyle name="20% - Accent6 4 8" xfId="8765" xr:uid="{F7B26BDD-AC2D-4765-ADC0-23E125D97634}"/>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03D8AD29-F570-443C-8A41-FBE9DE7DFF4D}"/>
    <cellStyle name="20% - Accent6 5 2 3" xfId="11317" xr:uid="{B8B0B5F0-2F3B-49A8-85D0-69A5CDB55B30}"/>
    <cellStyle name="20% - Accent6 5 3" xfId="4961" xr:uid="{00000000-0005-0000-0000-0000B1030000}"/>
    <cellStyle name="20% - Accent6 5 3 2" xfId="13390" xr:uid="{46AB70F9-FBE8-4483-962C-3802A7674CD9}"/>
    <cellStyle name="20% - Accent6 5 4" xfId="9172" xr:uid="{267ADD5B-39B4-46C6-BC54-189F96C73AA1}"/>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65AC6E08-601B-41FF-8F77-B5DCDD9E9DBF}"/>
    <cellStyle name="20% - Accent6 6 2 3" xfId="11730" xr:uid="{24323194-7521-4B98-BDDC-206A6A8ACB7C}"/>
    <cellStyle name="20% - Accent6 6 3" xfId="5374" xr:uid="{00000000-0005-0000-0000-0000B5030000}"/>
    <cellStyle name="20% - Accent6 6 3 2" xfId="13803" xr:uid="{86EB0468-635F-430D-848C-623F64FF9AFE}"/>
    <cellStyle name="20% - Accent6 6 4" xfId="9585" xr:uid="{4A7DD593-5140-46E9-BDCD-5C0AE8BAF468}"/>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F781C594-7B4B-4201-A6F8-2E95448151EB}"/>
    <cellStyle name="20% - Accent6 7 2 3" xfId="12143" xr:uid="{4915085B-787F-42D7-8946-3F39DB39950C}"/>
    <cellStyle name="20% - Accent6 7 3" xfId="5787" xr:uid="{00000000-0005-0000-0000-0000B9030000}"/>
    <cellStyle name="20% - Accent6 7 3 2" xfId="14216" xr:uid="{961966FB-A86D-4CFB-8031-9622B9D66F48}"/>
    <cellStyle name="20% - Accent6 7 4" xfId="9998" xr:uid="{EBFC3320-54A2-495B-97EE-CF6A34D87CB6}"/>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0F79F2BB-0CA9-4001-B237-FE005A8F9F87}"/>
    <cellStyle name="20% - Accent6 8 2 3" xfId="12556" xr:uid="{B521D8A9-9150-4752-87AF-BFE2992B31C1}"/>
    <cellStyle name="20% - Accent6 8 3" xfId="6200" xr:uid="{00000000-0005-0000-0000-0000BD030000}"/>
    <cellStyle name="20% - Accent6 8 3 2" xfId="14629" xr:uid="{36D0ACA8-142F-411B-A9A3-C8BABA1D53AC}"/>
    <cellStyle name="20% - Accent6 8 4" xfId="10411" xr:uid="{64C8CDBB-F3B8-4141-9010-56AD3D3E424A}"/>
    <cellStyle name="20% - Accent6 9" xfId="2305" xr:uid="{00000000-0005-0000-0000-0000BE030000}"/>
    <cellStyle name="20% - Accent6 9 2" xfId="6613" xr:uid="{00000000-0005-0000-0000-0000BF030000}"/>
    <cellStyle name="20% - Accent6 9 2 2" xfId="15042" xr:uid="{348DC37F-B70E-4BE4-8259-6C9F8FE8AFE0}"/>
    <cellStyle name="20% - Accent6 9 3" xfId="10824" xr:uid="{BBC4336A-FBAB-428A-B67C-F1453BFCC907}"/>
    <cellStyle name="40% - Accent1" xfId="49" builtinId="31" customBuiltin="1"/>
    <cellStyle name="40% - Accent1 10" xfId="4555" xr:uid="{00000000-0005-0000-0000-0000C1030000}"/>
    <cellStyle name="40% - Accent1 10 2" xfId="12984" xr:uid="{43E03B42-4B52-4166-AD26-FDBA07765AE4}"/>
    <cellStyle name="40% - Accent1 11" xfId="8766" xr:uid="{A9794546-9423-429D-BC55-1A2BCDE880B7}"/>
    <cellStyle name="40% - Accent1 2" xfId="50" xr:uid="{00000000-0005-0000-0000-0000C2030000}"/>
    <cellStyle name="40% - Accent1 2 10" xfId="8767" xr:uid="{57EB2265-7060-4F47-9094-7DD0E23124F3}"/>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F52EBCC0-55E9-4527-9CF1-68415AEB363A}"/>
    <cellStyle name="40% - Accent1 2 2 2 2 2 3" xfId="11328" xr:uid="{4E2030B3-CFE9-4FA6-AA48-F3D15843B0B2}"/>
    <cellStyle name="40% - Accent1 2 2 2 2 3" xfId="4972" xr:uid="{00000000-0005-0000-0000-0000C8030000}"/>
    <cellStyle name="40% - Accent1 2 2 2 2 3 2" xfId="13401" xr:uid="{47077176-A0E6-4864-AC37-75EC4173E30C}"/>
    <cellStyle name="40% - Accent1 2 2 2 2 4" xfId="9183" xr:uid="{CABF8225-7A34-4F81-8112-3715183FC921}"/>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F4120913-9356-41BD-879F-24D03866E1AC}"/>
    <cellStyle name="40% - Accent1 2 2 2 3 2 3" xfId="11741" xr:uid="{079A96A6-0267-4A15-B1CF-AD68EDF67C05}"/>
    <cellStyle name="40% - Accent1 2 2 2 3 3" xfId="5385" xr:uid="{00000000-0005-0000-0000-0000CC030000}"/>
    <cellStyle name="40% - Accent1 2 2 2 3 3 2" xfId="13814" xr:uid="{879417D4-9932-4302-AF4B-B88E9501E4DB}"/>
    <cellStyle name="40% - Accent1 2 2 2 3 4" xfId="9596" xr:uid="{200A6808-C46C-4898-AFF6-882A610DFD9C}"/>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8EEDE024-73A0-4496-A463-F15A2867116E}"/>
    <cellStyle name="40% - Accent1 2 2 2 4 2 3" xfId="12154" xr:uid="{FC7FE7B5-CA3D-4E07-A01E-94809288DA05}"/>
    <cellStyle name="40% - Accent1 2 2 2 4 3" xfId="5798" xr:uid="{00000000-0005-0000-0000-0000D0030000}"/>
    <cellStyle name="40% - Accent1 2 2 2 4 3 2" xfId="14227" xr:uid="{AE2AB5AE-C5AE-43B5-9269-4E06DB15EF6A}"/>
    <cellStyle name="40% - Accent1 2 2 2 4 4" xfId="10009" xr:uid="{E17F8B71-2EE5-41D9-96B5-D7A6AA711983}"/>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109E1B8E-03D9-461F-9A58-AD9296C0640E}"/>
    <cellStyle name="40% - Accent1 2 2 2 5 2 3" xfId="12567" xr:uid="{3755F0E1-7B24-4F83-BB54-327907449A73}"/>
    <cellStyle name="40% - Accent1 2 2 2 5 3" xfId="6211" xr:uid="{00000000-0005-0000-0000-0000D4030000}"/>
    <cellStyle name="40% - Accent1 2 2 2 5 3 2" xfId="14640" xr:uid="{DD1F67D8-3759-4E71-BA3E-1385356116A9}"/>
    <cellStyle name="40% - Accent1 2 2 2 5 4" xfId="10422" xr:uid="{DBC70FDA-F7BB-4B29-A2DF-337FA95BA8E4}"/>
    <cellStyle name="40% - Accent1 2 2 2 6" xfId="2316" xr:uid="{00000000-0005-0000-0000-0000D5030000}"/>
    <cellStyle name="40% - Accent1 2 2 2 6 2" xfId="6624" xr:uid="{00000000-0005-0000-0000-0000D6030000}"/>
    <cellStyle name="40% - Accent1 2 2 2 6 2 2" xfId="15053" xr:uid="{7D907802-DBA7-4C91-91A1-E6BD6AF20584}"/>
    <cellStyle name="40% - Accent1 2 2 2 6 3" xfId="10835" xr:uid="{00C82094-F8A3-4588-991F-8CD0CC202A9B}"/>
    <cellStyle name="40% - Accent1 2 2 2 7" xfId="4558" xr:uid="{00000000-0005-0000-0000-0000D7030000}"/>
    <cellStyle name="40% - Accent1 2 2 2 7 2" xfId="12987" xr:uid="{E2F1B677-12DA-4C65-9441-427A88CB055D}"/>
    <cellStyle name="40% - Accent1 2 2 2 8" xfId="8769" xr:uid="{04F33D5F-0A15-4FCC-8278-C3C1C3BBBA0B}"/>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7F11C9FF-A5C2-46BD-A9ED-C751871BA672}"/>
    <cellStyle name="40% - Accent1 2 2 3 2 3" xfId="11327" xr:uid="{2F0CB0CA-AED7-41A2-BAA6-12EB3626AF41}"/>
    <cellStyle name="40% - Accent1 2 2 3 3" xfId="4971" xr:uid="{00000000-0005-0000-0000-0000DB030000}"/>
    <cellStyle name="40% - Accent1 2 2 3 3 2" xfId="13400" xr:uid="{EFBBED30-5402-4C89-A1CF-2574C82C893C}"/>
    <cellStyle name="40% - Accent1 2 2 3 4" xfId="9182" xr:uid="{83CD76E8-1A29-4455-AB73-B1E3861ACECF}"/>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DAB34B6F-C49D-406D-9178-79DC4FC60B06}"/>
    <cellStyle name="40% - Accent1 2 2 4 2 3" xfId="11740" xr:uid="{43CA96BC-E41A-4378-9C4E-5C63DF8FA218}"/>
    <cellStyle name="40% - Accent1 2 2 4 3" xfId="5384" xr:uid="{00000000-0005-0000-0000-0000DF030000}"/>
    <cellStyle name="40% - Accent1 2 2 4 3 2" xfId="13813" xr:uid="{991B1FE0-9919-49CD-8A32-6BD8EE1735B3}"/>
    <cellStyle name="40% - Accent1 2 2 4 4" xfId="9595" xr:uid="{90D8E4BF-64A7-4C07-BD15-9E526AEC1442}"/>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D6D6991B-23BF-4168-8E28-37F5E71F81F0}"/>
    <cellStyle name="40% - Accent1 2 2 5 2 3" xfId="12153" xr:uid="{50D97E78-4FC1-499E-98FE-48636F004AAA}"/>
    <cellStyle name="40% - Accent1 2 2 5 3" xfId="5797" xr:uid="{00000000-0005-0000-0000-0000E3030000}"/>
    <cellStyle name="40% - Accent1 2 2 5 3 2" xfId="14226" xr:uid="{91710E23-080E-4100-9C18-A8EE609D6336}"/>
    <cellStyle name="40% - Accent1 2 2 5 4" xfId="10008" xr:uid="{9543D90D-9EF6-4012-8C24-AF1C951E85C2}"/>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AC3F1FF6-96C3-4927-8F5D-41AB1C3665B2}"/>
    <cellStyle name="40% - Accent1 2 2 6 2 3" xfId="12566" xr:uid="{29E2C8E0-3545-46CC-B57E-B66ABA5F9DE2}"/>
    <cellStyle name="40% - Accent1 2 2 6 3" xfId="6210" xr:uid="{00000000-0005-0000-0000-0000E7030000}"/>
    <cellStyle name="40% - Accent1 2 2 6 3 2" xfId="14639" xr:uid="{29809C5D-E0C8-4CE8-8A09-0C0B5F032CE0}"/>
    <cellStyle name="40% - Accent1 2 2 6 4" xfId="10421" xr:uid="{29BBB0C8-77E5-410F-A7E9-C199B3501FD5}"/>
    <cellStyle name="40% - Accent1 2 2 7" xfId="2315" xr:uid="{00000000-0005-0000-0000-0000E8030000}"/>
    <cellStyle name="40% - Accent1 2 2 7 2" xfId="6623" xr:uid="{00000000-0005-0000-0000-0000E9030000}"/>
    <cellStyle name="40% - Accent1 2 2 7 2 2" xfId="15052" xr:uid="{4A621767-7A50-47E3-9ECA-D893D0FADE79}"/>
    <cellStyle name="40% - Accent1 2 2 7 3" xfId="10834" xr:uid="{6E345FAB-4F10-4C34-BAD9-2DB0307BC9AE}"/>
    <cellStyle name="40% - Accent1 2 2 8" xfId="4557" xr:uid="{00000000-0005-0000-0000-0000EA030000}"/>
    <cellStyle name="40% - Accent1 2 2 8 2" xfId="12986" xr:uid="{1F48A7CE-7155-4987-9F96-3578A0C7FC48}"/>
    <cellStyle name="40% - Accent1 2 2 9" xfId="8768" xr:uid="{185938FC-1981-4B07-9517-60A2229FD55A}"/>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7BC0AE18-29D1-4746-A3A4-AD11E6E5BAC3}"/>
    <cellStyle name="40% - Accent1 2 3 2 2 3" xfId="11329" xr:uid="{558A529A-5205-46E3-B574-FA5872E25B7C}"/>
    <cellStyle name="40% - Accent1 2 3 2 3" xfId="4973" xr:uid="{00000000-0005-0000-0000-0000EF030000}"/>
    <cellStyle name="40% - Accent1 2 3 2 3 2" xfId="13402" xr:uid="{DC003348-7157-4811-9A52-0F1B3372A4C3}"/>
    <cellStyle name="40% - Accent1 2 3 2 4" xfId="9184" xr:uid="{C717EC42-B3D5-4429-B51F-5442DA31E1F0}"/>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A32E6175-1258-4601-9F61-B84C6C394BE8}"/>
    <cellStyle name="40% - Accent1 2 3 3 2 3" xfId="11742" xr:uid="{3DC247CC-0E48-4AA5-9C1C-F3760A459072}"/>
    <cellStyle name="40% - Accent1 2 3 3 3" xfId="5386" xr:uid="{00000000-0005-0000-0000-0000F3030000}"/>
    <cellStyle name="40% - Accent1 2 3 3 3 2" xfId="13815" xr:uid="{B2EE4101-63EE-41A6-A07E-16C54FE12505}"/>
    <cellStyle name="40% - Accent1 2 3 3 4" xfId="9597" xr:uid="{B3C0A2FD-D92F-48BA-9D9C-AE1B8C6A5AC5}"/>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7748A98E-BAD0-4EA4-90A8-70824AE25852}"/>
    <cellStyle name="40% - Accent1 2 3 4 2 3" xfId="12155" xr:uid="{1A99355D-3D33-41E2-9D07-61079A1D6364}"/>
    <cellStyle name="40% - Accent1 2 3 4 3" xfId="5799" xr:uid="{00000000-0005-0000-0000-0000F7030000}"/>
    <cellStyle name="40% - Accent1 2 3 4 3 2" xfId="14228" xr:uid="{5CDAF750-1474-4D07-86AD-1EFAA902D2D8}"/>
    <cellStyle name="40% - Accent1 2 3 4 4" xfId="10010" xr:uid="{31AA8DE7-C882-4476-B356-A175AA777D9C}"/>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0D0A7191-A949-4BAD-869F-24B6C10F0601}"/>
    <cellStyle name="40% - Accent1 2 3 5 2 3" xfId="12568" xr:uid="{F336D535-1684-4BC7-A6EB-5AC912A1F855}"/>
    <cellStyle name="40% - Accent1 2 3 5 3" xfId="6212" xr:uid="{00000000-0005-0000-0000-0000FB030000}"/>
    <cellStyle name="40% - Accent1 2 3 5 3 2" xfId="14641" xr:uid="{78E7233D-08FA-4ECD-B587-C160AEEE186F}"/>
    <cellStyle name="40% - Accent1 2 3 5 4" xfId="10423" xr:uid="{2C84E811-BBED-4047-8C27-E3B1D38BECE6}"/>
    <cellStyle name="40% - Accent1 2 3 6" xfId="2317" xr:uid="{00000000-0005-0000-0000-0000FC030000}"/>
    <cellStyle name="40% - Accent1 2 3 6 2" xfId="6625" xr:uid="{00000000-0005-0000-0000-0000FD030000}"/>
    <cellStyle name="40% - Accent1 2 3 6 2 2" xfId="15054" xr:uid="{B9D66081-5064-4367-9BCF-41E545D92F25}"/>
    <cellStyle name="40% - Accent1 2 3 6 3" xfId="10836" xr:uid="{342C4DD9-350B-4886-B285-8783F58DCDF8}"/>
    <cellStyle name="40% - Accent1 2 3 7" xfId="4559" xr:uid="{00000000-0005-0000-0000-0000FE030000}"/>
    <cellStyle name="40% - Accent1 2 3 7 2" xfId="12988" xr:uid="{6607B325-F5CD-4CA5-98DF-FDCC2C55B2F6}"/>
    <cellStyle name="40% - Accent1 2 3 8" xfId="8770" xr:uid="{A215E38C-6EEE-499F-8204-133E1062EB32}"/>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685D4AA7-B0D4-4E3C-B39B-61B9C0446C62}"/>
    <cellStyle name="40% - Accent1 2 4 2 3" xfId="11326" xr:uid="{47FC06DC-3C14-4022-BF0A-92B461334624}"/>
    <cellStyle name="40% - Accent1 2 4 3" xfId="4970" xr:uid="{00000000-0005-0000-0000-000002040000}"/>
    <cellStyle name="40% - Accent1 2 4 3 2" xfId="13399" xr:uid="{FBB4BBB6-1621-4AA0-8B8D-5F35267F137E}"/>
    <cellStyle name="40% - Accent1 2 4 4" xfId="9181" xr:uid="{217F3564-9549-4EB0-9AE1-228160D6E576}"/>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6154E4E7-9C0B-4223-ADE6-C5E1372BD3D2}"/>
    <cellStyle name="40% - Accent1 2 5 2 3" xfId="11739" xr:uid="{9BD8BEAE-44EA-47C6-8373-0D0862401A64}"/>
    <cellStyle name="40% - Accent1 2 5 3" xfId="5383" xr:uid="{00000000-0005-0000-0000-000006040000}"/>
    <cellStyle name="40% - Accent1 2 5 3 2" xfId="13812" xr:uid="{094BF92F-F75A-437A-AE6E-8606D93EA64A}"/>
    <cellStyle name="40% - Accent1 2 5 4" xfId="9594" xr:uid="{F160DF13-F3C1-4886-AB95-B68E95F95652}"/>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76DE7B60-568D-41B4-BF7E-82C9056D926F}"/>
    <cellStyle name="40% - Accent1 2 6 2 3" xfId="12152" xr:uid="{B3CCB48D-7FF9-40A5-A88A-240A4F34D145}"/>
    <cellStyle name="40% - Accent1 2 6 3" xfId="5796" xr:uid="{00000000-0005-0000-0000-00000A040000}"/>
    <cellStyle name="40% - Accent1 2 6 3 2" xfId="14225" xr:uid="{6918009A-21AB-4082-80A0-763D5F9341E9}"/>
    <cellStyle name="40% - Accent1 2 6 4" xfId="10007" xr:uid="{9AD1C1D2-063E-4256-BFC8-20993F8E914F}"/>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6DFE959E-CB06-40F3-B4C8-16ED5F6A3239}"/>
    <cellStyle name="40% - Accent1 2 7 2 3" xfId="12565" xr:uid="{B5203C36-521E-4A60-AFD4-D87A85A5584E}"/>
    <cellStyle name="40% - Accent1 2 7 3" xfId="6209" xr:uid="{00000000-0005-0000-0000-00000E040000}"/>
    <cellStyle name="40% - Accent1 2 7 3 2" xfId="14638" xr:uid="{FF36BA37-784B-4BBA-99CB-B93B736A1DA5}"/>
    <cellStyle name="40% - Accent1 2 7 4" xfId="10420" xr:uid="{3AF88752-2E1C-4E93-9C6A-971156920EDD}"/>
    <cellStyle name="40% - Accent1 2 8" xfId="2314" xr:uid="{00000000-0005-0000-0000-00000F040000}"/>
    <cellStyle name="40% - Accent1 2 8 2" xfId="6622" xr:uid="{00000000-0005-0000-0000-000010040000}"/>
    <cellStyle name="40% - Accent1 2 8 2 2" xfId="15051" xr:uid="{12D92353-8059-4596-AAB4-5D358786B666}"/>
    <cellStyle name="40% - Accent1 2 8 3" xfId="10833" xr:uid="{E0DC46AF-0BF5-42BA-900E-67C0ECD0944A}"/>
    <cellStyle name="40% - Accent1 2 9" xfId="4556" xr:uid="{00000000-0005-0000-0000-000011040000}"/>
    <cellStyle name="40% - Accent1 2 9 2" xfId="12985" xr:uid="{BEE0BF53-7CD9-4CFB-BD1E-F52E24242A07}"/>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D40E7804-F498-4AF8-A545-A9711E03EBF8}"/>
    <cellStyle name="40% - Accent1 3 2 2 2 3" xfId="11331" xr:uid="{28C56CC3-869A-4DCE-BABA-2A8177A5EF89}"/>
    <cellStyle name="40% - Accent1 3 2 2 3" xfId="4975" xr:uid="{00000000-0005-0000-0000-000017040000}"/>
    <cellStyle name="40% - Accent1 3 2 2 3 2" xfId="13404" xr:uid="{DC29BC00-A443-4952-AE29-CB17A45D0783}"/>
    <cellStyle name="40% - Accent1 3 2 2 4" xfId="9186" xr:uid="{71D2C15E-0A7A-4771-949D-B55FCE4C0AF6}"/>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DB65DBD6-EEEF-4A3B-8A05-BFF94E5F4C95}"/>
    <cellStyle name="40% - Accent1 3 2 3 2 3" xfId="11744" xr:uid="{A91EF714-B60C-4813-8823-00F9FF766EF2}"/>
    <cellStyle name="40% - Accent1 3 2 3 3" xfId="5388" xr:uid="{00000000-0005-0000-0000-00001B040000}"/>
    <cellStyle name="40% - Accent1 3 2 3 3 2" xfId="13817" xr:uid="{F043A033-04FD-497E-AB29-E2DD0DDC4CF3}"/>
    <cellStyle name="40% - Accent1 3 2 3 4" xfId="9599" xr:uid="{961B750F-DF75-49C8-BFC4-579CF3BB2D8F}"/>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109BA2A8-6758-483A-9A9B-9CB3BD4EDDE9}"/>
    <cellStyle name="40% - Accent1 3 2 4 2 3" xfId="12157" xr:uid="{7EC77993-2C00-4803-8A38-9C75B7B27EF7}"/>
    <cellStyle name="40% - Accent1 3 2 4 3" xfId="5801" xr:uid="{00000000-0005-0000-0000-00001F040000}"/>
    <cellStyle name="40% - Accent1 3 2 4 3 2" xfId="14230" xr:uid="{0A532BDF-C672-4C85-846B-041A9915569A}"/>
    <cellStyle name="40% - Accent1 3 2 4 4" xfId="10012" xr:uid="{CB0E87F4-6370-4B9C-8C48-C00D6D105B8E}"/>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E295CE5C-ADF3-4AF9-8183-429565688660}"/>
    <cellStyle name="40% - Accent1 3 2 5 2 3" xfId="12570" xr:uid="{207C32CE-5A6B-4A23-92DF-2B14D496F25B}"/>
    <cellStyle name="40% - Accent1 3 2 5 3" xfId="6214" xr:uid="{00000000-0005-0000-0000-000023040000}"/>
    <cellStyle name="40% - Accent1 3 2 5 3 2" xfId="14643" xr:uid="{02961D73-0497-4233-86AA-0C0E7B08B512}"/>
    <cellStyle name="40% - Accent1 3 2 5 4" xfId="10425" xr:uid="{1943E05E-6E2E-4FA0-9C2B-D01C5C2556DC}"/>
    <cellStyle name="40% - Accent1 3 2 6" xfId="2319" xr:uid="{00000000-0005-0000-0000-000024040000}"/>
    <cellStyle name="40% - Accent1 3 2 6 2" xfId="6627" xr:uid="{00000000-0005-0000-0000-000025040000}"/>
    <cellStyle name="40% - Accent1 3 2 6 2 2" xfId="15056" xr:uid="{26C7135E-A7A7-413C-9B50-1254CF05D83F}"/>
    <cellStyle name="40% - Accent1 3 2 6 3" xfId="10838" xr:uid="{42362871-6C69-4C25-82EA-08F926A225FB}"/>
    <cellStyle name="40% - Accent1 3 2 7" xfId="4561" xr:uid="{00000000-0005-0000-0000-000026040000}"/>
    <cellStyle name="40% - Accent1 3 2 7 2" xfId="12990" xr:uid="{D01C4277-A6D9-4F8E-8029-6A57DD14D138}"/>
    <cellStyle name="40% - Accent1 3 2 8" xfId="8772" xr:uid="{7C965562-AD5E-456F-83E3-5187F751C8E4}"/>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A1952226-627B-4F6C-A5C5-C460CDA9D00A}"/>
    <cellStyle name="40% - Accent1 3 3 2 3" xfId="11330" xr:uid="{B3A16642-9077-4E00-8FE0-8F372C04552F}"/>
    <cellStyle name="40% - Accent1 3 3 3" xfId="4974" xr:uid="{00000000-0005-0000-0000-00002A040000}"/>
    <cellStyle name="40% - Accent1 3 3 3 2" xfId="13403" xr:uid="{3C823967-782A-41C6-8DA5-593D52DA8F10}"/>
    <cellStyle name="40% - Accent1 3 3 4" xfId="9185" xr:uid="{5674A038-EDF5-44C6-BEB1-F6890E3404AA}"/>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6A696563-AA48-4E2C-96EA-14E0B75ED423}"/>
    <cellStyle name="40% - Accent1 3 4 2 3" xfId="11743" xr:uid="{8EB50AB8-0977-413F-BE56-230D58A84F4C}"/>
    <cellStyle name="40% - Accent1 3 4 3" xfId="5387" xr:uid="{00000000-0005-0000-0000-00002E040000}"/>
    <cellStyle name="40% - Accent1 3 4 3 2" xfId="13816" xr:uid="{DA1FF617-92C1-4264-86D5-EC948D51FF72}"/>
    <cellStyle name="40% - Accent1 3 4 4" xfId="9598" xr:uid="{6C970066-AC5B-40A9-BC6B-3FEB4BDC1E8E}"/>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F1673849-D8FA-4918-93EB-40C51FF1A564}"/>
    <cellStyle name="40% - Accent1 3 5 2 3" xfId="12156" xr:uid="{B2C80CA3-3148-4D9A-842D-9F3E24AA7E21}"/>
    <cellStyle name="40% - Accent1 3 5 3" xfId="5800" xr:uid="{00000000-0005-0000-0000-000032040000}"/>
    <cellStyle name="40% - Accent1 3 5 3 2" xfId="14229" xr:uid="{C60DB441-5472-41B6-8E4D-0F5181110A7B}"/>
    <cellStyle name="40% - Accent1 3 5 4" xfId="10011" xr:uid="{36095BD7-1458-478F-B34F-CE421A06B387}"/>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0153E36E-8FFF-4B27-AFC3-9FF3476B2EC0}"/>
    <cellStyle name="40% - Accent1 3 6 2 3" xfId="12569" xr:uid="{C061A09A-A1F5-49F6-A996-E1C4611531EA}"/>
    <cellStyle name="40% - Accent1 3 6 3" xfId="6213" xr:uid="{00000000-0005-0000-0000-000036040000}"/>
    <cellStyle name="40% - Accent1 3 6 3 2" xfId="14642" xr:uid="{015016DC-F5F8-4D75-989A-55E79196770B}"/>
    <cellStyle name="40% - Accent1 3 6 4" xfId="10424" xr:uid="{DE44A1AE-B62F-4515-8AE0-3AFB08172E0E}"/>
    <cellStyle name="40% - Accent1 3 7" xfId="2318" xr:uid="{00000000-0005-0000-0000-000037040000}"/>
    <cellStyle name="40% - Accent1 3 7 2" xfId="6626" xr:uid="{00000000-0005-0000-0000-000038040000}"/>
    <cellStyle name="40% - Accent1 3 7 2 2" xfId="15055" xr:uid="{160CB487-72F7-48B7-BD24-0913DBDAEEE2}"/>
    <cellStyle name="40% - Accent1 3 7 3" xfId="10837" xr:uid="{857274E8-8838-46DE-89B0-32ECE21580ED}"/>
    <cellStyle name="40% - Accent1 3 8" xfId="4560" xr:uid="{00000000-0005-0000-0000-000039040000}"/>
    <cellStyle name="40% - Accent1 3 8 2" xfId="12989" xr:uid="{3CBD9E3C-F982-4B43-8D7F-303020984E3B}"/>
    <cellStyle name="40% - Accent1 3 9" xfId="8771" xr:uid="{9063FBDA-BEBB-4A1E-A57B-10CF7C22777D}"/>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FF001A61-8EA7-49D2-A192-69DC3AB3863F}"/>
    <cellStyle name="40% - Accent1 4 2 2 3" xfId="11332" xr:uid="{18267AB4-39C6-4198-B47F-0FC680224C1D}"/>
    <cellStyle name="40% - Accent1 4 2 3" xfId="4976" xr:uid="{00000000-0005-0000-0000-00003E040000}"/>
    <cellStyle name="40% - Accent1 4 2 3 2" xfId="13405" xr:uid="{744451F0-AB0B-4999-8F7E-AE2B221B31BA}"/>
    <cellStyle name="40% - Accent1 4 2 4" xfId="9187" xr:uid="{51875A71-AF28-4B24-A4E7-CA3E03943073}"/>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F3935DF7-245C-416C-B72A-878AB74CB8D3}"/>
    <cellStyle name="40% - Accent1 4 3 2 3" xfId="11745" xr:uid="{DF2E434C-498D-4342-9C98-92D3D5E7AA8A}"/>
    <cellStyle name="40% - Accent1 4 3 3" xfId="5389" xr:uid="{00000000-0005-0000-0000-000042040000}"/>
    <cellStyle name="40% - Accent1 4 3 3 2" xfId="13818" xr:uid="{05CB5BBF-C904-4278-967E-4FB619ED115C}"/>
    <cellStyle name="40% - Accent1 4 3 4" xfId="9600" xr:uid="{512E0A9E-4A79-46F9-A91C-28DFD6CE5B83}"/>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08A7C76F-FDDB-48CC-829C-C04031C489CC}"/>
    <cellStyle name="40% - Accent1 4 4 2 3" xfId="12158" xr:uid="{79D7537B-EE03-42FD-A80A-2CC300635DE1}"/>
    <cellStyle name="40% - Accent1 4 4 3" xfId="5802" xr:uid="{00000000-0005-0000-0000-000046040000}"/>
    <cellStyle name="40% - Accent1 4 4 3 2" xfId="14231" xr:uid="{4AAA4944-DCD2-437C-9194-9AD62457DC9D}"/>
    <cellStyle name="40% - Accent1 4 4 4" xfId="10013" xr:uid="{46236B30-0254-4BDC-AA9D-4FC62C784131}"/>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C130B419-D96B-4A96-B4B8-9B9205FAB365}"/>
    <cellStyle name="40% - Accent1 4 5 2 3" xfId="12571" xr:uid="{12927A3C-E3EC-4533-B154-96233217326A}"/>
    <cellStyle name="40% - Accent1 4 5 3" xfId="6215" xr:uid="{00000000-0005-0000-0000-00004A040000}"/>
    <cellStyle name="40% - Accent1 4 5 3 2" xfId="14644" xr:uid="{C23B2851-4769-4A9D-88A0-EE4AF5F02891}"/>
    <cellStyle name="40% - Accent1 4 5 4" xfId="10426" xr:uid="{154AE29C-FC9F-4393-A1D4-CD20744A5ADA}"/>
    <cellStyle name="40% - Accent1 4 6" xfId="2320" xr:uid="{00000000-0005-0000-0000-00004B040000}"/>
    <cellStyle name="40% - Accent1 4 6 2" xfId="6628" xr:uid="{00000000-0005-0000-0000-00004C040000}"/>
    <cellStyle name="40% - Accent1 4 6 2 2" xfId="15057" xr:uid="{87919DC4-2D0F-4FAB-AC65-36FE2BF010DC}"/>
    <cellStyle name="40% - Accent1 4 6 3" xfId="10839" xr:uid="{B025AB9A-4B8E-4A6E-80F8-FA3D34129C3E}"/>
    <cellStyle name="40% - Accent1 4 7" xfId="4562" xr:uid="{00000000-0005-0000-0000-00004D040000}"/>
    <cellStyle name="40% - Accent1 4 7 2" xfId="12991" xr:uid="{41F9AEAB-B47E-4C2A-BC24-D302949D44E6}"/>
    <cellStyle name="40% - Accent1 4 8" xfId="8773" xr:uid="{1424F001-8881-4555-98B0-1E228624DB67}"/>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464E5949-EFCB-4D39-98A5-837F5FF3BAE3}"/>
    <cellStyle name="40% - Accent1 5 2 3" xfId="11325" xr:uid="{9A3268A7-B4F9-4219-9391-787DF310F32F}"/>
    <cellStyle name="40% - Accent1 5 3" xfId="4969" xr:uid="{00000000-0005-0000-0000-000051040000}"/>
    <cellStyle name="40% - Accent1 5 3 2" xfId="13398" xr:uid="{70F99D1F-62D9-4B23-ACA7-D662BC61EE22}"/>
    <cellStyle name="40% - Accent1 5 4" xfId="9180" xr:uid="{DFBEB43C-22FE-42AF-9FFF-F0191F1F947F}"/>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C4E948BB-3BDA-46AB-87FD-694F18F1B32E}"/>
    <cellStyle name="40% - Accent1 6 2 3" xfId="11738" xr:uid="{3EE6F26B-4008-44E1-BE70-DCF76023368F}"/>
    <cellStyle name="40% - Accent1 6 3" xfId="5382" xr:uid="{00000000-0005-0000-0000-000055040000}"/>
    <cellStyle name="40% - Accent1 6 3 2" xfId="13811" xr:uid="{F49026D7-B7D2-4A83-ACBB-F9E9EFEF7EA8}"/>
    <cellStyle name="40% - Accent1 6 4" xfId="9593" xr:uid="{8F21B947-9B49-4FCA-A42A-7082854A6E47}"/>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3A6822F8-44E7-4928-85C3-3F29838256FC}"/>
    <cellStyle name="40% - Accent1 7 2 3" xfId="12151" xr:uid="{82B14C76-F0A6-41EB-A866-427210DFB20B}"/>
    <cellStyle name="40% - Accent1 7 3" xfId="5795" xr:uid="{00000000-0005-0000-0000-000059040000}"/>
    <cellStyle name="40% - Accent1 7 3 2" xfId="14224" xr:uid="{0859C92D-4C07-4148-ABE1-BC968A533164}"/>
    <cellStyle name="40% - Accent1 7 4" xfId="10006" xr:uid="{0C856378-AC1A-4755-A72F-223C68EBEC6B}"/>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B9D3765C-59A2-4B1D-B82D-9E6BB5C83774}"/>
    <cellStyle name="40% - Accent1 8 2 3" xfId="12564" xr:uid="{D4652BB3-729A-40A4-84A4-1E451BD594B0}"/>
    <cellStyle name="40% - Accent1 8 3" xfId="6208" xr:uid="{00000000-0005-0000-0000-00005D040000}"/>
    <cellStyle name="40% - Accent1 8 3 2" xfId="14637" xr:uid="{2BF0F75A-4441-4269-A995-5994631CCF68}"/>
    <cellStyle name="40% - Accent1 8 4" xfId="10419" xr:uid="{CE31E1DA-21AB-4280-BE10-47B43635A793}"/>
    <cellStyle name="40% - Accent1 9" xfId="2313" xr:uid="{00000000-0005-0000-0000-00005E040000}"/>
    <cellStyle name="40% - Accent1 9 2" xfId="6621" xr:uid="{00000000-0005-0000-0000-00005F040000}"/>
    <cellStyle name="40% - Accent1 9 2 2" xfId="15050" xr:uid="{A17A9B8D-16E5-43C3-B64F-4BDA8664F1FF}"/>
    <cellStyle name="40% - Accent1 9 3" xfId="10832" xr:uid="{FB3D580C-9743-45A0-88F9-F20E1877BF71}"/>
    <cellStyle name="40% - Accent2" xfId="57" builtinId="35" customBuiltin="1"/>
    <cellStyle name="40% - Accent2 10" xfId="4563" xr:uid="{00000000-0005-0000-0000-000061040000}"/>
    <cellStyle name="40% - Accent2 10 2" xfId="12992" xr:uid="{6D9F89CB-2439-48D5-9B50-8567233DEAD4}"/>
    <cellStyle name="40% - Accent2 11" xfId="8774" xr:uid="{76156D2E-7580-47DF-A463-9B6B44A1A7A9}"/>
    <cellStyle name="40% - Accent2 2" xfId="58" xr:uid="{00000000-0005-0000-0000-000062040000}"/>
    <cellStyle name="40% - Accent2 2 10" xfId="8775" xr:uid="{9853CD47-650F-4DE0-8A9C-E0931541813C}"/>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ADAE9281-550C-49CB-BE68-C33C4B08EFC9}"/>
    <cellStyle name="40% - Accent2 2 2 2 2 2 3" xfId="11336" xr:uid="{5133F0D6-4747-4F9D-BC9A-0012B5AC274F}"/>
    <cellStyle name="40% - Accent2 2 2 2 2 3" xfId="4980" xr:uid="{00000000-0005-0000-0000-000068040000}"/>
    <cellStyle name="40% - Accent2 2 2 2 2 3 2" xfId="13409" xr:uid="{32375C00-BB81-4755-A8C8-E94FA2FD5373}"/>
    <cellStyle name="40% - Accent2 2 2 2 2 4" xfId="9191" xr:uid="{F5C025B4-2CBF-4D54-8FE4-5A2BA783D047}"/>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C6915361-CA8E-4677-AA88-408C01186DF3}"/>
    <cellStyle name="40% - Accent2 2 2 2 3 2 3" xfId="11749" xr:uid="{C754C0E1-4254-4B0D-8B5C-17E37467C4E4}"/>
    <cellStyle name="40% - Accent2 2 2 2 3 3" xfId="5393" xr:uid="{00000000-0005-0000-0000-00006C040000}"/>
    <cellStyle name="40% - Accent2 2 2 2 3 3 2" xfId="13822" xr:uid="{454CB077-ED96-4CD0-828D-7D820364F064}"/>
    <cellStyle name="40% - Accent2 2 2 2 3 4" xfId="9604" xr:uid="{6CADD6DB-5280-4AC4-AAAF-55F1CA0AF14B}"/>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FF3C46B9-1945-4F09-B2D6-64BBA95E4A39}"/>
    <cellStyle name="40% - Accent2 2 2 2 4 2 3" xfId="12162" xr:uid="{6525EC92-0A0E-4749-A49D-63EEE0532CF4}"/>
    <cellStyle name="40% - Accent2 2 2 2 4 3" xfId="5806" xr:uid="{00000000-0005-0000-0000-000070040000}"/>
    <cellStyle name="40% - Accent2 2 2 2 4 3 2" xfId="14235" xr:uid="{04B85A49-8733-4852-BA12-8712F256D79C}"/>
    <cellStyle name="40% - Accent2 2 2 2 4 4" xfId="10017" xr:uid="{36B4F5D9-59B6-4B01-8826-43EAA0445167}"/>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EE7F45C1-176F-4462-B865-86EE6BB973C4}"/>
    <cellStyle name="40% - Accent2 2 2 2 5 2 3" xfId="12575" xr:uid="{AA3C8236-6B54-4398-938D-C558B00FF3B7}"/>
    <cellStyle name="40% - Accent2 2 2 2 5 3" xfId="6219" xr:uid="{00000000-0005-0000-0000-000074040000}"/>
    <cellStyle name="40% - Accent2 2 2 2 5 3 2" xfId="14648" xr:uid="{A25B48F2-5228-476A-9653-DD363C8F72C2}"/>
    <cellStyle name="40% - Accent2 2 2 2 5 4" xfId="10430" xr:uid="{52EA6CAA-37F1-48FD-8148-BD8C38C0344A}"/>
    <cellStyle name="40% - Accent2 2 2 2 6" xfId="2324" xr:uid="{00000000-0005-0000-0000-000075040000}"/>
    <cellStyle name="40% - Accent2 2 2 2 6 2" xfId="6632" xr:uid="{00000000-0005-0000-0000-000076040000}"/>
    <cellStyle name="40% - Accent2 2 2 2 6 2 2" xfId="15061" xr:uid="{EC4B5BDE-1813-4DD3-B408-ED7FA242D1BE}"/>
    <cellStyle name="40% - Accent2 2 2 2 6 3" xfId="10843" xr:uid="{0E9C0FED-D620-4513-919F-CAAACCDB7CBE}"/>
    <cellStyle name="40% - Accent2 2 2 2 7" xfId="4566" xr:uid="{00000000-0005-0000-0000-000077040000}"/>
    <cellStyle name="40% - Accent2 2 2 2 7 2" xfId="12995" xr:uid="{990978D0-7ADC-45AF-AED6-85727785AAD1}"/>
    <cellStyle name="40% - Accent2 2 2 2 8" xfId="8777" xr:uid="{1AB7AD6E-F334-42AF-846C-71EC914C31D4}"/>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CFC765FF-B173-43C6-B983-8D3BCC7A158D}"/>
    <cellStyle name="40% - Accent2 2 2 3 2 3" xfId="11335" xr:uid="{ABC03AC3-20DE-4CFB-A38D-E5A4FBDD6302}"/>
    <cellStyle name="40% - Accent2 2 2 3 3" xfId="4979" xr:uid="{00000000-0005-0000-0000-00007B040000}"/>
    <cellStyle name="40% - Accent2 2 2 3 3 2" xfId="13408" xr:uid="{B16E9247-E015-4EC3-9B60-3FCD63518F72}"/>
    <cellStyle name="40% - Accent2 2 2 3 4" xfId="9190" xr:uid="{20B4A0E3-D417-4D59-92B2-66B0E0FDD20D}"/>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67AE0EDF-297F-417A-9682-ED768DDDF49B}"/>
    <cellStyle name="40% - Accent2 2 2 4 2 3" xfId="11748" xr:uid="{8E155607-D00E-483B-929C-B0E0492028F9}"/>
    <cellStyle name="40% - Accent2 2 2 4 3" xfId="5392" xr:uid="{00000000-0005-0000-0000-00007F040000}"/>
    <cellStyle name="40% - Accent2 2 2 4 3 2" xfId="13821" xr:uid="{C8BE8BCA-02DD-4C25-B8E3-CE6C17FAA500}"/>
    <cellStyle name="40% - Accent2 2 2 4 4" xfId="9603" xr:uid="{60E68D6F-F79D-4053-B570-F151B9AA869D}"/>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0C0F979A-0ED4-435F-8175-DE426956D398}"/>
    <cellStyle name="40% - Accent2 2 2 5 2 3" xfId="12161" xr:uid="{A00D20D3-90E4-4D84-9335-79C8642E4DC6}"/>
    <cellStyle name="40% - Accent2 2 2 5 3" xfId="5805" xr:uid="{00000000-0005-0000-0000-000083040000}"/>
    <cellStyle name="40% - Accent2 2 2 5 3 2" xfId="14234" xr:uid="{85EF2B4E-A1C7-46AB-BA31-82571802EEB2}"/>
    <cellStyle name="40% - Accent2 2 2 5 4" xfId="10016" xr:uid="{71CAAB84-6063-47F0-9C38-10C5655E63BA}"/>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870341E4-C8CC-4FF7-8155-315A356597E3}"/>
    <cellStyle name="40% - Accent2 2 2 6 2 3" xfId="12574" xr:uid="{2D60B5D0-5E6F-449A-B354-99D63C9850E5}"/>
    <cellStyle name="40% - Accent2 2 2 6 3" xfId="6218" xr:uid="{00000000-0005-0000-0000-000087040000}"/>
    <cellStyle name="40% - Accent2 2 2 6 3 2" xfId="14647" xr:uid="{C344A650-2A90-4845-992A-7E198D2C0291}"/>
    <cellStyle name="40% - Accent2 2 2 6 4" xfId="10429" xr:uid="{A2F2C58F-A977-4C42-A26F-CF2474F52B8C}"/>
    <cellStyle name="40% - Accent2 2 2 7" xfId="2323" xr:uid="{00000000-0005-0000-0000-000088040000}"/>
    <cellStyle name="40% - Accent2 2 2 7 2" xfId="6631" xr:uid="{00000000-0005-0000-0000-000089040000}"/>
    <cellStyle name="40% - Accent2 2 2 7 2 2" xfId="15060" xr:uid="{5CABDB7B-BEC3-414D-B9D3-0BF8718E447C}"/>
    <cellStyle name="40% - Accent2 2 2 7 3" xfId="10842" xr:uid="{894899D1-7C95-4EEF-B7FB-2F73B666DE70}"/>
    <cellStyle name="40% - Accent2 2 2 8" xfId="4565" xr:uid="{00000000-0005-0000-0000-00008A040000}"/>
    <cellStyle name="40% - Accent2 2 2 8 2" xfId="12994" xr:uid="{09237C45-DEE1-4AEE-8D63-8B76C6066F1A}"/>
    <cellStyle name="40% - Accent2 2 2 9" xfId="8776" xr:uid="{C78B33BA-4768-40D5-AAC0-2A7C27CE2BFC}"/>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86269C5B-FE0D-4895-BCD7-62D9188AF5D8}"/>
    <cellStyle name="40% - Accent2 2 3 2 2 3" xfId="11337" xr:uid="{DCB514CD-781C-4302-A3A2-3F37565A7A27}"/>
    <cellStyle name="40% - Accent2 2 3 2 3" xfId="4981" xr:uid="{00000000-0005-0000-0000-00008F040000}"/>
    <cellStyle name="40% - Accent2 2 3 2 3 2" xfId="13410" xr:uid="{7B9C9C1A-D640-4DFD-8556-5BBFEB877BD9}"/>
    <cellStyle name="40% - Accent2 2 3 2 4" xfId="9192" xr:uid="{355522C2-45CF-4AEB-BEE5-98D83F6A307B}"/>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DA6097B1-F11B-4B71-A9CD-A1EB5BAECB6A}"/>
    <cellStyle name="40% - Accent2 2 3 3 2 3" xfId="11750" xr:uid="{B5A70CBF-5F0C-4337-9C62-4A864DE8B918}"/>
    <cellStyle name="40% - Accent2 2 3 3 3" xfId="5394" xr:uid="{00000000-0005-0000-0000-000093040000}"/>
    <cellStyle name="40% - Accent2 2 3 3 3 2" xfId="13823" xr:uid="{0C65982A-6C43-456D-A8E4-D1DEDB1F3BCD}"/>
    <cellStyle name="40% - Accent2 2 3 3 4" xfId="9605" xr:uid="{669B0C80-AFA9-43EC-BDAE-11B9D52047E0}"/>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6BA84514-F526-4D4D-A653-765FB355F26C}"/>
    <cellStyle name="40% - Accent2 2 3 4 2 3" xfId="12163" xr:uid="{72277E99-446F-4E8F-B093-426BDBF4CA8F}"/>
    <cellStyle name="40% - Accent2 2 3 4 3" xfId="5807" xr:uid="{00000000-0005-0000-0000-000097040000}"/>
    <cellStyle name="40% - Accent2 2 3 4 3 2" xfId="14236" xr:uid="{66D79DEF-4B33-4FFB-99E9-3EAF2056D64A}"/>
    <cellStyle name="40% - Accent2 2 3 4 4" xfId="10018" xr:uid="{B857835E-EFAD-4ABC-8C00-0C239E2013F0}"/>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CA178FEC-10BC-44D7-993D-47A0092B717D}"/>
    <cellStyle name="40% - Accent2 2 3 5 2 3" xfId="12576" xr:uid="{BD9D6DC5-EAF9-48BD-8735-0955824B2B4E}"/>
    <cellStyle name="40% - Accent2 2 3 5 3" xfId="6220" xr:uid="{00000000-0005-0000-0000-00009B040000}"/>
    <cellStyle name="40% - Accent2 2 3 5 3 2" xfId="14649" xr:uid="{DA391B5A-09D6-47A9-AC1A-E60D0BC19EAB}"/>
    <cellStyle name="40% - Accent2 2 3 5 4" xfId="10431" xr:uid="{94D8261A-A7BB-459C-A485-F50BC3AC7FD3}"/>
    <cellStyle name="40% - Accent2 2 3 6" xfId="2325" xr:uid="{00000000-0005-0000-0000-00009C040000}"/>
    <cellStyle name="40% - Accent2 2 3 6 2" xfId="6633" xr:uid="{00000000-0005-0000-0000-00009D040000}"/>
    <cellStyle name="40% - Accent2 2 3 6 2 2" xfId="15062" xr:uid="{96048896-E64F-4CDA-B800-F075070DF033}"/>
    <cellStyle name="40% - Accent2 2 3 6 3" xfId="10844" xr:uid="{55B7D38D-A09A-4478-ADEA-B6ED89A317BF}"/>
    <cellStyle name="40% - Accent2 2 3 7" xfId="4567" xr:uid="{00000000-0005-0000-0000-00009E040000}"/>
    <cellStyle name="40% - Accent2 2 3 7 2" xfId="12996" xr:uid="{B7ED26CC-40BF-4814-A544-F05148E83467}"/>
    <cellStyle name="40% - Accent2 2 3 8" xfId="8778" xr:uid="{BD42B09E-4493-4B1A-AEAD-F88000065187}"/>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ADDFAA5D-984F-45A9-B380-AF340AFC2257}"/>
    <cellStyle name="40% - Accent2 2 4 2 3" xfId="11334" xr:uid="{6EB7C39B-7D3C-49C9-907A-01BF391386BB}"/>
    <cellStyle name="40% - Accent2 2 4 3" xfId="4978" xr:uid="{00000000-0005-0000-0000-0000A2040000}"/>
    <cellStyle name="40% - Accent2 2 4 3 2" xfId="13407" xr:uid="{A2BA45B5-FB69-4600-A0F4-1F3AD009294F}"/>
    <cellStyle name="40% - Accent2 2 4 4" xfId="9189" xr:uid="{A0D853A1-FF2F-403E-9B1C-76DC206C5D65}"/>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FE6A3CB1-E3C0-4E0F-90FE-D113C05CF232}"/>
    <cellStyle name="40% - Accent2 2 5 2 3" xfId="11747" xr:uid="{913D18C2-AFB0-4BF5-A975-939341A1CBA7}"/>
    <cellStyle name="40% - Accent2 2 5 3" xfId="5391" xr:uid="{00000000-0005-0000-0000-0000A6040000}"/>
    <cellStyle name="40% - Accent2 2 5 3 2" xfId="13820" xr:uid="{21DEFC6D-F838-43D9-9183-5D523E70D100}"/>
    <cellStyle name="40% - Accent2 2 5 4" xfId="9602" xr:uid="{EFE2F9E8-9B4D-471C-90C7-4B13D6D7C0AF}"/>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AF8D1596-E473-488F-AD4D-84689467BECC}"/>
    <cellStyle name="40% - Accent2 2 6 2 3" xfId="12160" xr:uid="{265F761C-2C33-4205-BCF4-63B31F342502}"/>
    <cellStyle name="40% - Accent2 2 6 3" xfId="5804" xr:uid="{00000000-0005-0000-0000-0000AA040000}"/>
    <cellStyle name="40% - Accent2 2 6 3 2" xfId="14233" xr:uid="{427D8D95-DD38-43B6-AC91-2B1E91852619}"/>
    <cellStyle name="40% - Accent2 2 6 4" xfId="10015" xr:uid="{2FACF938-001F-47FD-ACB6-4C3EFBBE53FA}"/>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F6153B53-4ABD-4BF0-8880-383CA63FC10A}"/>
    <cellStyle name="40% - Accent2 2 7 2 3" xfId="12573" xr:uid="{62919C25-EC05-4431-BDCD-40F3D55FFB63}"/>
    <cellStyle name="40% - Accent2 2 7 3" xfId="6217" xr:uid="{00000000-0005-0000-0000-0000AE040000}"/>
    <cellStyle name="40% - Accent2 2 7 3 2" xfId="14646" xr:uid="{98B3C588-086B-4ECB-91E3-ECF78FDA9A9E}"/>
    <cellStyle name="40% - Accent2 2 7 4" xfId="10428" xr:uid="{23C6DF28-C3B1-4F3C-9186-64C62C95AFD5}"/>
    <cellStyle name="40% - Accent2 2 8" xfId="2322" xr:uid="{00000000-0005-0000-0000-0000AF040000}"/>
    <cellStyle name="40% - Accent2 2 8 2" xfId="6630" xr:uid="{00000000-0005-0000-0000-0000B0040000}"/>
    <cellStyle name="40% - Accent2 2 8 2 2" xfId="15059" xr:uid="{3223339F-30C5-4040-8C52-C43B7DC36D05}"/>
    <cellStyle name="40% - Accent2 2 8 3" xfId="10841" xr:uid="{F133C37D-BE5F-4530-97CF-0FB5F55BC241}"/>
    <cellStyle name="40% - Accent2 2 9" xfId="4564" xr:uid="{00000000-0005-0000-0000-0000B1040000}"/>
    <cellStyle name="40% - Accent2 2 9 2" xfId="12993" xr:uid="{EAD0A38D-0217-4330-AFFA-AD8E12C2EB21}"/>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69889355-FB04-4EC6-9230-C7E10BA2B7FF}"/>
    <cellStyle name="40% - Accent2 3 2 2 2 3" xfId="11339" xr:uid="{148E3C75-ACEA-47A0-9B02-922C5A156CBD}"/>
    <cellStyle name="40% - Accent2 3 2 2 3" xfId="4983" xr:uid="{00000000-0005-0000-0000-0000B7040000}"/>
    <cellStyle name="40% - Accent2 3 2 2 3 2" xfId="13412" xr:uid="{4F6048CF-C891-4CFA-B777-52CF1AB6F97D}"/>
    <cellStyle name="40% - Accent2 3 2 2 4" xfId="9194" xr:uid="{DD237A07-C006-4CA2-9B0A-5E361D4438E9}"/>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4D7F5281-28EF-474B-8CD0-B6E9FFD75E6F}"/>
    <cellStyle name="40% - Accent2 3 2 3 2 3" xfId="11752" xr:uid="{817E9BD6-6ED6-4A56-8EC2-B5293C456ED2}"/>
    <cellStyle name="40% - Accent2 3 2 3 3" xfId="5396" xr:uid="{00000000-0005-0000-0000-0000BB040000}"/>
    <cellStyle name="40% - Accent2 3 2 3 3 2" xfId="13825" xr:uid="{487816DD-0FE2-4172-A2A9-E7EC54D9C127}"/>
    <cellStyle name="40% - Accent2 3 2 3 4" xfId="9607" xr:uid="{2B2B077F-4CCF-4085-9F16-6B59CFE1E855}"/>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3A485670-B983-45B4-9601-E58E6A6945E1}"/>
    <cellStyle name="40% - Accent2 3 2 4 2 3" xfId="12165" xr:uid="{8B863C53-BB48-4CC7-A82A-DCDC3349110E}"/>
    <cellStyle name="40% - Accent2 3 2 4 3" xfId="5809" xr:uid="{00000000-0005-0000-0000-0000BF040000}"/>
    <cellStyle name="40% - Accent2 3 2 4 3 2" xfId="14238" xr:uid="{1D6E1A91-3C11-4954-9502-6E4FA3322BC2}"/>
    <cellStyle name="40% - Accent2 3 2 4 4" xfId="10020" xr:uid="{B79F5EAB-B635-40A3-B3B3-F6FC728D034B}"/>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47860077-CEA2-43E4-819E-7ED689AEA74B}"/>
    <cellStyle name="40% - Accent2 3 2 5 2 3" xfId="12578" xr:uid="{4678139E-8A11-4F54-A62C-0A1CC1117AE3}"/>
    <cellStyle name="40% - Accent2 3 2 5 3" xfId="6222" xr:uid="{00000000-0005-0000-0000-0000C3040000}"/>
    <cellStyle name="40% - Accent2 3 2 5 3 2" xfId="14651" xr:uid="{C0EE7D19-CF64-4BDF-A901-FB9EB05BBC77}"/>
    <cellStyle name="40% - Accent2 3 2 5 4" xfId="10433" xr:uid="{8C6F3D60-6D2D-4F64-97FE-B5AA0D5AD605}"/>
    <cellStyle name="40% - Accent2 3 2 6" xfId="2327" xr:uid="{00000000-0005-0000-0000-0000C4040000}"/>
    <cellStyle name="40% - Accent2 3 2 6 2" xfId="6635" xr:uid="{00000000-0005-0000-0000-0000C5040000}"/>
    <cellStyle name="40% - Accent2 3 2 6 2 2" xfId="15064" xr:uid="{9BAA3680-A3E1-419C-BC86-3811F6274F40}"/>
    <cellStyle name="40% - Accent2 3 2 6 3" xfId="10846" xr:uid="{D6A25FD9-5546-4606-83A1-659D390DD630}"/>
    <cellStyle name="40% - Accent2 3 2 7" xfId="4569" xr:uid="{00000000-0005-0000-0000-0000C6040000}"/>
    <cellStyle name="40% - Accent2 3 2 7 2" xfId="12998" xr:uid="{EF2898FE-A379-415A-ABB4-792421798E63}"/>
    <cellStyle name="40% - Accent2 3 2 8" xfId="8780" xr:uid="{F922C1BE-14B7-4B2C-A48E-E8504881F487}"/>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104A471A-3B6D-446B-AA22-95EAB09B8C37}"/>
    <cellStyle name="40% - Accent2 3 3 2 3" xfId="11338" xr:uid="{3DB8CB8B-7831-4C82-A60D-B73904BC0483}"/>
    <cellStyle name="40% - Accent2 3 3 3" xfId="4982" xr:uid="{00000000-0005-0000-0000-0000CA040000}"/>
    <cellStyle name="40% - Accent2 3 3 3 2" xfId="13411" xr:uid="{CEEAA3C5-4D28-4EC1-99F0-9930D1898403}"/>
    <cellStyle name="40% - Accent2 3 3 4" xfId="9193" xr:uid="{2AF7376C-0676-425D-870A-721FAD0225C3}"/>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35E84968-B73B-487D-ACBC-8C36D97854F1}"/>
    <cellStyle name="40% - Accent2 3 4 2 3" xfId="11751" xr:uid="{FDF4677E-A3BC-4D14-AD23-09A78530BA28}"/>
    <cellStyle name="40% - Accent2 3 4 3" xfId="5395" xr:uid="{00000000-0005-0000-0000-0000CE040000}"/>
    <cellStyle name="40% - Accent2 3 4 3 2" xfId="13824" xr:uid="{D7C8A319-986A-45BD-917E-FE9DE233C212}"/>
    <cellStyle name="40% - Accent2 3 4 4" xfId="9606" xr:uid="{109B07E5-DC74-4740-AC09-5DBC08F3DD77}"/>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5E74CE66-653C-4A3E-901B-BF0B35B48717}"/>
    <cellStyle name="40% - Accent2 3 5 2 3" xfId="12164" xr:uid="{0FBDDE4C-91C5-40C8-BE17-DFF66B91290D}"/>
    <cellStyle name="40% - Accent2 3 5 3" xfId="5808" xr:uid="{00000000-0005-0000-0000-0000D2040000}"/>
    <cellStyle name="40% - Accent2 3 5 3 2" xfId="14237" xr:uid="{631A8C08-FF9A-43AE-ABD9-2F006FD31F46}"/>
    <cellStyle name="40% - Accent2 3 5 4" xfId="10019" xr:uid="{A795F514-B054-4CB1-9499-B25155DA60C6}"/>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B912467F-0A74-4BE5-B4C2-F6023983BAD6}"/>
    <cellStyle name="40% - Accent2 3 6 2 3" xfId="12577" xr:uid="{5E74B375-19AD-49F2-AD15-881D5EE2D81B}"/>
    <cellStyle name="40% - Accent2 3 6 3" xfId="6221" xr:uid="{00000000-0005-0000-0000-0000D6040000}"/>
    <cellStyle name="40% - Accent2 3 6 3 2" xfId="14650" xr:uid="{4C282493-2A0A-44A5-8D19-7EA523D34313}"/>
    <cellStyle name="40% - Accent2 3 6 4" xfId="10432" xr:uid="{B790C859-BA42-4E3D-8541-1E40EF312E6F}"/>
    <cellStyle name="40% - Accent2 3 7" xfId="2326" xr:uid="{00000000-0005-0000-0000-0000D7040000}"/>
    <cellStyle name="40% - Accent2 3 7 2" xfId="6634" xr:uid="{00000000-0005-0000-0000-0000D8040000}"/>
    <cellStyle name="40% - Accent2 3 7 2 2" xfId="15063" xr:uid="{63B7DD6D-1D5F-4A8E-A151-E6F10460D510}"/>
    <cellStyle name="40% - Accent2 3 7 3" xfId="10845" xr:uid="{5EE53732-707B-49E3-A271-B73AAA2BD190}"/>
    <cellStyle name="40% - Accent2 3 8" xfId="4568" xr:uid="{00000000-0005-0000-0000-0000D9040000}"/>
    <cellStyle name="40% - Accent2 3 8 2" xfId="12997" xr:uid="{1A3CC808-DAED-4FF7-B1DE-4A260B9AE3E6}"/>
    <cellStyle name="40% - Accent2 3 9" xfId="8779" xr:uid="{E0CF359E-F7CE-46F7-A580-7EF70C38CCC9}"/>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6FBB8DBB-9C90-468B-8ECA-CD224AB6C3AE}"/>
    <cellStyle name="40% - Accent2 4 2 2 3" xfId="11340" xr:uid="{74748D68-EA04-48ED-AD97-D2DFE337FD2A}"/>
    <cellStyle name="40% - Accent2 4 2 3" xfId="4984" xr:uid="{00000000-0005-0000-0000-0000DE040000}"/>
    <cellStyle name="40% - Accent2 4 2 3 2" xfId="13413" xr:uid="{04580C29-0958-4016-895D-1ED9185BCB7E}"/>
    <cellStyle name="40% - Accent2 4 2 4" xfId="9195" xr:uid="{9D57AFC5-25C1-480B-8A1B-11E1E57212D1}"/>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EF2E75DD-D859-4A59-A8AC-1F871DF4B8E9}"/>
    <cellStyle name="40% - Accent2 4 3 2 3" xfId="11753" xr:uid="{CE031F99-EDED-4384-875E-FCF086A055A0}"/>
    <cellStyle name="40% - Accent2 4 3 3" xfId="5397" xr:uid="{00000000-0005-0000-0000-0000E2040000}"/>
    <cellStyle name="40% - Accent2 4 3 3 2" xfId="13826" xr:uid="{4300CAC6-588A-498F-9E68-F3A85FDA31BE}"/>
    <cellStyle name="40% - Accent2 4 3 4" xfId="9608" xr:uid="{E4CE05AA-4C99-415A-9BC9-C2E8E980366F}"/>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409C19D7-8A49-41E6-AD49-F95D7FD2F365}"/>
    <cellStyle name="40% - Accent2 4 4 2 3" xfId="12166" xr:uid="{097A4960-6CA7-4C5E-A207-C2F2618CDA78}"/>
    <cellStyle name="40% - Accent2 4 4 3" xfId="5810" xr:uid="{00000000-0005-0000-0000-0000E6040000}"/>
    <cellStyle name="40% - Accent2 4 4 3 2" xfId="14239" xr:uid="{8AF6563F-6162-4252-BB60-EA894507A5F8}"/>
    <cellStyle name="40% - Accent2 4 4 4" xfId="10021" xr:uid="{0CCBFC12-931C-44BD-AFC7-B18A01F17131}"/>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97F5565F-1EEF-454C-8D28-4043F1148811}"/>
    <cellStyle name="40% - Accent2 4 5 2 3" xfId="12579" xr:uid="{52176871-C96A-47C4-9B4F-4DA433121119}"/>
    <cellStyle name="40% - Accent2 4 5 3" xfId="6223" xr:uid="{00000000-0005-0000-0000-0000EA040000}"/>
    <cellStyle name="40% - Accent2 4 5 3 2" xfId="14652" xr:uid="{C7B0A955-9027-4040-853E-95DA14D16A8D}"/>
    <cellStyle name="40% - Accent2 4 5 4" xfId="10434" xr:uid="{4720D661-8913-48DC-8D63-C8D4BEDA137C}"/>
    <cellStyle name="40% - Accent2 4 6" xfId="2328" xr:uid="{00000000-0005-0000-0000-0000EB040000}"/>
    <cellStyle name="40% - Accent2 4 6 2" xfId="6636" xr:uid="{00000000-0005-0000-0000-0000EC040000}"/>
    <cellStyle name="40% - Accent2 4 6 2 2" xfId="15065" xr:uid="{FC451F1D-ACEA-4DE8-A75E-FCD55AA05BE1}"/>
    <cellStyle name="40% - Accent2 4 6 3" xfId="10847" xr:uid="{825BB4E2-B2D9-4056-92C4-A216140871B5}"/>
    <cellStyle name="40% - Accent2 4 7" xfId="4570" xr:uid="{00000000-0005-0000-0000-0000ED040000}"/>
    <cellStyle name="40% - Accent2 4 7 2" xfId="12999" xr:uid="{3AB07DEF-1514-4717-B5EF-B08ACC508F70}"/>
    <cellStyle name="40% - Accent2 4 8" xfId="8781" xr:uid="{E78FFC3A-95A0-4550-9DB4-30C10ED52183}"/>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344F6495-BCB5-40CA-B39D-ABE925E0FD4F}"/>
    <cellStyle name="40% - Accent2 5 2 3" xfId="11333" xr:uid="{CDA3FC04-15CA-4A42-B303-7E3F2F87D8CF}"/>
    <cellStyle name="40% - Accent2 5 3" xfId="4977" xr:uid="{00000000-0005-0000-0000-0000F1040000}"/>
    <cellStyle name="40% - Accent2 5 3 2" xfId="13406" xr:uid="{CF877E7C-9E20-4FC6-9CFC-E1B8B2AF4970}"/>
    <cellStyle name="40% - Accent2 5 4" xfId="9188" xr:uid="{6403BBAD-CD55-4244-88C4-35615B422B4E}"/>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C0388394-85C3-4E6D-9961-0D0716B1FACA}"/>
    <cellStyle name="40% - Accent2 6 2 3" xfId="11746" xr:uid="{6B180EDC-1A7F-48D3-8474-A5CB6B5EFC3C}"/>
    <cellStyle name="40% - Accent2 6 3" xfId="5390" xr:uid="{00000000-0005-0000-0000-0000F5040000}"/>
    <cellStyle name="40% - Accent2 6 3 2" xfId="13819" xr:uid="{3B92002B-4F51-4659-B754-372867C9D104}"/>
    <cellStyle name="40% - Accent2 6 4" xfId="9601" xr:uid="{4EDD514E-68BC-4CA4-A1D6-569605F2A853}"/>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FB3AE695-6016-4E83-966D-FB43EBB8626B}"/>
    <cellStyle name="40% - Accent2 7 2 3" xfId="12159" xr:uid="{D558A028-2E37-4B17-8940-C680FA1FBE6B}"/>
    <cellStyle name="40% - Accent2 7 3" xfId="5803" xr:uid="{00000000-0005-0000-0000-0000F9040000}"/>
    <cellStyle name="40% - Accent2 7 3 2" xfId="14232" xr:uid="{FE0AB24B-F443-40EF-833C-D2BA760029C6}"/>
    <cellStyle name="40% - Accent2 7 4" xfId="10014" xr:uid="{CBD5C6BC-ED91-4806-BC91-6B0BF08F354E}"/>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F154BCC0-838A-4A75-B8CB-B243CE8D8D16}"/>
    <cellStyle name="40% - Accent2 8 2 3" xfId="12572" xr:uid="{926CEBB2-0803-42F1-93ED-A178EF494FAA}"/>
    <cellStyle name="40% - Accent2 8 3" xfId="6216" xr:uid="{00000000-0005-0000-0000-0000FD040000}"/>
    <cellStyle name="40% - Accent2 8 3 2" xfId="14645" xr:uid="{F4D7E56F-4B60-494F-9E2B-F57303638DB5}"/>
    <cellStyle name="40% - Accent2 8 4" xfId="10427" xr:uid="{13A5A130-01CF-4B29-9115-09D160405D4F}"/>
    <cellStyle name="40% - Accent2 9" xfId="2321" xr:uid="{00000000-0005-0000-0000-0000FE040000}"/>
    <cellStyle name="40% - Accent2 9 2" xfId="6629" xr:uid="{00000000-0005-0000-0000-0000FF040000}"/>
    <cellStyle name="40% - Accent2 9 2 2" xfId="15058" xr:uid="{2835168E-294A-42A0-9922-6B6A94C058F7}"/>
    <cellStyle name="40% - Accent2 9 3" xfId="10840" xr:uid="{0344F754-8556-426C-9ADB-D411747A6ABF}"/>
    <cellStyle name="40% - Accent3" xfId="65" builtinId="39" customBuiltin="1"/>
    <cellStyle name="40% - Accent3 10" xfId="4571" xr:uid="{00000000-0005-0000-0000-000001050000}"/>
    <cellStyle name="40% - Accent3 10 2" xfId="13000" xr:uid="{04BD3799-EEF4-451D-85C3-CC97A26C6A41}"/>
    <cellStyle name="40% - Accent3 11" xfId="8782" xr:uid="{4DEEE383-E7AF-45AA-A76E-CA0A3C1B23BA}"/>
    <cellStyle name="40% - Accent3 2" xfId="66" xr:uid="{00000000-0005-0000-0000-000002050000}"/>
    <cellStyle name="40% - Accent3 2 10" xfId="8783" xr:uid="{6B5ED383-CB9C-46D7-8551-9AC5420CC038}"/>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176E3038-891C-4C5A-AADC-C54A87719B7B}"/>
    <cellStyle name="40% - Accent3 2 2 2 2 2 3" xfId="11344" xr:uid="{D15906EA-93FA-4926-BECB-AC1C68E51B55}"/>
    <cellStyle name="40% - Accent3 2 2 2 2 3" xfId="4988" xr:uid="{00000000-0005-0000-0000-000008050000}"/>
    <cellStyle name="40% - Accent3 2 2 2 2 3 2" xfId="13417" xr:uid="{2DD6E437-817A-474C-A727-40A8BD2DFDF9}"/>
    <cellStyle name="40% - Accent3 2 2 2 2 4" xfId="9199" xr:uid="{BF1EA5C3-DC37-44AD-97B7-305B1E6F31F4}"/>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A7472636-E94E-4058-A3ED-7217DDE7E6C9}"/>
    <cellStyle name="40% - Accent3 2 2 2 3 2 3" xfId="11757" xr:uid="{AA6678BE-54E8-4F9B-8C57-B82F34B8131C}"/>
    <cellStyle name="40% - Accent3 2 2 2 3 3" xfId="5401" xr:uid="{00000000-0005-0000-0000-00000C050000}"/>
    <cellStyle name="40% - Accent3 2 2 2 3 3 2" xfId="13830" xr:uid="{297D9AF1-B825-479E-9BF9-7E9D08BEAC47}"/>
    <cellStyle name="40% - Accent3 2 2 2 3 4" xfId="9612" xr:uid="{53FD70B8-19C8-4793-B4D9-DF352B00F83D}"/>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450140C1-073E-4A57-9822-EDD7FDFAA801}"/>
    <cellStyle name="40% - Accent3 2 2 2 4 2 3" xfId="12170" xr:uid="{6A4F1032-A22B-468D-ABDD-5BB8089F2280}"/>
    <cellStyle name="40% - Accent3 2 2 2 4 3" xfId="5814" xr:uid="{00000000-0005-0000-0000-000010050000}"/>
    <cellStyle name="40% - Accent3 2 2 2 4 3 2" xfId="14243" xr:uid="{E2BA4A75-C60D-4610-8C32-BA1B73081DC2}"/>
    <cellStyle name="40% - Accent3 2 2 2 4 4" xfId="10025" xr:uid="{69EDBB17-91EF-4709-9175-361A0BBFAC49}"/>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38413BB6-6DA2-44C3-BB38-77F07B14B123}"/>
    <cellStyle name="40% - Accent3 2 2 2 5 2 3" xfId="12583" xr:uid="{E37EB3BE-DC49-4AC0-BA31-AEE4C4539396}"/>
    <cellStyle name="40% - Accent3 2 2 2 5 3" xfId="6227" xr:uid="{00000000-0005-0000-0000-000014050000}"/>
    <cellStyle name="40% - Accent3 2 2 2 5 3 2" xfId="14656" xr:uid="{0F435AD5-F7B9-4793-87BD-40F3B1CA7781}"/>
    <cellStyle name="40% - Accent3 2 2 2 5 4" xfId="10438" xr:uid="{B17C3027-749F-42DE-ADD5-A14469654849}"/>
    <cellStyle name="40% - Accent3 2 2 2 6" xfId="2332" xr:uid="{00000000-0005-0000-0000-000015050000}"/>
    <cellStyle name="40% - Accent3 2 2 2 6 2" xfId="6640" xr:uid="{00000000-0005-0000-0000-000016050000}"/>
    <cellStyle name="40% - Accent3 2 2 2 6 2 2" xfId="15069" xr:uid="{287D8038-A45D-4B78-AF59-D003D04406E9}"/>
    <cellStyle name="40% - Accent3 2 2 2 6 3" xfId="10851" xr:uid="{04B962E4-9A92-4ECC-B757-576C99897C1E}"/>
    <cellStyle name="40% - Accent3 2 2 2 7" xfId="4574" xr:uid="{00000000-0005-0000-0000-000017050000}"/>
    <cellStyle name="40% - Accent3 2 2 2 7 2" xfId="13003" xr:uid="{A01D91C9-1D96-482A-BAB7-850BADFC24CD}"/>
    <cellStyle name="40% - Accent3 2 2 2 8" xfId="8785" xr:uid="{B52F67EB-4CB7-41AF-9619-9A4CD5CA7D09}"/>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467E3703-C35C-4493-B2FA-95EA025877C4}"/>
    <cellStyle name="40% - Accent3 2 2 3 2 3" xfId="11343" xr:uid="{77110704-A7BE-4B22-B8E7-5ABDD3CCA08F}"/>
    <cellStyle name="40% - Accent3 2 2 3 3" xfId="4987" xr:uid="{00000000-0005-0000-0000-00001B050000}"/>
    <cellStyle name="40% - Accent3 2 2 3 3 2" xfId="13416" xr:uid="{8745594D-1990-45D0-B893-5F4C5AB44142}"/>
    <cellStyle name="40% - Accent3 2 2 3 4" xfId="9198" xr:uid="{EE7C9ED2-A99A-4A9A-B23B-6CA74B043301}"/>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79F41A9E-B32F-4D13-A630-355F4783DF81}"/>
    <cellStyle name="40% - Accent3 2 2 4 2 3" xfId="11756" xr:uid="{1DA191E7-6589-4C60-9AF7-267D850CA05E}"/>
    <cellStyle name="40% - Accent3 2 2 4 3" xfId="5400" xr:uid="{00000000-0005-0000-0000-00001F050000}"/>
    <cellStyle name="40% - Accent3 2 2 4 3 2" xfId="13829" xr:uid="{61349A79-0F5C-4A45-9681-9E51ECB66A5D}"/>
    <cellStyle name="40% - Accent3 2 2 4 4" xfId="9611" xr:uid="{5744CC0C-B4E8-4092-ADE6-17D561CCFBBE}"/>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3C4F1BA7-87A4-437A-AC18-BF4C54923921}"/>
    <cellStyle name="40% - Accent3 2 2 5 2 3" xfId="12169" xr:uid="{0E87D82C-575B-4C36-9603-47A45BBB8F30}"/>
    <cellStyle name="40% - Accent3 2 2 5 3" xfId="5813" xr:uid="{00000000-0005-0000-0000-000023050000}"/>
    <cellStyle name="40% - Accent3 2 2 5 3 2" xfId="14242" xr:uid="{9A350B39-419F-4774-B109-CBE55E467304}"/>
    <cellStyle name="40% - Accent3 2 2 5 4" xfId="10024" xr:uid="{BF9B8974-5987-4FCD-AFBE-7EE0D1A1C2F9}"/>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83872215-01FD-4721-BD24-6B87B38C4F08}"/>
    <cellStyle name="40% - Accent3 2 2 6 2 3" xfId="12582" xr:uid="{992B5E5C-98B5-4D3F-97AA-FA0953CE29B2}"/>
    <cellStyle name="40% - Accent3 2 2 6 3" xfId="6226" xr:uid="{00000000-0005-0000-0000-000027050000}"/>
    <cellStyle name="40% - Accent3 2 2 6 3 2" xfId="14655" xr:uid="{C16A51C3-974E-4055-9CF1-13D689A2D88E}"/>
    <cellStyle name="40% - Accent3 2 2 6 4" xfId="10437" xr:uid="{A839D0AD-F838-41A4-8354-530CB470C6F8}"/>
    <cellStyle name="40% - Accent3 2 2 7" xfId="2331" xr:uid="{00000000-0005-0000-0000-000028050000}"/>
    <cellStyle name="40% - Accent3 2 2 7 2" xfId="6639" xr:uid="{00000000-0005-0000-0000-000029050000}"/>
    <cellStyle name="40% - Accent3 2 2 7 2 2" xfId="15068" xr:uid="{B0C583FA-6395-466A-A573-6E6590A6BD52}"/>
    <cellStyle name="40% - Accent3 2 2 7 3" xfId="10850" xr:uid="{E8C30A3E-3002-4E01-A37E-71F2376F57FC}"/>
    <cellStyle name="40% - Accent3 2 2 8" xfId="4573" xr:uid="{00000000-0005-0000-0000-00002A050000}"/>
    <cellStyle name="40% - Accent3 2 2 8 2" xfId="13002" xr:uid="{E6BCDAEE-7D28-4EB6-9841-E5E584002F48}"/>
    <cellStyle name="40% - Accent3 2 2 9" xfId="8784" xr:uid="{FD43547F-785F-42A2-A8C0-BB8CAE69AAE8}"/>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2F53630A-22C4-4CFF-A8B6-FC43681625A9}"/>
    <cellStyle name="40% - Accent3 2 3 2 2 3" xfId="11345" xr:uid="{3EA26F52-AEDF-4C56-8E86-713BCC3150EB}"/>
    <cellStyle name="40% - Accent3 2 3 2 3" xfId="4989" xr:uid="{00000000-0005-0000-0000-00002F050000}"/>
    <cellStyle name="40% - Accent3 2 3 2 3 2" xfId="13418" xr:uid="{88BC9CD9-F828-4175-8CEF-3360995E1F98}"/>
    <cellStyle name="40% - Accent3 2 3 2 4" xfId="9200" xr:uid="{B177F88D-BB30-40B9-9BB6-B832751B4383}"/>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E1865F10-BA1A-4FC7-9D28-E2579D9DC0C7}"/>
    <cellStyle name="40% - Accent3 2 3 3 2 3" xfId="11758" xr:uid="{409FF535-4B44-4483-8F0D-C784A57D47D9}"/>
    <cellStyle name="40% - Accent3 2 3 3 3" xfId="5402" xr:uid="{00000000-0005-0000-0000-000033050000}"/>
    <cellStyle name="40% - Accent3 2 3 3 3 2" xfId="13831" xr:uid="{4967F06E-33DE-4F7B-AB47-660A21576AA6}"/>
    <cellStyle name="40% - Accent3 2 3 3 4" xfId="9613" xr:uid="{AF657578-D541-440A-B56E-A11630D5D87B}"/>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606FDB3B-E189-4294-89FB-6C85624852DE}"/>
    <cellStyle name="40% - Accent3 2 3 4 2 3" xfId="12171" xr:uid="{08ED6F45-AD43-43AB-B72A-FE3166A4F924}"/>
    <cellStyle name="40% - Accent3 2 3 4 3" xfId="5815" xr:uid="{00000000-0005-0000-0000-000037050000}"/>
    <cellStyle name="40% - Accent3 2 3 4 3 2" xfId="14244" xr:uid="{1B55E4DA-2F23-47E3-9F8B-936E882A28FE}"/>
    <cellStyle name="40% - Accent3 2 3 4 4" xfId="10026" xr:uid="{5DF9BA16-17A3-4AFB-9A63-988073FD7E97}"/>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93FB0069-ADFD-446C-9D9B-2CCD72A38CA9}"/>
    <cellStyle name="40% - Accent3 2 3 5 2 3" xfId="12584" xr:uid="{EEDDD926-2B0B-44F8-BF19-F7DD9D36B4FC}"/>
    <cellStyle name="40% - Accent3 2 3 5 3" xfId="6228" xr:uid="{00000000-0005-0000-0000-00003B050000}"/>
    <cellStyle name="40% - Accent3 2 3 5 3 2" xfId="14657" xr:uid="{29DC7E4E-2898-49F8-8037-ED7A7F69DB7F}"/>
    <cellStyle name="40% - Accent3 2 3 5 4" xfId="10439" xr:uid="{4D18C8BF-776E-4E77-9B9A-727792199023}"/>
    <cellStyle name="40% - Accent3 2 3 6" xfId="2333" xr:uid="{00000000-0005-0000-0000-00003C050000}"/>
    <cellStyle name="40% - Accent3 2 3 6 2" xfId="6641" xr:uid="{00000000-0005-0000-0000-00003D050000}"/>
    <cellStyle name="40% - Accent3 2 3 6 2 2" xfId="15070" xr:uid="{40DF9847-7377-4D12-89F1-4263EE27FC13}"/>
    <cellStyle name="40% - Accent3 2 3 6 3" xfId="10852" xr:uid="{F2EF759F-1683-4507-832B-FF9F23A8AF75}"/>
    <cellStyle name="40% - Accent3 2 3 7" xfId="4575" xr:uid="{00000000-0005-0000-0000-00003E050000}"/>
    <cellStyle name="40% - Accent3 2 3 7 2" xfId="13004" xr:uid="{44B15E02-474A-407C-8EE2-69B7F6A982D1}"/>
    <cellStyle name="40% - Accent3 2 3 8" xfId="8786" xr:uid="{CEF470EB-05CA-4A6D-BFED-0666D672B12B}"/>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3CC67475-D3BB-4B0B-AD8A-73AE50880F94}"/>
    <cellStyle name="40% - Accent3 2 4 2 3" xfId="11342" xr:uid="{D53B9931-3AB3-4952-80EE-1E842AFA3F19}"/>
    <cellStyle name="40% - Accent3 2 4 3" xfId="4986" xr:uid="{00000000-0005-0000-0000-000042050000}"/>
    <cellStyle name="40% - Accent3 2 4 3 2" xfId="13415" xr:uid="{7E487EC9-4866-4ED1-921B-D2851CB7F8C8}"/>
    <cellStyle name="40% - Accent3 2 4 4" xfId="9197" xr:uid="{7E81E496-1CB1-4C22-8186-DEE0F6AFFC1F}"/>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00A4F24E-A492-4178-9D02-09AA66F5106B}"/>
    <cellStyle name="40% - Accent3 2 5 2 3" xfId="11755" xr:uid="{F8A3B613-52D0-4CEE-BD01-81DE9DDEE13E}"/>
    <cellStyle name="40% - Accent3 2 5 3" xfId="5399" xr:uid="{00000000-0005-0000-0000-000046050000}"/>
    <cellStyle name="40% - Accent3 2 5 3 2" xfId="13828" xr:uid="{8CE911A5-C960-42D5-BE9A-9016765258E9}"/>
    <cellStyle name="40% - Accent3 2 5 4" xfId="9610" xr:uid="{9461B330-BF24-4B1E-A3BA-319387447BCA}"/>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601B5C21-7FE5-4D18-A823-CBB74B3F5577}"/>
    <cellStyle name="40% - Accent3 2 6 2 3" xfId="12168" xr:uid="{1387E291-0B09-4A0F-9F76-22F333681A10}"/>
    <cellStyle name="40% - Accent3 2 6 3" xfId="5812" xr:uid="{00000000-0005-0000-0000-00004A050000}"/>
    <cellStyle name="40% - Accent3 2 6 3 2" xfId="14241" xr:uid="{4C21821B-198D-4E95-BF46-9ECB71487A69}"/>
    <cellStyle name="40% - Accent3 2 6 4" xfId="10023" xr:uid="{DD883973-834D-4320-B65C-22A3F44DA67F}"/>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195CF2CC-79FC-41E9-BFD4-9F1D65794D81}"/>
    <cellStyle name="40% - Accent3 2 7 2 3" xfId="12581" xr:uid="{36F88EFB-B4FE-4FC2-BBDF-41359680216A}"/>
    <cellStyle name="40% - Accent3 2 7 3" xfId="6225" xr:uid="{00000000-0005-0000-0000-00004E050000}"/>
    <cellStyle name="40% - Accent3 2 7 3 2" xfId="14654" xr:uid="{D57EE143-B6AF-4DD7-876B-063C365AB88B}"/>
    <cellStyle name="40% - Accent3 2 7 4" xfId="10436" xr:uid="{C6AF112E-F681-4B1E-B98A-07B474AABEF2}"/>
    <cellStyle name="40% - Accent3 2 8" xfId="2330" xr:uid="{00000000-0005-0000-0000-00004F050000}"/>
    <cellStyle name="40% - Accent3 2 8 2" xfId="6638" xr:uid="{00000000-0005-0000-0000-000050050000}"/>
    <cellStyle name="40% - Accent3 2 8 2 2" xfId="15067" xr:uid="{21622D7D-1F3D-4DFC-A87C-4494E7DB1E63}"/>
    <cellStyle name="40% - Accent3 2 8 3" xfId="10849" xr:uid="{ECC10C19-2A91-45AC-92C3-5F8CDFD91ADF}"/>
    <cellStyle name="40% - Accent3 2 9" xfId="4572" xr:uid="{00000000-0005-0000-0000-000051050000}"/>
    <cellStyle name="40% - Accent3 2 9 2" xfId="13001" xr:uid="{FD3B754F-FA05-419F-801D-2AF85359A27D}"/>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374E3656-93BD-4E20-BC5E-C8E0C8858060}"/>
    <cellStyle name="40% - Accent3 3 2 2 2 3" xfId="11347" xr:uid="{23E2AD33-564B-4F28-A1DA-D4125179FDCF}"/>
    <cellStyle name="40% - Accent3 3 2 2 3" xfId="4991" xr:uid="{00000000-0005-0000-0000-000057050000}"/>
    <cellStyle name="40% - Accent3 3 2 2 3 2" xfId="13420" xr:uid="{B3AAA577-20B4-44D3-B6A3-A5E9BF11CC1A}"/>
    <cellStyle name="40% - Accent3 3 2 2 4" xfId="9202" xr:uid="{AE5766AF-EFF7-4ECB-BE75-CD69D4F0FC36}"/>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36FAF0A8-E502-487B-9BB5-9F937DA7DB73}"/>
    <cellStyle name="40% - Accent3 3 2 3 2 3" xfId="11760" xr:uid="{7F1CC8AD-D611-41D0-B585-C8B957480D09}"/>
    <cellStyle name="40% - Accent3 3 2 3 3" xfId="5404" xr:uid="{00000000-0005-0000-0000-00005B050000}"/>
    <cellStyle name="40% - Accent3 3 2 3 3 2" xfId="13833" xr:uid="{C54DEE58-40AD-4F25-BCE5-6F20EB19AA73}"/>
    <cellStyle name="40% - Accent3 3 2 3 4" xfId="9615" xr:uid="{37525CED-BA4D-4D61-8DFB-E1B028838F25}"/>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68055CED-45DA-4238-8A0D-43F2FC395FA9}"/>
    <cellStyle name="40% - Accent3 3 2 4 2 3" xfId="12173" xr:uid="{6B1F93E9-68F6-4B78-ACF2-7063B91F1A22}"/>
    <cellStyle name="40% - Accent3 3 2 4 3" xfId="5817" xr:uid="{00000000-0005-0000-0000-00005F050000}"/>
    <cellStyle name="40% - Accent3 3 2 4 3 2" xfId="14246" xr:uid="{940D088A-1F97-4135-8814-56F8C45FDB88}"/>
    <cellStyle name="40% - Accent3 3 2 4 4" xfId="10028" xr:uid="{048306ED-D615-4A06-BCFE-78A3F7489F0A}"/>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7766EB13-200A-4FCE-BCE1-FCDEAAFD6B5E}"/>
    <cellStyle name="40% - Accent3 3 2 5 2 3" xfId="12586" xr:uid="{922B90BC-89E3-4A79-B4FE-FCD0C776C397}"/>
    <cellStyle name="40% - Accent3 3 2 5 3" xfId="6230" xr:uid="{00000000-0005-0000-0000-000063050000}"/>
    <cellStyle name="40% - Accent3 3 2 5 3 2" xfId="14659" xr:uid="{E95A000F-16B6-4F98-9FCE-A35EB30E93AD}"/>
    <cellStyle name="40% - Accent3 3 2 5 4" xfId="10441" xr:uid="{006C8C11-A9DD-4733-9C3E-E9F32681BD99}"/>
    <cellStyle name="40% - Accent3 3 2 6" xfId="2335" xr:uid="{00000000-0005-0000-0000-000064050000}"/>
    <cellStyle name="40% - Accent3 3 2 6 2" xfId="6643" xr:uid="{00000000-0005-0000-0000-000065050000}"/>
    <cellStyle name="40% - Accent3 3 2 6 2 2" xfId="15072" xr:uid="{51EAA161-F2E9-4FD8-8B3B-A00F4E98E98E}"/>
    <cellStyle name="40% - Accent3 3 2 6 3" xfId="10854" xr:uid="{8C3E7C66-8CDB-48FD-BDD8-595B2C6FD4A0}"/>
    <cellStyle name="40% - Accent3 3 2 7" xfId="4577" xr:uid="{00000000-0005-0000-0000-000066050000}"/>
    <cellStyle name="40% - Accent3 3 2 7 2" xfId="13006" xr:uid="{B4B3CEEE-B4A2-47BB-AC86-B94551A40FA2}"/>
    <cellStyle name="40% - Accent3 3 2 8" xfId="8788" xr:uid="{E27FC773-3804-4B16-B7E2-629F1F67ABCA}"/>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972FE57F-48EF-42FA-9060-851927370395}"/>
    <cellStyle name="40% - Accent3 3 3 2 3" xfId="11346" xr:uid="{EF1D10F0-5F63-4170-BF9B-CDFB29576661}"/>
    <cellStyle name="40% - Accent3 3 3 3" xfId="4990" xr:uid="{00000000-0005-0000-0000-00006A050000}"/>
    <cellStyle name="40% - Accent3 3 3 3 2" xfId="13419" xr:uid="{04F92214-7FCE-4310-B6E9-EF5395CBA0C7}"/>
    <cellStyle name="40% - Accent3 3 3 4" xfId="9201" xr:uid="{99057293-ACD4-4B89-9706-67893F45E6FF}"/>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A378096D-398D-42A3-BB5A-ABD1B4505EEB}"/>
    <cellStyle name="40% - Accent3 3 4 2 3" xfId="11759" xr:uid="{6E481981-774E-4DB5-97C4-182DF1B21E85}"/>
    <cellStyle name="40% - Accent3 3 4 3" xfId="5403" xr:uid="{00000000-0005-0000-0000-00006E050000}"/>
    <cellStyle name="40% - Accent3 3 4 3 2" xfId="13832" xr:uid="{0E49C3A9-82E1-4EBD-9240-24D2A4DE7C51}"/>
    <cellStyle name="40% - Accent3 3 4 4" xfId="9614" xr:uid="{6BD1D4CA-3017-427A-B4EC-DC6062EAB790}"/>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E13B4B1B-85B1-43BE-BBEF-EFE556FDDEC7}"/>
    <cellStyle name="40% - Accent3 3 5 2 3" xfId="12172" xr:uid="{A66A2733-13E2-48D0-9A85-CB6DD9CDC914}"/>
    <cellStyle name="40% - Accent3 3 5 3" xfId="5816" xr:uid="{00000000-0005-0000-0000-000072050000}"/>
    <cellStyle name="40% - Accent3 3 5 3 2" xfId="14245" xr:uid="{7E1918FF-13A5-4709-9A18-7D78388DED12}"/>
    <cellStyle name="40% - Accent3 3 5 4" xfId="10027" xr:uid="{F8A67190-C8EF-4499-B756-547AAD4C4F38}"/>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891D00E0-FE32-4829-8E4C-4284713C99AD}"/>
    <cellStyle name="40% - Accent3 3 6 2 3" xfId="12585" xr:uid="{0C79BA42-967E-42EE-9D68-ABDE1B33C6A4}"/>
    <cellStyle name="40% - Accent3 3 6 3" xfId="6229" xr:uid="{00000000-0005-0000-0000-000076050000}"/>
    <cellStyle name="40% - Accent3 3 6 3 2" xfId="14658" xr:uid="{111696C6-FC01-4BC6-86FA-1CEEA6685FCF}"/>
    <cellStyle name="40% - Accent3 3 6 4" xfId="10440" xr:uid="{66A8A3F6-55A8-441A-8F33-99E02F835B7F}"/>
    <cellStyle name="40% - Accent3 3 7" xfId="2334" xr:uid="{00000000-0005-0000-0000-000077050000}"/>
    <cellStyle name="40% - Accent3 3 7 2" xfId="6642" xr:uid="{00000000-0005-0000-0000-000078050000}"/>
    <cellStyle name="40% - Accent3 3 7 2 2" xfId="15071" xr:uid="{826A11CE-C685-4383-8D79-3C11C7FF6313}"/>
    <cellStyle name="40% - Accent3 3 7 3" xfId="10853" xr:uid="{187CCC63-E720-4C39-A658-F4105DA055CC}"/>
    <cellStyle name="40% - Accent3 3 8" xfId="4576" xr:uid="{00000000-0005-0000-0000-000079050000}"/>
    <cellStyle name="40% - Accent3 3 8 2" xfId="13005" xr:uid="{F5E2CE9C-DEDB-492F-BBCC-925E2F0F9701}"/>
    <cellStyle name="40% - Accent3 3 9" xfId="8787" xr:uid="{008ECAFA-EA53-45E3-9A9D-A858C66355AE}"/>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43446CFE-3A45-4401-A12E-02C7453B6AB1}"/>
    <cellStyle name="40% - Accent3 4 2 2 3" xfId="11348" xr:uid="{F2549A3C-4DB6-4284-B3D9-E84AA7CD42A5}"/>
    <cellStyle name="40% - Accent3 4 2 3" xfId="4992" xr:uid="{00000000-0005-0000-0000-00007E050000}"/>
    <cellStyle name="40% - Accent3 4 2 3 2" xfId="13421" xr:uid="{B8010162-43A9-403D-A099-E1CC72F727F5}"/>
    <cellStyle name="40% - Accent3 4 2 4" xfId="9203" xr:uid="{E0CB8638-9EE7-40C1-A39F-8F34D9C2564E}"/>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639A5C40-7958-4B78-9945-3C557043B681}"/>
    <cellStyle name="40% - Accent3 4 3 2 3" xfId="11761" xr:uid="{3DF8F450-C377-49FC-AB5C-083BA4CDBB98}"/>
    <cellStyle name="40% - Accent3 4 3 3" xfId="5405" xr:uid="{00000000-0005-0000-0000-000082050000}"/>
    <cellStyle name="40% - Accent3 4 3 3 2" xfId="13834" xr:uid="{C834E50F-4A91-427F-8587-04E787EAF42A}"/>
    <cellStyle name="40% - Accent3 4 3 4" xfId="9616" xr:uid="{37DA4F3F-67C7-4AB3-82F4-40E34A10452A}"/>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147117BE-E6A5-4CEC-A3B9-AFF287F61CCE}"/>
    <cellStyle name="40% - Accent3 4 4 2 3" xfId="12174" xr:uid="{6419B10C-1D3A-41F3-A540-1E5D445FA1F3}"/>
    <cellStyle name="40% - Accent3 4 4 3" xfId="5818" xr:uid="{00000000-0005-0000-0000-000086050000}"/>
    <cellStyle name="40% - Accent3 4 4 3 2" xfId="14247" xr:uid="{C3330901-288E-47FE-8C16-BBD753C99466}"/>
    <cellStyle name="40% - Accent3 4 4 4" xfId="10029" xr:uid="{2A606401-9E6E-4426-8F9F-00867111B076}"/>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53279A0D-3EA7-48D6-8BC3-ABFFD0D5D03F}"/>
    <cellStyle name="40% - Accent3 4 5 2 3" xfId="12587" xr:uid="{F53374F4-709C-4002-8901-54BD6FFD9E72}"/>
    <cellStyle name="40% - Accent3 4 5 3" xfId="6231" xr:uid="{00000000-0005-0000-0000-00008A050000}"/>
    <cellStyle name="40% - Accent3 4 5 3 2" xfId="14660" xr:uid="{47EFF09B-4A15-4671-B2E5-A7997C57EF2C}"/>
    <cellStyle name="40% - Accent3 4 5 4" xfId="10442" xr:uid="{494B9C32-0539-421E-99BC-A23E8319434B}"/>
    <cellStyle name="40% - Accent3 4 6" xfId="2336" xr:uid="{00000000-0005-0000-0000-00008B050000}"/>
    <cellStyle name="40% - Accent3 4 6 2" xfId="6644" xr:uid="{00000000-0005-0000-0000-00008C050000}"/>
    <cellStyle name="40% - Accent3 4 6 2 2" xfId="15073" xr:uid="{4C800207-713F-419E-86B6-65793470C6FE}"/>
    <cellStyle name="40% - Accent3 4 6 3" xfId="10855" xr:uid="{BF22F024-9C28-4744-BD81-0A7D3412B47D}"/>
    <cellStyle name="40% - Accent3 4 7" xfId="4578" xr:uid="{00000000-0005-0000-0000-00008D050000}"/>
    <cellStyle name="40% - Accent3 4 7 2" xfId="13007" xr:uid="{CD7F2295-49E6-44FB-A460-03AF1F7F03D3}"/>
    <cellStyle name="40% - Accent3 4 8" xfId="8789" xr:uid="{AFDF0BD2-6976-45FA-89EE-EF855C39D908}"/>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41A7653D-0645-491D-8C0D-8FA460C3408F}"/>
    <cellStyle name="40% - Accent3 5 2 3" xfId="11341" xr:uid="{4C475A7D-C789-441C-95F7-CDBE8979F98D}"/>
    <cellStyle name="40% - Accent3 5 3" xfId="4985" xr:uid="{00000000-0005-0000-0000-000091050000}"/>
    <cellStyle name="40% - Accent3 5 3 2" xfId="13414" xr:uid="{1489D688-1588-40E2-BD09-99D85C7E659E}"/>
    <cellStyle name="40% - Accent3 5 4" xfId="9196" xr:uid="{337A7312-5FD9-476E-B730-4FE35853E12A}"/>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51469708-9157-465B-B7B9-FC378778E1B2}"/>
    <cellStyle name="40% - Accent3 6 2 3" xfId="11754" xr:uid="{88370BB0-7676-44CA-A66C-4F9543F055DB}"/>
    <cellStyle name="40% - Accent3 6 3" xfId="5398" xr:uid="{00000000-0005-0000-0000-000095050000}"/>
    <cellStyle name="40% - Accent3 6 3 2" xfId="13827" xr:uid="{33A5BEEE-1A8C-4873-BF0E-9AF82D289BB4}"/>
    <cellStyle name="40% - Accent3 6 4" xfId="9609" xr:uid="{5641234B-6F41-4522-AD5D-CC063E39C517}"/>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0D15E7DC-D844-4697-A0D9-1A16D2197B9B}"/>
    <cellStyle name="40% - Accent3 7 2 3" xfId="12167" xr:uid="{49392DE8-FC8B-4F3C-A9BD-66549D35462A}"/>
    <cellStyle name="40% - Accent3 7 3" xfId="5811" xr:uid="{00000000-0005-0000-0000-000099050000}"/>
    <cellStyle name="40% - Accent3 7 3 2" xfId="14240" xr:uid="{B89ED5AC-AF1D-4AC3-86D1-270F0423F0BC}"/>
    <cellStyle name="40% - Accent3 7 4" xfId="10022" xr:uid="{BA761FA0-68DD-450E-9AC8-C5A4AEBC3EC0}"/>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4D91D453-84E0-4F15-8CD8-6F933F0BC742}"/>
    <cellStyle name="40% - Accent3 8 2 3" xfId="12580" xr:uid="{26CB8A29-E2B9-400C-BD03-2B9BC7D002B5}"/>
    <cellStyle name="40% - Accent3 8 3" xfId="6224" xr:uid="{00000000-0005-0000-0000-00009D050000}"/>
    <cellStyle name="40% - Accent3 8 3 2" xfId="14653" xr:uid="{7AC6F850-4427-4A48-9A62-D03860390AA8}"/>
    <cellStyle name="40% - Accent3 8 4" xfId="10435" xr:uid="{AFFB3C1F-9C60-43D7-AE47-4F3F0788E29C}"/>
    <cellStyle name="40% - Accent3 9" xfId="2329" xr:uid="{00000000-0005-0000-0000-00009E050000}"/>
    <cellStyle name="40% - Accent3 9 2" xfId="6637" xr:uid="{00000000-0005-0000-0000-00009F050000}"/>
    <cellStyle name="40% - Accent3 9 2 2" xfId="15066" xr:uid="{E90B4AF2-3958-4564-A74D-E13E21053A28}"/>
    <cellStyle name="40% - Accent3 9 3" xfId="10848" xr:uid="{014AE6CA-7ED1-4121-9238-ED2F7386DA74}"/>
    <cellStyle name="40% - Accent4" xfId="73" builtinId="43" customBuiltin="1"/>
    <cellStyle name="40% - Accent4 10" xfId="4579" xr:uid="{00000000-0005-0000-0000-0000A1050000}"/>
    <cellStyle name="40% - Accent4 10 2" xfId="13008" xr:uid="{EA18B21F-1AA1-4BED-8D4D-A03E7BA7A708}"/>
    <cellStyle name="40% - Accent4 11" xfId="8790" xr:uid="{97CD6A32-E84E-4B96-A497-6F1C6AAE06BE}"/>
    <cellStyle name="40% - Accent4 2" xfId="74" xr:uid="{00000000-0005-0000-0000-0000A2050000}"/>
    <cellStyle name="40% - Accent4 2 10" xfId="8791" xr:uid="{6182F01C-BF36-47AD-AF84-00C2F0C89FB9}"/>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9784B8ED-AF65-4AB7-B2DE-44747EBCD877}"/>
    <cellStyle name="40% - Accent4 2 2 2 2 2 3" xfId="11352" xr:uid="{153D0684-F8E5-4538-8CD4-44C5162F0ABB}"/>
    <cellStyle name="40% - Accent4 2 2 2 2 3" xfId="4996" xr:uid="{00000000-0005-0000-0000-0000A8050000}"/>
    <cellStyle name="40% - Accent4 2 2 2 2 3 2" xfId="13425" xr:uid="{DA535DDF-50E0-498E-B672-377DF8DC26B1}"/>
    <cellStyle name="40% - Accent4 2 2 2 2 4" xfId="9207" xr:uid="{C5B6BCCB-7F93-4C82-A650-368113F0AFCF}"/>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C5B325A7-CCC9-4C30-B634-F893ADD8472B}"/>
    <cellStyle name="40% - Accent4 2 2 2 3 2 3" xfId="11765" xr:uid="{C97FFBCA-00C8-44AD-B0AD-45F69ECCF84B}"/>
    <cellStyle name="40% - Accent4 2 2 2 3 3" xfId="5409" xr:uid="{00000000-0005-0000-0000-0000AC050000}"/>
    <cellStyle name="40% - Accent4 2 2 2 3 3 2" xfId="13838" xr:uid="{7E8F6795-58B1-471C-AC98-9941818D7C02}"/>
    <cellStyle name="40% - Accent4 2 2 2 3 4" xfId="9620" xr:uid="{493A631C-38A2-4B81-A1FA-9A35A21CA9EE}"/>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856C92BB-A3D5-4225-A8C3-D43D46FC9C9E}"/>
    <cellStyle name="40% - Accent4 2 2 2 4 2 3" xfId="12178" xr:uid="{F9617A2C-2072-481B-84DD-E83869307C73}"/>
    <cellStyle name="40% - Accent4 2 2 2 4 3" xfId="5822" xr:uid="{00000000-0005-0000-0000-0000B0050000}"/>
    <cellStyle name="40% - Accent4 2 2 2 4 3 2" xfId="14251" xr:uid="{7C8013B2-DBFD-4B90-BC0C-39443CACCDB0}"/>
    <cellStyle name="40% - Accent4 2 2 2 4 4" xfId="10033" xr:uid="{E92DC3D9-8631-454E-81DD-DA9D475F7C36}"/>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F6899955-1133-4283-A527-1E9A8345F117}"/>
    <cellStyle name="40% - Accent4 2 2 2 5 2 3" xfId="12591" xr:uid="{27590FAD-46E8-4A8C-8519-29199BFDF4E9}"/>
    <cellStyle name="40% - Accent4 2 2 2 5 3" xfId="6235" xr:uid="{00000000-0005-0000-0000-0000B4050000}"/>
    <cellStyle name="40% - Accent4 2 2 2 5 3 2" xfId="14664" xr:uid="{7A226528-2DA9-4F0C-B34B-2052363FA84C}"/>
    <cellStyle name="40% - Accent4 2 2 2 5 4" xfId="10446" xr:uid="{CBD32BEF-3915-46B9-8FCC-4CBD7C976A4D}"/>
    <cellStyle name="40% - Accent4 2 2 2 6" xfId="2340" xr:uid="{00000000-0005-0000-0000-0000B5050000}"/>
    <cellStyle name="40% - Accent4 2 2 2 6 2" xfId="6648" xr:uid="{00000000-0005-0000-0000-0000B6050000}"/>
    <cellStyle name="40% - Accent4 2 2 2 6 2 2" xfId="15077" xr:uid="{1D73271D-4610-4EBD-A002-EC94F9FCC4A5}"/>
    <cellStyle name="40% - Accent4 2 2 2 6 3" xfId="10859" xr:uid="{2321DFA8-14C1-4BDB-856B-01D995216E92}"/>
    <cellStyle name="40% - Accent4 2 2 2 7" xfId="4582" xr:uid="{00000000-0005-0000-0000-0000B7050000}"/>
    <cellStyle name="40% - Accent4 2 2 2 7 2" xfId="13011" xr:uid="{4884349F-A9CF-4362-9143-0B284B7349B8}"/>
    <cellStyle name="40% - Accent4 2 2 2 8" xfId="8793" xr:uid="{B03222DC-AB36-41AB-A2F4-AA995C4CDB6A}"/>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55FC7E56-6A44-45CA-8CB7-F51DBAB03BAF}"/>
    <cellStyle name="40% - Accent4 2 2 3 2 3" xfId="11351" xr:uid="{54F05BAB-F8F6-428C-90CD-B046D2AF5833}"/>
    <cellStyle name="40% - Accent4 2 2 3 3" xfId="4995" xr:uid="{00000000-0005-0000-0000-0000BB050000}"/>
    <cellStyle name="40% - Accent4 2 2 3 3 2" xfId="13424" xr:uid="{F4072733-35EE-4AEC-8177-AB03672A204B}"/>
    <cellStyle name="40% - Accent4 2 2 3 4" xfId="9206" xr:uid="{5DEC2C8A-D83E-43DC-A4A6-1AEC21BB0C8C}"/>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CF8618F4-AF8A-4CE9-9D39-35ED0A1B4733}"/>
    <cellStyle name="40% - Accent4 2 2 4 2 3" xfId="11764" xr:uid="{8DD4E90C-A3C4-4B8D-8ED4-A46D2D6B0690}"/>
    <cellStyle name="40% - Accent4 2 2 4 3" xfId="5408" xr:uid="{00000000-0005-0000-0000-0000BF050000}"/>
    <cellStyle name="40% - Accent4 2 2 4 3 2" xfId="13837" xr:uid="{F198CFF5-07C8-486B-B4A9-E313BD296186}"/>
    <cellStyle name="40% - Accent4 2 2 4 4" xfId="9619" xr:uid="{6EF76DD5-DBCA-4CCB-9E5F-716CDC9E7D40}"/>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E4484DFA-6F33-496A-994B-D6A3C9BCA9A6}"/>
    <cellStyle name="40% - Accent4 2 2 5 2 3" xfId="12177" xr:uid="{88F04306-71D6-4C14-A51F-B8321C5EA6D5}"/>
    <cellStyle name="40% - Accent4 2 2 5 3" xfId="5821" xr:uid="{00000000-0005-0000-0000-0000C3050000}"/>
    <cellStyle name="40% - Accent4 2 2 5 3 2" xfId="14250" xr:uid="{EE9F6A1C-1A96-4DCD-B291-91FFD5708F20}"/>
    <cellStyle name="40% - Accent4 2 2 5 4" xfId="10032" xr:uid="{C8F18A44-6CA9-4485-AFA4-ADA0D2BBADE6}"/>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19C9158D-1F4F-46CC-8754-99D7005ED9EC}"/>
    <cellStyle name="40% - Accent4 2 2 6 2 3" xfId="12590" xr:uid="{9EA5BE9A-2F19-4F89-9D0D-C062361A5710}"/>
    <cellStyle name="40% - Accent4 2 2 6 3" xfId="6234" xr:uid="{00000000-0005-0000-0000-0000C7050000}"/>
    <cellStyle name="40% - Accent4 2 2 6 3 2" xfId="14663" xr:uid="{BF32986C-450D-499C-8132-E16E8A1E3E34}"/>
    <cellStyle name="40% - Accent4 2 2 6 4" xfId="10445" xr:uid="{F8EBAAE5-F946-4126-80CC-ED8104A9D1BE}"/>
    <cellStyle name="40% - Accent4 2 2 7" xfId="2339" xr:uid="{00000000-0005-0000-0000-0000C8050000}"/>
    <cellStyle name="40% - Accent4 2 2 7 2" xfId="6647" xr:uid="{00000000-0005-0000-0000-0000C9050000}"/>
    <cellStyle name="40% - Accent4 2 2 7 2 2" xfId="15076" xr:uid="{98ADAE59-EBE4-4A34-836A-E1381D427C24}"/>
    <cellStyle name="40% - Accent4 2 2 7 3" xfId="10858" xr:uid="{F1AE4FD7-C153-410B-B273-2D40B1CEC88F}"/>
    <cellStyle name="40% - Accent4 2 2 8" xfId="4581" xr:uid="{00000000-0005-0000-0000-0000CA050000}"/>
    <cellStyle name="40% - Accent4 2 2 8 2" xfId="13010" xr:uid="{19DF7521-E3D4-4EA4-B132-EB82BA20353C}"/>
    <cellStyle name="40% - Accent4 2 2 9" xfId="8792" xr:uid="{223F705D-F83A-4B48-865B-A95984255004}"/>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E5601FE8-4FBE-45C7-A212-1F252A700DAE}"/>
    <cellStyle name="40% - Accent4 2 3 2 2 3" xfId="11353" xr:uid="{28DB1008-FC03-4D8F-9FB0-2A441929DAF8}"/>
    <cellStyle name="40% - Accent4 2 3 2 3" xfId="4997" xr:uid="{00000000-0005-0000-0000-0000CF050000}"/>
    <cellStyle name="40% - Accent4 2 3 2 3 2" xfId="13426" xr:uid="{F6E38788-8E63-4613-93E7-B98D38A39A4E}"/>
    <cellStyle name="40% - Accent4 2 3 2 4" xfId="9208" xr:uid="{16740B24-5317-428F-8729-8E12011A79DC}"/>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1DC0ADB9-EC40-47DD-80C0-0C6F4B688573}"/>
    <cellStyle name="40% - Accent4 2 3 3 2 3" xfId="11766" xr:uid="{2C84B71E-E069-4983-93E5-22142432F254}"/>
    <cellStyle name="40% - Accent4 2 3 3 3" xfId="5410" xr:uid="{00000000-0005-0000-0000-0000D3050000}"/>
    <cellStyle name="40% - Accent4 2 3 3 3 2" xfId="13839" xr:uid="{1610FFC0-292E-45CA-AE85-1F3893289116}"/>
    <cellStyle name="40% - Accent4 2 3 3 4" xfId="9621" xr:uid="{5774AC6C-6021-4787-966C-1D714CAF7AC5}"/>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435FC227-E177-4A26-B4C8-4BFFD6DF65A9}"/>
    <cellStyle name="40% - Accent4 2 3 4 2 3" xfId="12179" xr:uid="{9B8B09B8-CA09-40D4-82D4-C5E3C5AB746E}"/>
    <cellStyle name="40% - Accent4 2 3 4 3" xfId="5823" xr:uid="{00000000-0005-0000-0000-0000D7050000}"/>
    <cellStyle name="40% - Accent4 2 3 4 3 2" xfId="14252" xr:uid="{E7D0F6CA-BF72-4272-B02E-17846057AF33}"/>
    <cellStyle name="40% - Accent4 2 3 4 4" xfId="10034" xr:uid="{B500733D-D40C-4D93-98EB-A781DB51323E}"/>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CC7A7686-2B37-45CC-98A4-EF0036EBA9A3}"/>
    <cellStyle name="40% - Accent4 2 3 5 2 3" xfId="12592" xr:uid="{2945EE4E-1100-4914-9FA2-EFD8DD920ECB}"/>
    <cellStyle name="40% - Accent4 2 3 5 3" xfId="6236" xr:uid="{00000000-0005-0000-0000-0000DB050000}"/>
    <cellStyle name="40% - Accent4 2 3 5 3 2" xfId="14665" xr:uid="{4C78EFE9-B808-4CAD-9333-5F6319CB5030}"/>
    <cellStyle name="40% - Accent4 2 3 5 4" xfId="10447" xr:uid="{EE83D0AF-33B9-4235-81FA-CD9367A64D70}"/>
    <cellStyle name="40% - Accent4 2 3 6" xfId="2341" xr:uid="{00000000-0005-0000-0000-0000DC050000}"/>
    <cellStyle name="40% - Accent4 2 3 6 2" xfId="6649" xr:uid="{00000000-0005-0000-0000-0000DD050000}"/>
    <cellStyle name="40% - Accent4 2 3 6 2 2" xfId="15078" xr:uid="{40E00E79-A410-4445-A067-42E6B05FC514}"/>
    <cellStyle name="40% - Accent4 2 3 6 3" xfId="10860" xr:uid="{EBBDE625-73C9-4463-B874-D2AF0288AC54}"/>
    <cellStyle name="40% - Accent4 2 3 7" xfId="4583" xr:uid="{00000000-0005-0000-0000-0000DE050000}"/>
    <cellStyle name="40% - Accent4 2 3 7 2" xfId="13012" xr:uid="{F3885B73-24F6-4103-9916-2B40C0D06D59}"/>
    <cellStyle name="40% - Accent4 2 3 8" xfId="8794" xr:uid="{5C51721D-228F-4684-86D6-9B2D78193251}"/>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216335E1-1EDB-4244-B64A-6EEDDB5AB6DB}"/>
    <cellStyle name="40% - Accent4 2 4 2 3" xfId="11350" xr:uid="{68A0D7F5-A7F0-4E0D-B157-03D114BB9794}"/>
    <cellStyle name="40% - Accent4 2 4 3" xfId="4994" xr:uid="{00000000-0005-0000-0000-0000E2050000}"/>
    <cellStyle name="40% - Accent4 2 4 3 2" xfId="13423" xr:uid="{BEF7A6CB-EB37-4B31-85F6-BACB59C3E08A}"/>
    <cellStyle name="40% - Accent4 2 4 4" xfId="9205" xr:uid="{564D3A91-00DA-4B9D-A38E-A2B5E5291853}"/>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F9EF9817-2991-4BE7-B180-A952C44241E1}"/>
    <cellStyle name="40% - Accent4 2 5 2 3" xfId="11763" xr:uid="{614A2977-09A6-4BE2-A61D-FE8E1693404D}"/>
    <cellStyle name="40% - Accent4 2 5 3" xfId="5407" xr:uid="{00000000-0005-0000-0000-0000E6050000}"/>
    <cellStyle name="40% - Accent4 2 5 3 2" xfId="13836" xr:uid="{4E6AE66D-EC29-4029-B54C-027D04C8C79A}"/>
    <cellStyle name="40% - Accent4 2 5 4" xfId="9618" xr:uid="{377781EE-A532-4995-9209-784B8096ED36}"/>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31C75308-F7F3-47DD-8B61-88103792CDBE}"/>
    <cellStyle name="40% - Accent4 2 6 2 3" xfId="12176" xr:uid="{32C5B3B4-15F7-447C-B7D3-0B9A755B49BE}"/>
    <cellStyle name="40% - Accent4 2 6 3" xfId="5820" xr:uid="{00000000-0005-0000-0000-0000EA050000}"/>
    <cellStyle name="40% - Accent4 2 6 3 2" xfId="14249" xr:uid="{045E9A8B-3C00-4DE4-BE44-48D9CA53B9EF}"/>
    <cellStyle name="40% - Accent4 2 6 4" xfId="10031" xr:uid="{EF430629-C7C4-4B5C-911D-DB2DE123E6C4}"/>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BF82F496-5DB1-4D85-B70A-01603EF78B03}"/>
    <cellStyle name="40% - Accent4 2 7 2 3" xfId="12589" xr:uid="{6BA8EDA2-F72E-4D98-B911-88799015906E}"/>
    <cellStyle name="40% - Accent4 2 7 3" xfId="6233" xr:uid="{00000000-0005-0000-0000-0000EE050000}"/>
    <cellStyle name="40% - Accent4 2 7 3 2" xfId="14662" xr:uid="{2321A43B-E638-4BF9-8215-491BD849B420}"/>
    <cellStyle name="40% - Accent4 2 7 4" xfId="10444" xr:uid="{A2611FF3-226C-45FC-BF0E-ACB1F0C74C8A}"/>
    <cellStyle name="40% - Accent4 2 8" xfId="2338" xr:uid="{00000000-0005-0000-0000-0000EF050000}"/>
    <cellStyle name="40% - Accent4 2 8 2" xfId="6646" xr:uid="{00000000-0005-0000-0000-0000F0050000}"/>
    <cellStyle name="40% - Accent4 2 8 2 2" xfId="15075" xr:uid="{A957C367-701F-4C46-8781-853B54AD4B26}"/>
    <cellStyle name="40% - Accent4 2 8 3" xfId="10857" xr:uid="{9F6EE3CB-122E-451F-85C2-14C5D9FE8299}"/>
    <cellStyle name="40% - Accent4 2 9" xfId="4580" xr:uid="{00000000-0005-0000-0000-0000F1050000}"/>
    <cellStyle name="40% - Accent4 2 9 2" xfId="13009" xr:uid="{726FB697-9EE6-46AC-96EB-A67E6C68F383}"/>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34401806-D3E5-4BB1-B436-BBA852E96029}"/>
    <cellStyle name="40% - Accent4 3 2 2 2 3" xfId="11355" xr:uid="{B433EB06-7987-4FC4-8107-8D76E791CB4C}"/>
    <cellStyle name="40% - Accent4 3 2 2 3" xfId="4999" xr:uid="{00000000-0005-0000-0000-0000F7050000}"/>
    <cellStyle name="40% - Accent4 3 2 2 3 2" xfId="13428" xr:uid="{053A35D1-7EBF-476C-8145-3043D2D00455}"/>
    <cellStyle name="40% - Accent4 3 2 2 4" xfId="9210" xr:uid="{8271DE8C-FF06-4B43-BF1E-27D42EB40A3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27F9BE3E-1D0F-4FD2-8D2E-B378FF1AE64E}"/>
    <cellStyle name="40% - Accent4 3 2 3 2 3" xfId="11768" xr:uid="{0EAEEEC3-F10D-4B79-93E8-4B18842D01D8}"/>
    <cellStyle name="40% - Accent4 3 2 3 3" xfId="5412" xr:uid="{00000000-0005-0000-0000-0000FB050000}"/>
    <cellStyle name="40% - Accent4 3 2 3 3 2" xfId="13841" xr:uid="{A1A5A4BA-A56D-4D22-A1A3-7BB0E6F9D2A3}"/>
    <cellStyle name="40% - Accent4 3 2 3 4" xfId="9623" xr:uid="{6B10B803-6A73-43E0-A234-D9A8D00DE589}"/>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C9415372-B160-4428-8AA4-1A74EA1D1206}"/>
    <cellStyle name="40% - Accent4 3 2 4 2 3" xfId="12181" xr:uid="{304994E3-FD6C-4940-B9BE-BDE5D47B2C7B}"/>
    <cellStyle name="40% - Accent4 3 2 4 3" xfId="5825" xr:uid="{00000000-0005-0000-0000-0000FF050000}"/>
    <cellStyle name="40% - Accent4 3 2 4 3 2" xfId="14254" xr:uid="{D3A396ED-8A51-4D94-A7D0-3FBD74525B7F}"/>
    <cellStyle name="40% - Accent4 3 2 4 4" xfId="10036" xr:uid="{375BCBE1-39F4-4CE8-BF59-D3298049B4D3}"/>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BDBCFE15-E368-44E8-AEF2-86784771E063}"/>
    <cellStyle name="40% - Accent4 3 2 5 2 3" xfId="12594" xr:uid="{F1CDCE0A-3AEB-4B43-836F-CAB85A3111C6}"/>
    <cellStyle name="40% - Accent4 3 2 5 3" xfId="6238" xr:uid="{00000000-0005-0000-0000-000003060000}"/>
    <cellStyle name="40% - Accent4 3 2 5 3 2" xfId="14667" xr:uid="{5CAF8E5C-EF0F-4B19-ADBE-A3900AA9A957}"/>
    <cellStyle name="40% - Accent4 3 2 5 4" xfId="10449" xr:uid="{C69405AA-9D02-40B1-99CF-6E6EC06C8C49}"/>
    <cellStyle name="40% - Accent4 3 2 6" xfId="2343" xr:uid="{00000000-0005-0000-0000-000004060000}"/>
    <cellStyle name="40% - Accent4 3 2 6 2" xfId="6651" xr:uid="{00000000-0005-0000-0000-000005060000}"/>
    <cellStyle name="40% - Accent4 3 2 6 2 2" xfId="15080" xr:uid="{967CE9EF-A8B0-4448-A529-734D38552E1C}"/>
    <cellStyle name="40% - Accent4 3 2 6 3" xfId="10862" xr:uid="{6E85718B-13A4-46C5-A3D4-7CA93DACDF75}"/>
    <cellStyle name="40% - Accent4 3 2 7" xfId="4585" xr:uid="{00000000-0005-0000-0000-000006060000}"/>
    <cellStyle name="40% - Accent4 3 2 7 2" xfId="13014" xr:uid="{84E9D43B-98CD-4711-B86D-EC9B043F9025}"/>
    <cellStyle name="40% - Accent4 3 2 8" xfId="8796" xr:uid="{A0623E1E-210B-45CB-86D3-46D4C4DE9DDA}"/>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5A336052-DA44-497C-82EC-63DA7E1872C4}"/>
    <cellStyle name="40% - Accent4 3 3 2 3" xfId="11354" xr:uid="{71A96782-7903-4E5E-A2E0-31C6AEFA17A7}"/>
    <cellStyle name="40% - Accent4 3 3 3" xfId="4998" xr:uid="{00000000-0005-0000-0000-00000A060000}"/>
    <cellStyle name="40% - Accent4 3 3 3 2" xfId="13427" xr:uid="{E7FCADA5-60A9-4716-8584-5947CE24C842}"/>
    <cellStyle name="40% - Accent4 3 3 4" xfId="9209" xr:uid="{308904EA-B8B6-4ED4-A0F3-63062F286198}"/>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E3645318-48B1-4CE7-9ACB-D56DE1A012D6}"/>
    <cellStyle name="40% - Accent4 3 4 2 3" xfId="11767" xr:uid="{0036C6B1-75E0-40DF-A816-FF3165089A07}"/>
    <cellStyle name="40% - Accent4 3 4 3" xfId="5411" xr:uid="{00000000-0005-0000-0000-00000E060000}"/>
    <cellStyle name="40% - Accent4 3 4 3 2" xfId="13840" xr:uid="{80CCA676-0007-48FB-B553-A75E425D7C5B}"/>
    <cellStyle name="40% - Accent4 3 4 4" xfId="9622" xr:uid="{E94DDD6B-F848-4FA2-B0F0-186765F27641}"/>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58B3C651-82CA-474E-A690-4E88D2324E50}"/>
    <cellStyle name="40% - Accent4 3 5 2 3" xfId="12180" xr:uid="{5CF1845A-9230-4D12-A89C-4168CB22C36E}"/>
    <cellStyle name="40% - Accent4 3 5 3" xfId="5824" xr:uid="{00000000-0005-0000-0000-000012060000}"/>
    <cellStyle name="40% - Accent4 3 5 3 2" xfId="14253" xr:uid="{0CF8FF34-123D-4116-AC0D-BCDADD8F3D5D}"/>
    <cellStyle name="40% - Accent4 3 5 4" xfId="10035" xr:uid="{2649F91D-8A50-4326-9E86-54BE197652EC}"/>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5D532F5C-900A-47F4-960C-051FE6C1699E}"/>
    <cellStyle name="40% - Accent4 3 6 2 3" xfId="12593" xr:uid="{81C736AC-D8CD-409B-A154-C699F8ADCB2D}"/>
    <cellStyle name="40% - Accent4 3 6 3" xfId="6237" xr:uid="{00000000-0005-0000-0000-000016060000}"/>
    <cellStyle name="40% - Accent4 3 6 3 2" xfId="14666" xr:uid="{EBEC20A0-01E5-4301-9216-4DA28B6D2E13}"/>
    <cellStyle name="40% - Accent4 3 6 4" xfId="10448" xr:uid="{94AA250C-9BBE-4270-BA69-5FE27E7D872B}"/>
    <cellStyle name="40% - Accent4 3 7" xfId="2342" xr:uid="{00000000-0005-0000-0000-000017060000}"/>
    <cellStyle name="40% - Accent4 3 7 2" xfId="6650" xr:uid="{00000000-0005-0000-0000-000018060000}"/>
    <cellStyle name="40% - Accent4 3 7 2 2" xfId="15079" xr:uid="{30704D31-7BEA-4306-9468-4233BEF35D63}"/>
    <cellStyle name="40% - Accent4 3 7 3" xfId="10861" xr:uid="{626C2C42-8C32-407B-A53C-41780396481C}"/>
    <cellStyle name="40% - Accent4 3 8" xfId="4584" xr:uid="{00000000-0005-0000-0000-000019060000}"/>
    <cellStyle name="40% - Accent4 3 8 2" xfId="13013" xr:uid="{9E1A7B26-C55C-4878-BA4D-D1B93054942F}"/>
    <cellStyle name="40% - Accent4 3 9" xfId="8795" xr:uid="{99032E0B-CC6D-45C2-B4A8-8E43E738EFFC}"/>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F146F882-F9B5-4CDF-A042-24085C227284}"/>
    <cellStyle name="40% - Accent4 4 2 2 3" xfId="11356" xr:uid="{E38AF785-EEC2-4851-A663-4DCCEA555F2F}"/>
    <cellStyle name="40% - Accent4 4 2 3" xfId="5000" xr:uid="{00000000-0005-0000-0000-00001E060000}"/>
    <cellStyle name="40% - Accent4 4 2 3 2" xfId="13429" xr:uid="{558D2E55-4EE7-4BC6-A1F5-ACC99AA0CB7A}"/>
    <cellStyle name="40% - Accent4 4 2 4" xfId="9211" xr:uid="{176AE418-82DB-407E-BBF9-D4CBF727B15D}"/>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28F60113-CD43-43DE-9530-49CB648811B4}"/>
    <cellStyle name="40% - Accent4 4 3 2 3" xfId="11769" xr:uid="{DC1B5B79-E051-4D72-A021-F416FF2F7844}"/>
    <cellStyle name="40% - Accent4 4 3 3" xfId="5413" xr:uid="{00000000-0005-0000-0000-000022060000}"/>
    <cellStyle name="40% - Accent4 4 3 3 2" xfId="13842" xr:uid="{A2E16833-EF34-41E2-B37D-FEFFB6AFF148}"/>
    <cellStyle name="40% - Accent4 4 3 4" xfId="9624" xr:uid="{B64F29CF-DF16-4A6B-BDD7-198060AAB1B0}"/>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1CB2E078-7CDE-47F0-9875-683CEC05DC45}"/>
    <cellStyle name="40% - Accent4 4 4 2 3" xfId="12182" xr:uid="{AFD847CF-BDA8-43F7-BB0E-0863E48695BA}"/>
    <cellStyle name="40% - Accent4 4 4 3" xfId="5826" xr:uid="{00000000-0005-0000-0000-000026060000}"/>
    <cellStyle name="40% - Accent4 4 4 3 2" xfId="14255" xr:uid="{4BB01B56-7C15-4D0F-8F6B-C00BF2ECA998}"/>
    <cellStyle name="40% - Accent4 4 4 4" xfId="10037" xr:uid="{FC840DD7-C5AC-4789-B9AC-853A1E586E3D}"/>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116ED5DC-E948-46EF-8AFC-134D8386D6A0}"/>
    <cellStyle name="40% - Accent4 4 5 2 3" xfId="12595" xr:uid="{975D7D8B-B155-4A47-BB90-20512DB48FC4}"/>
    <cellStyle name="40% - Accent4 4 5 3" xfId="6239" xr:uid="{00000000-0005-0000-0000-00002A060000}"/>
    <cellStyle name="40% - Accent4 4 5 3 2" xfId="14668" xr:uid="{06923709-BBDE-401B-AB72-7B1F395626BB}"/>
    <cellStyle name="40% - Accent4 4 5 4" xfId="10450" xr:uid="{7FAAAD13-B0E8-4E7E-8968-E2AD6A45D4CC}"/>
    <cellStyle name="40% - Accent4 4 6" xfId="2344" xr:uid="{00000000-0005-0000-0000-00002B060000}"/>
    <cellStyle name="40% - Accent4 4 6 2" xfId="6652" xr:uid="{00000000-0005-0000-0000-00002C060000}"/>
    <cellStyle name="40% - Accent4 4 6 2 2" xfId="15081" xr:uid="{2B3A9719-0AC6-456D-B86C-F6DA0AAF3B54}"/>
    <cellStyle name="40% - Accent4 4 6 3" xfId="10863" xr:uid="{86ED558D-857D-4536-BD03-A263CD86F6C1}"/>
    <cellStyle name="40% - Accent4 4 7" xfId="4586" xr:uid="{00000000-0005-0000-0000-00002D060000}"/>
    <cellStyle name="40% - Accent4 4 7 2" xfId="13015" xr:uid="{F3F66E6B-0C65-4701-8B29-8A46CA12F0AF}"/>
    <cellStyle name="40% - Accent4 4 8" xfId="8797" xr:uid="{1E06D1F6-406D-4D9D-86CA-D63F8BE669EE}"/>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165DBF7B-D6CA-40E6-85CE-EC2FFC1E7C43}"/>
    <cellStyle name="40% - Accent4 5 2 3" xfId="11349" xr:uid="{1FCFD171-AC4E-438C-882D-103A828274EC}"/>
    <cellStyle name="40% - Accent4 5 3" xfId="4993" xr:uid="{00000000-0005-0000-0000-000031060000}"/>
    <cellStyle name="40% - Accent4 5 3 2" xfId="13422" xr:uid="{EEEE6DFC-0B11-4045-A0DB-6CD10F196015}"/>
    <cellStyle name="40% - Accent4 5 4" xfId="9204" xr:uid="{99CB5DDA-9201-4912-82FA-851AC3376550}"/>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9B18A86B-7A7B-4FB2-8400-77293574DBC3}"/>
    <cellStyle name="40% - Accent4 6 2 3" xfId="11762" xr:uid="{F53EEB9D-242A-470A-97B4-2C72F488FDF1}"/>
    <cellStyle name="40% - Accent4 6 3" xfId="5406" xr:uid="{00000000-0005-0000-0000-000035060000}"/>
    <cellStyle name="40% - Accent4 6 3 2" xfId="13835" xr:uid="{2AA74DC4-4914-4BFE-8891-4ED2CF08AD31}"/>
    <cellStyle name="40% - Accent4 6 4" xfId="9617" xr:uid="{1B00BE83-3F00-4F65-BFB5-44CF58512E9F}"/>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D4D08FDB-5E2B-4043-9BDE-EBBDE345D1E8}"/>
    <cellStyle name="40% - Accent4 7 2 3" xfId="12175" xr:uid="{D5C2944B-3468-47EE-8DD2-1D456B36E847}"/>
    <cellStyle name="40% - Accent4 7 3" xfId="5819" xr:uid="{00000000-0005-0000-0000-000039060000}"/>
    <cellStyle name="40% - Accent4 7 3 2" xfId="14248" xr:uid="{8F038F00-C380-4B5A-9C8F-7F89C7DE7B8E}"/>
    <cellStyle name="40% - Accent4 7 4" xfId="10030" xr:uid="{10BDD17D-6B53-4268-82A2-5AD7980D9ACF}"/>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3F1962CA-34E4-44B3-BCA3-420F08DB7E1A}"/>
    <cellStyle name="40% - Accent4 8 2 3" xfId="12588" xr:uid="{A12684A7-9A0F-4412-AE7D-9704FCF3D507}"/>
    <cellStyle name="40% - Accent4 8 3" xfId="6232" xr:uid="{00000000-0005-0000-0000-00003D060000}"/>
    <cellStyle name="40% - Accent4 8 3 2" xfId="14661" xr:uid="{53715898-3960-49C5-964B-C9602FEA388A}"/>
    <cellStyle name="40% - Accent4 8 4" xfId="10443" xr:uid="{02B65224-0964-42D4-AA5D-AA9B7BD67D53}"/>
    <cellStyle name="40% - Accent4 9" xfId="2337" xr:uid="{00000000-0005-0000-0000-00003E060000}"/>
    <cellStyle name="40% - Accent4 9 2" xfId="6645" xr:uid="{00000000-0005-0000-0000-00003F060000}"/>
    <cellStyle name="40% - Accent4 9 2 2" xfId="15074" xr:uid="{4D3B6DFF-5B90-4F5A-BD90-366AEA356072}"/>
    <cellStyle name="40% - Accent4 9 3" xfId="10856" xr:uid="{13005BE1-F006-43D5-8C43-23DC0510D97B}"/>
    <cellStyle name="40% - Accent5" xfId="81" builtinId="47" customBuiltin="1"/>
    <cellStyle name="40% - Accent5 10" xfId="4587" xr:uid="{00000000-0005-0000-0000-000041060000}"/>
    <cellStyle name="40% - Accent5 10 2" xfId="13016" xr:uid="{F6585548-F591-48DA-94C1-97F4D63F3490}"/>
    <cellStyle name="40% - Accent5 11" xfId="8798" xr:uid="{8B145E6C-5977-4952-AFF3-A69E4B895AE0}"/>
    <cellStyle name="40% - Accent5 2" xfId="82" xr:uid="{00000000-0005-0000-0000-000042060000}"/>
    <cellStyle name="40% - Accent5 2 10" xfId="8799" xr:uid="{0D942E3A-4EA8-4811-B40E-3531175367D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05B78C94-036F-4C3B-A910-D68D127B143C}"/>
    <cellStyle name="40% - Accent5 2 2 2 2 2 3" xfId="11360" xr:uid="{870D0FBB-B172-42A9-B727-125D1447E998}"/>
    <cellStyle name="40% - Accent5 2 2 2 2 3" xfId="5004" xr:uid="{00000000-0005-0000-0000-000048060000}"/>
    <cellStyle name="40% - Accent5 2 2 2 2 3 2" xfId="13433" xr:uid="{29410F77-0A1C-422D-80CC-62F644EAFE36}"/>
    <cellStyle name="40% - Accent5 2 2 2 2 4" xfId="9215" xr:uid="{1EA336AC-3591-4F51-8851-F2A27DC5BAAB}"/>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09BF905C-131C-4CB0-84A5-2DF3EB5B6AE2}"/>
    <cellStyle name="40% - Accent5 2 2 2 3 2 3" xfId="11773" xr:uid="{F8481EB8-7B8E-4C48-9AD6-C4D563FF5D5B}"/>
    <cellStyle name="40% - Accent5 2 2 2 3 3" xfId="5417" xr:uid="{00000000-0005-0000-0000-00004C060000}"/>
    <cellStyle name="40% - Accent5 2 2 2 3 3 2" xfId="13846" xr:uid="{5C034AFE-5060-4AEC-AD8B-9314538BAA00}"/>
    <cellStyle name="40% - Accent5 2 2 2 3 4" xfId="9628" xr:uid="{98EC566C-520B-4839-BE3E-20605313C43D}"/>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D1633CC3-83C0-49C0-905E-E67A7403DAEB}"/>
    <cellStyle name="40% - Accent5 2 2 2 4 2 3" xfId="12186" xr:uid="{C5A7A3EC-9ECC-44B9-884B-A5DE1D998576}"/>
    <cellStyle name="40% - Accent5 2 2 2 4 3" xfId="5830" xr:uid="{00000000-0005-0000-0000-000050060000}"/>
    <cellStyle name="40% - Accent5 2 2 2 4 3 2" xfId="14259" xr:uid="{A510A8B1-7772-46F1-9AEE-ED702F54C8BB}"/>
    <cellStyle name="40% - Accent5 2 2 2 4 4" xfId="10041" xr:uid="{85227775-1557-470B-ADC5-2F56ABEF9D11}"/>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69CD4D94-EE06-4A05-850E-596A660641E0}"/>
    <cellStyle name="40% - Accent5 2 2 2 5 2 3" xfId="12599" xr:uid="{9DD922F1-9026-4561-A29B-A7E379BE864D}"/>
    <cellStyle name="40% - Accent5 2 2 2 5 3" xfId="6243" xr:uid="{00000000-0005-0000-0000-000054060000}"/>
    <cellStyle name="40% - Accent5 2 2 2 5 3 2" xfId="14672" xr:uid="{7D375980-7EA3-46A4-9052-69323BE605AB}"/>
    <cellStyle name="40% - Accent5 2 2 2 5 4" xfId="10454" xr:uid="{7581F4B4-1180-4F95-8CBB-41F4780D46FE}"/>
    <cellStyle name="40% - Accent5 2 2 2 6" xfId="2348" xr:uid="{00000000-0005-0000-0000-000055060000}"/>
    <cellStyle name="40% - Accent5 2 2 2 6 2" xfId="6656" xr:uid="{00000000-0005-0000-0000-000056060000}"/>
    <cellStyle name="40% - Accent5 2 2 2 6 2 2" xfId="15085" xr:uid="{3BA125BC-202F-444C-8380-6A2BFAAE92D0}"/>
    <cellStyle name="40% - Accent5 2 2 2 6 3" xfId="10867" xr:uid="{AE66354F-839E-48A0-AFFD-B93DDDF71011}"/>
    <cellStyle name="40% - Accent5 2 2 2 7" xfId="4590" xr:uid="{00000000-0005-0000-0000-000057060000}"/>
    <cellStyle name="40% - Accent5 2 2 2 7 2" xfId="13019" xr:uid="{28BAB0A7-7BC9-4AE5-ABC5-E3B83786AEA0}"/>
    <cellStyle name="40% - Accent5 2 2 2 8" xfId="8801" xr:uid="{518BD795-008C-4FDE-9A59-EACA99A1EFAA}"/>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03757595-A087-4354-B79C-BBD350A58056}"/>
    <cellStyle name="40% - Accent5 2 2 3 2 3" xfId="11359" xr:uid="{0960BD41-C903-46E1-89F2-88F647BCFB4C}"/>
    <cellStyle name="40% - Accent5 2 2 3 3" xfId="5003" xr:uid="{00000000-0005-0000-0000-00005B060000}"/>
    <cellStyle name="40% - Accent5 2 2 3 3 2" xfId="13432" xr:uid="{06975874-8883-49BD-B076-7DE70FA2E88D}"/>
    <cellStyle name="40% - Accent5 2 2 3 4" xfId="9214" xr:uid="{8A7ED83A-16D8-477D-8DD3-A85890E6A554}"/>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4D2C15AB-5000-4A67-BE80-63248B2ED727}"/>
    <cellStyle name="40% - Accent5 2 2 4 2 3" xfId="11772" xr:uid="{0ED3F812-0F99-40EB-9512-D5C2AECEFD3F}"/>
    <cellStyle name="40% - Accent5 2 2 4 3" xfId="5416" xr:uid="{00000000-0005-0000-0000-00005F060000}"/>
    <cellStyle name="40% - Accent5 2 2 4 3 2" xfId="13845" xr:uid="{049A2AA5-B95C-4660-A0C7-BB2972F236C2}"/>
    <cellStyle name="40% - Accent5 2 2 4 4" xfId="9627" xr:uid="{806435BF-CC6A-4782-BE95-DE627B824929}"/>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EEFA6460-13D8-4003-BD6D-FC002E60E3E6}"/>
    <cellStyle name="40% - Accent5 2 2 5 2 3" xfId="12185" xr:uid="{96BDC34A-BAB1-4DE6-871D-C605296CC5F5}"/>
    <cellStyle name="40% - Accent5 2 2 5 3" xfId="5829" xr:uid="{00000000-0005-0000-0000-000063060000}"/>
    <cellStyle name="40% - Accent5 2 2 5 3 2" xfId="14258" xr:uid="{84CE5739-3D14-432C-B5EF-B378F2AEF5E7}"/>
    <cellStyle name="40% - Accent5 2 2 5 4" xfId="10040" xr:uid="{DE8A339C-8909-4132-A454-C068F6941C71}"/>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F6399DA7-6028-4480-898D-9D4E3D5FF352}"/>
    <cellStyle name="40% - Accent5 2 2 6 2 3" xfId="12598" xr:uid="{F7BDE766-B78D-4384-872C-A92087A4FEAE}"/>
    <cellStyle name="40% - Accent5 2 2 6 3" xfId="6242" xr:uid="{00000000-0005-0000-0000-000067060000}"/>
    <cellStyle name="40% - Accent5 2 2 6 3 2" xfId="14671" xr:uid="{3E1955EC-584C-4D24-8663-2A129A2FD2C2}"/>
    <cellStyle name="40% - Accent5 2 2 6 4" xfId="10453" xr:uid="{B282F0E5-86DE-4387-9191-4B269058EC04}"/>
    <cellStyle name="40% - Accent5 2 2 7" xfId="2347" xr:uid="{00000000-0005-0000-0000-000068060000}"/>
    <cellStyle name="40% - Accent5 2 2 7 2" xfId="6655" xr:uid="{00000000-0005-0000-0000-000069060000}"/>
    <cellStyle name="40% - Accent5 2 2 7 2 2" xfId="15084" xr:uid="{16938EE8-DCAD-41EC-B4FA-D0CC520509B6}"/>
    <cellStyle name="40% - Accent5 2 2 7 3" xfId="10866" xr:uid="{E95D362C-12F8-4CC9-A98B-B232F8CAC1F6}"/>
    <cellStyle name="40% - Accent5 2 2 8" xfId="4589" xr:uid="{00000000-0005-0000-0000-00006A060000}"/>
    <cellStyle name="40% - Accent5 2 2 8 2" xfId="13018" xr:uid="{0DF8D52F-7C9B-4030-8C3C-52673FEFC301}"/>
    <cellStyle name="40% - Accent5 2 2 9" xfId="8800" xr:uid="{F6EA88F5-8580-4E3C-97B1-88D3FEF0796D}"/>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6F6B747F-7368-47CE-A48D-FB1CB35A808C}"/>
    <cellStyle name="40% - Accent5 2 3 2 2 3" xfId="11361" xr:uid="{EA3DE9D3-438D-46A6-A56C-D0DB16A9523B}"/>
    <cellStyle name="40% - Accent5 2 3 2 3" xfId="5005" xr:uid="{00000000-0005-0000-0000-00006F060000}"/>
    <cellStyle name="40% - Accent5 2 3 2 3 2" xfId="13434" xr:uid="{9CDD758C-C533-4632-B238-7B871B5DE14F}"/>
    <cellStyle name="40% - Accent5 2 3 2 4" xfId="9216" xr:uid="{0AD2602F-08F7-4AEC-BD30-12A5487F3D36}"/>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AF5F71A3-B6E2-4735-A923-AD1E3BB31807}"/>
    <cellStyle name="40% - Accent5 2 3 3 2 3" xfId="11774" xr:uid="{B3187DD4-0AF2-437D-9F6B-BB520DFBA38B}"/>
    <cellStyle name="40% - Accent5 2 3 3 3" xfId="5418" xr:uid="{00000000-0005-0000-0000-000073060000}"/>
    <cellStyle name="40% - Accent5 2 3 3 3 2" xfId="13847" xr:uid="{654E1BFB-B1E7-4C5C-93F5-3CBE948C0973}"/>
    <cellStyle name="40% - Accent5 2 3 3 4" xfId="9629" xr:uid="{9600B4DF-D204-4825-BA5C-0F0520A15CA3}"/>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439A5E16-6082-475D-B364-BB84EF748F57}"/>
    <cellStyle name="40% - Accent5 2 3 4 2 3" xfId="12187" xr:uid="{D4452B9D-0867-4F9C-815F-B88F29CF2C67}"/>
    <cellStyle name="40% - Accent5 2 3 4 3" xfId="5831" xr:uid="{00000000-0005-0000-0000-000077060000}"/>
    <cellStyle name="40% - Accent5 2 3 4 3 2" xfId="14260" xr:uid="{45F2F82B-59AC-411A-B259-B32221B8E92E}"/>
    <cellStyle name="40% - Accent5 2 3 4 4" xfId="10042" xr:uid="{6D6E1C86-74DD-4763-9FE4-D031B5B95655}"/>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DCD07331-73A2-433C-84BF-A1356C7F8458}"/>
    <cellStyle name="40% - Accent5 2 3 5 2 3" xfId="12600" xr:uid="{FA8246AF-72D5-40EE-8BF7-231340ED37EC}"/>
    <cellStyle name="40% - Accent5 2 3 5 3" xfId="6244" xr:uid="{00000000-0005-0000-0000-00007B060000}"/>
    <cellStyle name="40% - Accent5 2 3 5 3 2" xfId="14673" xr:uid="{627F8908-8514-46F4-AD6F-81F733DFA9DD}"/>
    <cellStyle name="40% - Accent5 2 3 5 4" xfId="10455" xr:uid="{E87C442C-6D27-47BC-A27E-572652616541}"/>
    <cellStyle name="40% - Accent5 2 3 6" xfId="2349" xr:uid="{00000000-0005-0000-0000-00007C060000}"/>
    <cellStyle name="40% - Accent5 2 3 6 2" xfId="6657" xr:uid="{00000000-0005-0000-0000-00007D060000}"/>
    <cellStyle name="40% - Accent5 2 3 6 2 2" xfId="15086" xr:uid="{73122B1D-8FA1-4C35-81A1-BA195BD38A9B}"/>
    <cellStyle name="40% - Accent5 2 3 6 3" xfId="10868" xr:uid="{512BB8A0-57AB-461D-92A1-2E5594A3E387}"/>
    <cellStyle name="40% - Accent5 2 3 7" xfId="4591" xr:uid="{00000000-0005-0000-0000-00007E060000}"/>
    <cellStyle name="40% - Accent5 2 3 7 2" xfId="13020" xr:uid="{5F00C6A9-D450-4F91-AB36-CED99EFC35C6}"/>
    <cellStyle name="40% - Accent5 2 3 8" xfId="8802" xr:uid="{76CCDA6F-59F3-48AC-80E6-061AE2B8C76C}"/>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30F7C44C-49E6-4D7D-904D-3789BD28D29A}"/>
    <cellStyle name="40% - Accent5 2 4 2 3" xfId="11358" xr:uid="{346B60D4-AC4A-47E2-8EC0-1946509F8907}"/>
    <cellStyle name="40% - Accent5 2 4 3" xfId="5002" xr:uid="{00000000-0005-0000-0000-000082060000}"/>
    <cellStyle name="40% - Accent5 2 4 3 2" xfId="13431" xr:uid="{CF9ECA51-1488-44BE-A07E-5E1ED9AF699E}"/>
    <cellStyle name="40% - Accent5 2 4 4" xfId="9213" xr:uid="{751BD81D-04A3-480B-9180-B758F96BBB18}"/>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0F710858-CFD0-4B8E-8135-7DF0E31FB522}"/>
    <cellStyle name="40% - Accent5 2 5 2 3" xfId="11771" xr:uid="{8E6318E7-9A63-43F3-9795-EBFFED7A16A1}"/>
    <cellStyle name="40% - Accent5 2 5 3" xfId="5415" xr:uid="{00000000-0005-0000-0000-000086060000}"/>
    <cellStyle name="40% - Accent5 2 5 3 2" xfId="13844" xr:uid="{3A5A74E9-3F14-4477-9C91-C3143E5B2D73}"/>
    <cellStyle name="40% - Accent5 2 5 4" xfId="9626" xr:uid="{0C6C780D-CC79-4546-B430-90CEAFC9A9FC}"/>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4C3CF13F-666D-4EE8-854C-7F92B54FD266}"/>
    <cellStyle name="40% - Accent5 2 6 2 3" xfId="12184" xr:uid="{09A0C833-D75E-4521-9502-9A153194446B}"/>
    <cellStyle name="40% - Accent5 2 6 3" xfId="5828" xr:uid="{00000000-0005-0000-0000-00008A060000}"/>
    <cellStyle name="40% - Accent5 2 6 3 2" xfId="14257" xr:uid="{562FF2B0-5506-472A-84C4-6E563B09E641}"/>
    <cellStyle name="40% - Accent5 2 6 4" xfId="10039" xr:uid="{87407C0E-760C-4D0C-904C-1D1BE135E23A}"/>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AAD67199-1B12-4EED-BA97-DFA44386978B}"/>
    <cellStyle name="40% - Accent5 2 7 2 3" xfId="12597" xr:uid="{206F6CEB-527F-4E85-94F8-703D6737106E}"/>
    <cellStyle name="40% - Accent5 2 7 3" xfId="6241" xr:uid="{00000000-0005-0000-0000-00008E060000}"/>
    <cellStyle name="40% - Accent5 2 7 3 2" xfId="14670" xr:uid="{BD6A343A-5536-4D7A-8B03-10330C39CBA5}"/>
    <cellStyle name="40% - Accent5 2 7 4" xfId="10452" xr:uid="{79A2F375-ED3F-46B6-BFA0-E144F5F35047}"/>
    <cellStyle name="40% - Accent5 2 8" xfId="2346" xr:uid="{00000000-0005-0000-0000-00008F060000}"/>
    <cellStyle name="40% - Accent5 2 8 2" xfId="6654" xr:uid="{00000000-0005-0000-0000-000090060000}"/>
    <cellStyle name="40% - Accent5 2 8 2 2" xfId="15083" xr:uid="{84F48D79-D8AE-4474-B182-76537FB3AD2C}"/>
    <cellStyle name="40% - Accent5 2 8 3" xfId="10865" xr:uid="{441C8CAB-7CDD-47FC-BBD5-A8A11F4702E0}"/>
    <cellStyle name="40% - Accent5 2 9" xfId="4588" xr:uid="{00000000-0005-0000-0000-000091060000}"/>
    <cellStyle name="40% - Accent5 2 9 2" xfId="13017" xr:uid="{57B71655-8CE1-48DD-9D97-8702CCF59713}"/>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D747D10E-67A3-46F7-B256-8CD9C9BDF5DF}"/>
    <cellStyle name="40% - Accent5 3 2 2 2 3" xfId="11363" xr:uid="{D6B0D761-9BC7-4586-9358-2C421D724C17}"/>
    <cellStyle name="40% - Accent5 3 2 2 3" xfId="5007" xr:uid="{00000000-0005-0000-0000-000097060000}"/>
    <cellStyle name="40% - Accent5 3 2 2 3 2" xfId="13436" xr:uid="{98F0B91B-7D39-409C-9C91-EFFB7DEE4468}"/>
    <cellStyle name="40% - Accent5 3 2 2 4" xfId="9218" xr:uid="{8955C4D9-650E-489D-8BB0-C8AE1196AC58}"/>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04D60C5A-63CA-46FF-8224-EE6995DF0EF2}"/>
    <cellStyle name="40% - Accent5 3 2 3 2 3" xfId="11776" xr:uid="{498C85CE-642B-4F05-96D7-AA72173CEC6E}"/>
    <cellStyle name="40% - Accent5 3 2 3 3" xfId="5420" xr:uid="{00000000-0005-0000-0000-00009B060000}"/>
    <cellStyle name="40% - Accent5 3 2 3 3 2" xfId="13849" xr:uid="{96629D11-1120-4816-ACB8-CBD8CB21D259}"/>
    <cellStyle name="40% - Accent5 3 2 3 4" xfId="9631" xr:uid="{60E479EB-B00C-49BE-983F-250AE47BDCE9}"/>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9FC541C6-52BA-4191-B0A3-F149D6BEAC18}"/>
    <cellStyle name="40% - Accent5 3 2 4 2 3" xfId="12189" xr:uid="{7017DB50-BE2E-4F85-85B9-5136E5356643}"/>
    <cellStyle name="40% - Accent5 3 2 4 3" xfId="5833" xr:uid="{00000000-0005-0000-0000-00009F060000}"/>
    <cellStyle name="40% - Accent5 3 2 4 3 2" xfId="14262" xr:uid="{84B0FD02-84FE-4A60-99BE-844AAF385DB7}"/>
    <cellStyle name="40% - Accent5 3 2 4 4" xfId="10044" xr:uid="{F03C1F8A-958C-48B6-8FBA-FEEED52C8785}"/>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2C2CC2FD-8FD2-4214-8B80-C772F1403F84}"/>
    <cellStyle name="40% - Accent5 3 2 5 2 3" xfId="12602" xr:uid="{EA11A26D-9493-4E94-B1E8-B1DE838B1111}"/>
    <cellStyle name="40% - Accent5 3 2 5 3" xfId="6246" xr:uid="{00000000-0005-0000-0000-0000A3060000}"/>
    <cellStyle name="40% - Accent5 3 2 5 3 2" xfId="14675" xr:uid="{8E60F5CD-6848-4AD5-9955-4E430BA9A816}"/>
    <cellStyle name="40% - Accent5 3 2 5 4" xfId="10457" xr:uid="{80A4072B-CA46-4547-87CD-E3CE15F19A41}"/>
    <cellStyle name="40% - Accent5 3 2 6" xfId="2351" xr:uid="{00000000-0005-0000-0000-0000A4060000}"/>
    <cellStyle name="40% - Accent5 3 2 6 2" xfId="6659" xr:uid="{00000000-0005-0000-0000-0000A5060000}"/>
    <cellStyle name="40% - Accent5 3 2 6 2 2" xfId="15088" xr:uid="{56619860-819C-4D41-A77B-6E2F82A5AD7B}"/>
    <cellStyle name="40% - Accent5 3 2 6 3" xfId="10870" xr:uid="{0917352B-58A6-4AB3-A9F1-330D88B6CE5F}"/>
    <cellStyle name="40% - Accent5 3 2 7" xfId="4593" xr:uid="{00000000-0005-0000-0000-0000A6060000}"/>
    <cellStyle name="40% - Accent5 3 2 7 2" xfId="13022" xr:uid="{E6CAE929-DF48-404D-82DB-EE08FEBFA239}"/>
    <cellStyle name="40% - Accent5 3 2 8" xfId="8804" xr:uid="{19EB7552-F99C-430C-A83D-A97622F2F61B}"/>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8D123E5C-46B8-4AA9-9DBF-B85F0391231B}"/>
    <cellStyle name="40% - Accent5 3 3 2 3" xfId="11362" xr:uid="{D971AF48-EC64-4303-8829-392C177E1A2D}"/>
    <cellStyle name="40% - Accent5 3 3 3" xfId="5006" xr:uid="{00000000-0005-0000-0000-0000AA060000}"/>
    <cellStyle name="40% - Accent5 3 3 3 2" xfId="13435" xr:uid="{DB447F3E-726C-402C-A172-EC35579736C7}"/>
    <cellStyle name="40% - Accent5 3 3 4" xfId="9217" xr:uid="{948CBCA1-3D5B-4AA5-9222-5C142AAD85D4}"/>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A19417E2-78F9-4450-847A-DBF065A44E99}"/>
    <cellStyle name="40% - Accent5 3 4 2 3" xfId="11775" xr:uid="{3AB4BBE3-8704-4A69-938F-23C40A81ABC4}"/>
    <cellStyle name="40% - Accent5 3 4 3" xfId="5419" xr:uid="{00000000-0005-0000-0000-0000AE060000}"/>
    <cellStyle name="40% - Accent5 3 4 3 2" xfId="13848" xr:uid="{28FEBA54-D9E2-4635-B926-0F1D827CC4A5}"/>
    <cellStyle name="40% - Accent5 3 4 4" xfId="9630" xr:uid="{F63B558D-666D-4E10-9143-2F4A571874C0}"/>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804243EC-69F4-4B6C-AFA6-5FC177DC2A83}"/>
    <cellStyle name="40% - Accent5 3 5 2 3" xfId="12188" xr:uid="{36804E10-C6C6-42AA-B326-2CDE17B37DDE}"/>
    <cellStyle name="40% - Accent5 3 5 3" xfId="5832" xr:uid="{00000000-0005-0000-0000-0000B2060000}"/>
    <cellStyle name="40% - Accent5 3 5 3 2" xfId="14261" xr:uid="{515E7353-07EA-4D0E-A486-C37CC4F23523}"/>
    <cellStyle name="40% - Accent5 3 5 4" xfId="10043" xr:uid="{F4A217E6-ECFC-4CC9-A251-66A98B3432CC}"/>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425074CF-DF06-4400-9EC7-CBB96C5C3D30}"/>
    <cellStyle name="40% - Accent5 3 6 2 3" xfId="12601" xr:uid="{CA0D4EC7-CF7B-4074-B07A-4E48C66D037B}"/>
    <cellStyle name="40% - Accent5 3 6 3" xfId="6245" xr:uid="{00000000-0005-0000-0000-0000B6060000}"/>
    <cellStyle name="40% - Accent5 3 6 3 2" xfId="14674" xr:uid="{56CFDCB2-D44A-44C4-810B-AEAE64477E69}"/>
    <cellStyle name="40% - Accent5 3 6 4" xfId="10456" xr:uid="{465E73BD-AFEE-42D3-BAF9-9F0C15CF91B2}"/>
    <cellStyle name="40% - Accent5 3 7" xfId="2350" xr:uid="{00000000-0005-0000-0000-0000B7060000}"/>
    <cellStyle name="40% - Accent5 3 7 2" xfId="6658" xr:uid="{00000000-0005-0000-0000-0000B8060000}"/>
    <cellStyle name="40% - Accent5 3 7 2 2" xfId="15087" xr:uid="{68B9AAE9-A542-49DB-90E5-875F146A8752}"/>
    <cellStyle name="40% - Accent5 3 7 3" xfId="10869" xr:uid="{1D202F2F-CEF8-4B12-9970-9862DEA07D7D}"/>
    <cellStyle name="40% - Accent5 3 8" xfId="4592" xr:uid="{00000000-0005-0000-0000-0000B9060000}"/>
    <cellStyle name="40% - Accent5 3 8 2" xfId="13021" xr:uid="{226E0453-2447-4F1A-A25F-B8AB8355C583}"/>
    <cellStyle name="40% - Accent5 3 9" xfId="8803" xr:uid="{20A10859-CDCE-4B96-A88C-15ED5521A3D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AF83066F-A8D5-4729-B2AE-A38FE4A65D13}"/>
    <cellStyle name="40% - Accent5 4 2 2 3" xfId="11364" xr:uid="{5AFB74CF-CE7D-4E63-86C7-DBD9E4DF4866}"/>
    <cellStyle name="40% - Accent5 4 2 3" xfId="5008" xr:uid="{00000000-0005-0000-0000-0000BE060000}"/>
    <cellStyle name="40% - Accent5 4 2 3 2" xfId="13437" xr:uid="{204648F7-4F42-4C7E-9B43-32B50BFE80D9}"/>
    <cellStyle name="40% - Accent5 4 2 4" xfId="9219" xr:uid="{2EC0C59C-1FB6-40DF-909C-2C68314EBA37}"/>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AA447EFD-DDB7-49A5-9C09-F526EAAA4DB4}"/>
    <cellStyle name="40% - Accent5 4 3 2 3" xfId="11777" xr:uid="{6463E306-A00E-4CD8-8823-838FF79954F7}"/>
    <cellStyle name="40% - Accent5 4 3 3" xfId="5421" xr:uid="{00000000-0005-0000-0000-0000C2060000}"/>
    <cellStyle name="40% - Accent5 4 3 3 2" xfId="13850" xr:uid="{06B94BAE-2DDC-44DF-B934-28B659E55E8E}"/>
    <cellStyle name="40% - Accent5 4 3 4" xfId="9632" xr:uid="{AD7EE386-732E-4ED4-AB9F-62F39B7D4BE4}"/>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0D691B36-6732-4915-8475-F4ECE236DAE5}"/>
    <cellStyle name="40% - Accent5 4 4 2 3" xfId="12190" xr:uid="{3BF6D0D8-20D8-4BDC-881D-6B3D04CB2857}"/>
    <cellStyle name="40% - Accent5 4 4 3" xfId="5834" xr:uid="{00000000-0005-0000-0000-0000C6060000}"/>
    <cellStyle name="40% - Accent5 4 4 3 2" xfId="14263" xr:uid="{6C366721-FAA8-4B4E-9D26-F2F69F458591}"/>
    <cellStyle name="40% - Accent5 4 4 4" xfId="10045" xr:uid="{0F00D2F6-66B9-47E9-AA3E-104D0613A282}"/>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337D7215-BB25-4C1F-A5FC-12B37FA073A2}"/>
    <cellStyle name="40% - Accent5 4 5 2 3" xfId="12603" xr:uid="{DFA0E8FF-1E7D-4323-9F42-920197567484}"/>
    <cellStyle name="40% - Accent5 4 5 3" xfId="6247" xr:uid="{00000000-0005-0000-0000-0000CA060000}"/>
    <cellStyle name="40% - Accent5 4 5 3 2" xfId="14676" xr:uid="{F0DC83DB-49A4-49E2-B100-3CBD0C850D41}"/>
    <cellStyle name="40% - Accent5 4 5 4" xfId="10458" xr:uid="{B74B6A24-3255-43A4-A26F-14F59A7D1B10}"/>
    <cellStyle name="40% - Accent5 4 6" xfId="2352" xr:uid="{00000000-0005-0000-0000-0000CB060000}"/>
    <cellStyle name="40% - Accent5 4 6 2" xfId="6660" xr:uid="{00000000-0005-0000-0000-0000CC060000}"/>
    <cellStyle name="40% - Accent5 4 6 2 2" xfId="15089" xr:uid="{D4F61DBB-C94D-44CB-92F3-284E42C4992C}"/>
    <cellStyle name="40% - Accent5 4 6 3" xfId="10871" xr:uid="{69E1D2F9-AB14-4715-866B-99DC00D82F37}"/>
    <cellStyle name="40% - Accent5 4 7" xfId="4594" xr:uid="{00000000-0005-0000-0000-0000CD060000}"/>
    <cellStyle name="40% - Accent5 4 7 2" xfId="13023" xr:uid="{1D3AE89C-0B1C-4EBD-9859-9811541DDA8D}"/>
    <cellStyle name="40% - Accent5 4 8" xfId="8805" xr:uid="{B19EE785-46DE-4F8D-8A62-232F26590529}"/>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91218BF8-3CC9-49B1-8343-2AD73A032A90}"/>
    <cellStyle name="40% - Accent5 5 2 3" xfId="11357" xr:uid="{B0176AB6-1820-4021-BFE6-8400BE541479}"/>
    <cellStyle name="40% - Accent5 5 3" xfId="5001" xr:uid="{00000000-0005-0000-0000-0000D1060000}"/>
    <cellStyle name="40% - Accent5 5 3 2" xfId="13430" xr:uid="{8988871F-5073-4EB1-9FC8-DF725B117F34}"/>
    <cellStyle name="40% - Accent5 5 4" xfId="9212" xr:uid="{3ED32D52-5CC7-49D5-AEED-2C1F3034F818}"/>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82394B78-AA03-406F-87E0-E10A3772A2CB}"/>
    <cellStyle name="40% - Accent5 6 2 3" xfId="11770" xr:uid="{A0573C17-228A-48ED-BC82-BE73572C765B}"/>
    <cellStyle name="40% - Accent5 6 3" xfId="5414" xr:uid="{00000000-0005-0000-0000-0000D5060000}"/>
    <cellStyle name="40% - Accent5 6 3 2" xfId="13843" xr:uid="{372C59FF-3065-4368-BA18-7F73ED11CFC0}"/>
    <cellStyle name="40% - Accent5 6 4" xfId="9625" xr:uid="{71450CE6-8DB2-40D4-BF82-86BC8C0329E5}"/>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DDBC2C3D-0001-423A-AA98-11487B1E5024}"/>
    <cellStyle name="40% - Accent5 7 2 3" xfId="12183" xr:uid="{351067C6-DA2D-4955-8359-4484C6A21884}"/>
    <cellStyle name="40% - Accent5 7 3" xfId="5827" xr:uid="{00000000-0005-0000-0000-0000D9060000}"/>
    <cellStyle name="40% - Accent5 7 3 2" xfId="14256" xr:uid="{C9B53E60-4FBC-4BAA-93F1-EF2514E89503}"/>
    <cellStyle name="40% - Accent5 7 4" xfId="10038" xr:uid="{8C4AA6BC-B24C-4752-9AD9-222B708A40E9}"/>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1CFDFA30-CEEC-44E8-9448-357F01905E06}"/>
    <cellStyle name="40% - Accent5 8 2 3" xfId="12596" xr:uid="{83057D3D-B8EE-41A4-81EC-E9A5797D4135}"/>
    <cellStyle name="40% - Accent5 8 3" xfId="6240" xr:uid="{00000000-0005-0000-0000-0000DD060000}"/>
    <cellStyle name="40% - Accent5 8 3 2" xfId="14669" xr:uid="{C5519BE8-1A76-4476-849F-E2F984AD27C3}"/>
    <cellStyle name="40% - Accent5 8 4" xfId="10451" xr:uid="{0DECE886-C874-4C0D-98E2-6E180F7E257C}"/>
    <cellStyle name="40% - Accent5 9" xfId="2345" xr:uid="{00000000-0005-0000-0000-0000DE060000}"/>
    <cellStyle name="40% - Accent5 9 2" xfId="6653" xr:uid="{00000000-0005-0000-0000-0000DF060000}"/>
    <cellStyle name="40% - Accent5 9 2 2" xfId="15082" xr:uid="{F4F152B3-3DC5-4024-BAAD-9474E485E305}"/>
    <cellStyle name="40% - Accent5 9 3" xfId="10864" xr:uid="{728C323D-2EC7-4FD8-96D2-0B6296E490DD}"/>
    <cellStyle name="40% - Accent6" xfId="89" builtinId="51" customBuiltin="1"/>
    <cellStyle name="40% - Accent6 10" xfId="4595" xr:uid="{00000000-0005-0000-0000-0000E1060000}"/>
    <cellStyle name="40% - Accent6 10 2" xfId="13024" xr:uid="{7BE05BF6-A698-4D0D-AD79-A55C9FD0CE8E}"/>
    <cellStyle name="40% - Accent6 11" xfId="8806" xr:uid="{16928B7A-EA5A-4669-B2B2-2672D7BF2235}"/>
    <cellStyle name="40% - Accent6 2" xfId="90" xr:uid="{00000000-0005-0000-0000-0000E2060000}"/>
    <cellStyle name="40% - Accent6 2 10" xfId="8807" xr:uid="{FEE8DACF-56FA-45C9-B74C-F2BF708C1A5E}"/>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AA1E1270-98D2-4EF2-ABAB-F5363F25E2B3}"/>
    <cellStyle name="40% - Accent6 2 2 2 2 2 3" xfId="11368" xr:uid="{00B22164-9A8A-4A61-BFF9-F4F0305E6E1A}"/>
    <cellStyle name="40% - Accent6 2 2 2 2 3" xfId="5012" xr:uid="{00000000-0005-0000-0000-0000E8060000}"/>
    <cellStyle name="40% - Accent6 2 2 2 2 3 2" xfId="13441" xr:uid="{5C426763-41B2-48CF-B6D5-D79D5203D6E6}"/>
    <cellStyle name="40% - Accent6 2 2 2 2 4" xfId="9223" xr:uid="{C00D24E3-7C6E-40C3-A4AF-5641F4DEBF29}"/>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AAB89374-F948-44EB-83F9-9959BC3A4CAC}"/>
    <cellStyle name="40% - Accent6 2 2 2 3 2 3" xfId="11781" xr:uid="{612EE9FE-152A-4964-8118-EFBF02B5A148}"/>
    <cellStyle name="40% - Accent6 2 2 2 3 3" xfId="5425" xr:uid="{00000000-0005-0000-0000-0000EC060000}"/>
    <cellStyle name="40% - Accent6 2 2 2 3 3 2" xfId="13854" xr:uid="{0DECA44B-3CA6-4E96-9717-4C48510C9469}"/>
    <cellStyle name="40% - Accent6 2 2 2 3 4" xfId="9636" xr:uid="{2F1B23EC-984C-4A82-B38A-D90738A72DF4}"/>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43331B01-D4AF-48D2-89D1-683B94024061}"/>
    <cellStyle name="40% - Accent6 2 2 2 4 2 3" xfId="12194" xr:uid="{14FC5B73-AFAF-4A76-812C-BF281F2EC4E1}"/>
    <cellStyle name="40% - Accent6 2 2 2 4 3" xfId="5838" xr:uid="{00000000-0005-0000-0000-0000F0060000}"/>
    <cellStyle name="40% - Accent6 2 2 2 4 3 2" xfId="14267" xr:uid="{94493965-2E6F-4406-8821-1C71D75F10DE}"/>
    <cellStyle name="40% - Accent6 2 2 2 4 4" xfId="10049" xr:uid="{E3A6FA01-B092-49F0-AD31-3A82E06D299E}"/>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C84BD8FF-11F5-4477-A1D2-4856C4E4C3B7}"/>
    <cellStyle name="40% - Accent6 2 2 2 5 2 3" xfId="12607" xr:uid="{881489C9-2548-4D43-B2DE-8C9A981A79F1}"/>
    <cellStyle name="40% - Accent6 2 2 2 5 3" xfId="6251" xr:uid="{00000000-0005-0000-0000-0000F4060000}"/>
    <cellStyle name="40% - Accent6 2 2 2 5 3 2" xfId="14680" xr:uid="{D31682FC-99A4-4238-A873-1B995CB54528}"/>
    <cellStyle name="40% - Accent6 2 2 2 5 4" xfId="10462" xr:uid="{C4DD586F-FDAE-45EF-A939-C39BD59A68F4}"/>
    <cellStyle name="40% - Accent6 2 2 2 6" xfId="2356" xr:uid="{00000000-0005-0000-0000-0000F5060000}"/>
    <cellStyle name="40% - Accent6 2 2 2 6 2" xfId="6664" xr:uid="{00000000-0005-0000-0000-0000F6060000}"/>
    <cellStyle name="40% - Accent6 2 2 2 6 2 2" xfId="15093" xr:uid="{F9D8DF95-E9EB-4169-9216-35F3BF58ECCE}"/>
    <cellStyle name="40% - Accent6 2 2 2 6 3" xfId="10875" xr:uid="{2EEFCBD7-47F7-42E6-A3AD-7D200C32E108}"/>
    <cellStyle name="40% - Accent6 2 2 2 7" xfId="4598" xr:uid="{00000000-0005-0000-0000-0000F7060000}"/>
    <cellStyle name="40% - Accent6 2 2 2 7 2" xfId="13027" xr:uid="{79CFC9E8-9921-428F-80C6-AF8B0CAB0483}"/>
    <cellStyle name="40% - Accent6 2 2 2 8" xfId="8809" xr:uid="{393D45D2-3FE4-4C7D-ACDD-8CA1A4E8FA4E}"/>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3FD04F61-3784-4542-BC6D-54EFB0772654}"/>
    <cellStyle name="40% - Accent6 2 2 3 2 3" xfId="11367" xr:uid="{557E1636-B537-44E6-95EC-BA3E4DBBDA52}"/>
    <cellStyle name="40% - Accent6 2 2 3 3" xfId="5011" xr:uid="{00000000-0005-0000-0000-0000FB060000}"/>
    <cellStyle name="40% - Accent6 2 2 3 3 2" xfId="13440" xr:uid="{72368A79-4B13-4FEC-9692-9423B9E9DB6D}"/>
    <cellStyle name="40% - Accent6 2 2 3 4" xfId="9222" xr:uid="{ACC17FE8-A812-4479-AE7B-2AD8C99FE038}"/>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6A02AEB8-006F-4E10-AD76-9D4C9D635850}"/>
    <cellStyle name="40% - Accent6 2 2 4 2 3" xfId="11780" xr:uid="{6E5D6544-2E45-4082-8075-E5C0CF3B8426}"/>
    <cellStyle name="40% - Accent6 2 2 4 3" xfId="5424" xr:uid="{00000000-0005-0000-0000-0000FF060000}"/>
    <cellStyle name="40% - Accent6 2 2 4 3 2" xfId="13853" xr:uid="{1C3E3CFE-A986-4E82-A2CF-FEF5327F2CAD}"/>
    <cellStyle name="40% - Accent6 2 2 4 4" xfId="9635" xr:uid="{B7D06F62-B916-410B-ABCF-6F92AD663CCC}"/>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0ADA1033-2962-4D1F-9446-4F9D8A08E5CF}"/>
    <cellStyle name="40% - Accent6 2 2 5 2 3" xfId="12193" xr:uid="{EFD898D3-CBF4-4162-A7C7-09D27B73E5CC}"/>
    <cellStyle name="40% - Accent6 2 2 5 3" xfId="5837" xr:uid="{00000000-0005-0000-0000-000003070000}"/>
    <cellStyle name="40% - Accent6 2 2 5 3 2" xfId="14266" xr:uid="{2937BC3D-70F6-4F23-8D42-C7C6C59FF084}"/>
    <cellStyle name="40% - Accent6 2 2 5 4" xfId="10048" xr:uid="{8507818B-FA19-48C1-8272-6EB6226B4D20}"/>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A4C1D676-730A-4996-9B1F-09713461B61D}"/>
    <cellStyle name="40% - Accent6 2 2 6 2 3" xfId="12606" xr:uid="{06379EAA-1FE2-4B06-AFD5-D024C246C123}"/>
    <cellStyle name="40% - Accent6 2 2 6 3" xfId="6250" xr:uid="{00000000-0005-0000-0000-000007070000}"/>
    <cellStyle name="40% - Accent6 2 2 6 3 2" xfId="14679" xr:uid="{F8AEEB5E-2BDF-4B6A-9DE9-BD0432DBC70B}"/>
    <cellStyle name="40% - Accent6 2 2 6 4" xfId="10461" xr:uid="{2037C424-F3F4-414A-89EC-5DE2D963A2EC}"/>
    <cellStyle name="40% - Accent6 2 2 7" xfId="2355" xr:uid="{00000000-0005-0000-0000-000008070000}"/>
    <cellStyle name="40% - Accent6 2 2 7 2" xfId="6663" xr:uid="{00000000-0005-0000-0000-000009070000}"/>
    <cellStyle name="40% - Accent6 2 2 7 2 2" xfId="15092" xr:uid="{A9355DF7-EBBE-4B3C-9656-76EA8E63B9CA}"/>
    <cellStyle name="40% - Accent6 2 2 7 3" xfId="10874" xr:uid="{A94571D1-8978-402C-A0FB-59D33E62F094}"/>
    <cellStyle name="40% - Accent6 2 2 8" xfId="4597" xr:uid="{00000000-0005-0000-0000-00000A070000}"/>
    <cellStyle name="40% - Accent6 2 2 8 2" xfId="13026" xr:uid="{0AECD5F7-2C8C-494F-BE4B-6A9F3EFEA1D3}"/>
    <cellStyle name="40% - Accent6 2 2 9" xfId="8808" xr:uid="{02BCBB7B-84D6-415A-A59D-6436B9360C54}"/>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C622E128-80A7-4333-BBE8-9EFFFD8191D2}"/>
    <cellStyle name="40% - Accent6 2 3 2 2 3" xfId="11369" xr:uid="{83576355-5971-4968-B057-1F6E4D84B0CC}"/>
    <cellStyle name="40% - Accent6 2 3 2 3" xfId="5013" xr:uid="{00000000-0005-0000-0000-00000F070000}"/>
    <cellStyle name="40% - Accent6 2 3 2 3 2" xfId="13442" xr:uid="{F8041B06-84F7-4FB1-A6D0-CA67C1D4A8FB}"/>
    <cellStyle name="40% - Accent6 2 3 2 4" xfId="9224" xr:uid="{507C356C-9D3E-4B94-BE85-C5133E4122C7}"/>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630BCC90-BADD-47A0-A03D-42B6B8B0A00D}"/>
    <cellStyle name="40% - Accent6 2 3 3 2 3" xfId="11782" xr:uid="{D075D129-03A3-4EB3-8ED9-20F2250B1ADF}"/>
    <cellStyle name="40% - Accent6 2 3 3 3" xfId="5426" xr:uid="{00000000-0005-0000-0000-000013070000}"/>
    <cellStyle name="40% - Accent6 2 3 3 3 2" xfId="13855" xr:uid="{2C14B355-C772-41E4-B340-953098879123}"/>
    <cellStyle name="40% - Accent6 2 3 3 4" xfId="9637" xr:uid="{3E512598-5532-4F0C-A61C-1709B7637271}"/>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D73331A2-3BD2-4F3A-8EF7-23F8E6AC1BB5}"/>
    <cellStyle name="40% - Accent6 2 3 4 2 3" xfId="12195" xr:uid="{62CEEF76-7198-40E8-9FE5-478F6AEFC5B8}"/>
    <cellStyle name="40% - Accent6 2 3 4 3" xfId="5839" xr:uid="{00000000-0005-0000-0000-000017070000}"/>
    <cellStyle name="40% - Accent6 2 3 4 3 2" xfId="14268" xr:uid="{E453D034-2F24-4AE7-8372-EA9FE32FA9E4}"/>
    <cellStyle name="40% - Accent6 2 3 4 4" xfId="10050" xr:uid="{16814989-26F1-4E63-8A15-B729AB5F80A0}"/>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BA23911C-B292-4D22-989A-3C1D542E09BB}"/>
    <cellStyle name="40% - Accent6 2 3 5 2 3" xfId="12608" xr:uid="{7271AEC1-6611-402A-AC1F-D8C97E5FBCB5}"/>
    <cellStyle name="40% - Accent6 2 3 5 3" xfId="6252" xr:uid="{00000000-0005-0000-0000-00001B070000}"/>
    <cellStyle name="40% - Accent6 2 3 5 3 2" xfId="14681" xr:uid="{FDE2088C-BAF2-4852-AC2B-5E20B92ECF43}"/>
    <cellStyle name="40% - Accent6 2 3 5 4" xfId="10463" xr:uid="{CB286A1F-6DD8-4EF4-B9CA-0B2AA5679ADD}"/>
    <cellStyle name="40% - Accent6 2 3 6" xfId="2357" xr:uid="{00000000-0005-0000-0000-00001C070000}"/>
    <cellStyle name="40% - Accent6 2 3 6 2" xfId="6665" xr:uid="{00000000-0005-0000-0000-00001D070000}"/>
    <cellStyle name="40% - Accent6 2 3 6 2 2" xfId="15094" xr:uid="{543E37C7-F0E3-470B-9C32-7A807D584249}"/>
    <cellStyle name="40% - Accent6 2 3 6 3" xfId="10876" xr:uid="{5B5C0011-6BCC-4712-AE77-619A02778FD3}"/>
    <cellStyle name="40% - Accent6 2 3 7" xfId="4599" xr:uid="{00000000-0005-0000-0000-00001E070000}"/>
    <cellStyle name="40% - Accent6 2 3 7 2" xfId="13028" xr:uid="{467BAFEE-E344-401C-9F9C-181C14EC0DC1}"/>
    <cellStyle name="40% - Accent6 2 3 8" xfId="8810" xr:uid="{F8301A53-03A3-4D93-A600-4347E5FF16D1}"/>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74E871BB-DE05-49B7-8DA5-23F7D67BA03B}"/>
    <cellStyle name="40% - Accent6 2 4 2 3" xfId="11366" xr:uid="{E114FE81-7DCB-4A20-81F9-C8C055C3E1A3}"/>
    <cellStyle name="40% - Accent6 2 4 3" xfId="5010" xr:uid="{00000000-0005-0000-0000-000022070000}"/>
    <cellStyle name="40% - Accent6 2 4 3 2" xfId="13439" xr:uid="{A3ED33CF-679E-48D8-B82C-7027F19397FF}"/>
    <cellStyle name="40% - Accent6 2 4 4" xfId="9221" xr:uid="{0F822B07-BE9D-4F41-B574-DDA399ED20DE}"/>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38A1934E-6C5D-47C9-B7BB-CA0797C323CD}"/>
    <cellStyle name="40% - Accent6 2 5 2 3" xfId="11779" xr:uid="{C7A4C4CC-5B7D-44C1-84C4-DCD7BAC48594}"/>
    <cellStyle name="40% - Accent6 2 5 3" xfId="5423" xr:uid="{00000000-0005-0000-0000-000026070000}"/>
    <cellStyle name="40% - Accent6 2 5 3 2" xfId="13852" xr:uid="{7E21E182-BDA0-4C51-A57E-8AC169397A8A}"/>
    <cellStyle name="40% - Accent6 2 5 4" xfId="9634" xr:uid="{E4B9CA0D-EAFB-41E3-9F65-8D6639FA7593}"/>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9AA51F3C-2C47-4271-A126-8382AC42D650}"/>
    <cellStyle name="40% - Accent6 2 6 2 3" xfId="12192" xr:uid="{A24D686B-B1CF-49E5-9CFC-CDFE6427CF1C}"/>
    <cellStyle name="40% - Accent6 2 6 3" xfId="5836" xr:uid="{00000000-0005-0000-0000-00002A070000}"/>
    <cellStyle name="40% - Accent6 2 6 3 2" xfId="14265" xr:uid="{39FA6FB9-9268-43BB-B82B-F51539A42CBE}"/>
    <cellStyle name="40% - Accent6 2 6 4" xfId="10047" xr:uid="{9BEED728-9BF2-4286-9579-9448681B17C8}"/>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F982E810-7D60-4325-8587-075D79637EC7}"/>
    <cellStyle name="40% - Accent6 2 7 2 3" xfId="12605" xr:uid="{D620CD11-2200-4A6C-A7FB-954CC4BB04C4}"/>
    <cellStyle name="40% - Accent6 2 7 3" xfId="6249" xr:uid="{00000000-0005-0000-0000-00002E070000}"/>
    <cellStyle name="40% - Accent6 2 7 3 2" xfId="14678" xr:uid="{6608A078-904D-46AB-B565-BAF82CBD41ED}"/>
    <cellStyle name="40% - Accent6 2 7 4" xfId="10460" xr:uid="{578191A4-2EA3-4666-9CD5-2333EE69AB03}"/>
    <cellStyle name="40% - Accent6 2 8" xfId="2354" xr:uid="{00000000-0005-0000-0000-00002F070000}"/>
    <cellStyle name="40% - Accent6 2 8 2" xfId="6662" xr:uid="{00000000-0005-0000-0000-000030070000}"/>
    <cellStyle name="40% - Accent6 2 8 2 2" xfId="15091" xr:uid="{CF395D98-F2F6-4697-BB97-2AE7D2AEA637}"/>
    <cellStyle name="40% - Accent6 2 8 3" xfId="10873" xr:uid="{281D30EC-A155-4745-B7D4-21C0EC113F4B}"/>
    <cellStyle name="40% - Accent6 2 9" xfId="4596" xr:uid="{00000000-0005-0000-0000-000031070000}"/>
    <cellStyle name="40% - Accent6 2 9 2" xfId="13025" xr:uid="{68FCED73-F355-4F07-8451-884DDD594CC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EB1CA33E-BEB5-4330-9972-F774DEA0B91D}"/>
    <cellStyle name="40% - Accent6 3 2 2 2 3" xfId="11371" xr:uid="{DCAFA184-53F8-43D0-9703-822C83677F5E}"/>
    <cellStyle name="40% - Accent6 3 2 2 3" xfId="5015" xr:uid="{00000000-0005-0000-0000-000037070000}"/>
    <cellStyle name="40% - Accent6 3 2 2 3 2" xfId="13444" xr:uid="{9E746AAB-19E3-49C6-A4FE-026467BA37A1}"/>
    <cellStyle name="40% - Accent6 3 2 2 4" xfId="9226" xr:uid="{68DD1A0D-2076-455F-9D5B-A7CB707EA873}"/>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12019BF7-DEB8-4792-9B8C-BC1FDC2E296A}"/>
    <cellStyle name="40% - Accent6 3 2 3 2 3" xfId="11784" xr:uid="{2122A564-8D8B-4729-8440-1CE6981AC3B2}"/>
    <cellStyle name="40% - Accent6 3 2 3 3" xfId="5428" xr:uid="{00000000-0005-0000-0000-00003B070000}"/>
    <cellStyle name="40% - Accent6 3 2 3 3 2" xfId="13857" xr:uid="{3CFAC3D2-A1FF-435E-B074-7982DC5793F2}"/>
    <cellStyle name="40% - Accent6 3 2 3 4" xfId="9639" xr:uid="{520A2C25-04DB-478F-8D57-370068F71520}"/>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550133EB-B2D2-43C7-A945-DD5F90081D2B}"/>
    <cellStyle name="40% - Accent6 3 2 4 2 3" xfId="12197" xr:uid="{FD4D1D7C-B97D-4358-ACC5-82326583F3EE}"/>
    <cellStyle name="40% - Accent6 3 2 4 3" xfId="5841" xr:uid="{00000000-0005-0000-0000-00003F070000}"/>
    <cellStyle name="40% - Accent6 3 2 4 3 2" xfId="14270" xr:uid="{91197099-9C01-4208-94C6-47C4DCCAFF1D}"/>
    <cellStyle name="40% - Accent6 3 2 4 4" xfId="10052" xr:uid="{17CF81AC-3E41-4885-BAC0-5B8012D72B5B}"/>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059552CA-E65E-49DF-8C27-3AF4F7AB15C2}"/>
    <cellStyle name="40% - Accent6 3 2 5 2 3" xfId="12610" xr:uid="{775E1FE2-8E3E-4D85-BD0B-643FBBDFA474}"/>
    <cellStyle name="40% - Accent6 3 2 5 3" xfId="6254" xr:uid="{00000000-0005-0000-0000-000043070000}"/>
    <cellStyle name="40% - Accent6 3 2 5 3 2" xfId="14683" xr:uid="{BEEF02CD-1A6D-44FB-91BD-6096A8695A45}"/>
    <cellStyle name="40% - Accent6 3 2 5 4" xfId="10465" xr:uid="{E484019A-2F56-4F91-A93E-DFCBC3F72FE8}"/>
    <cellStyle name="40% - Accent6 3 2 6" xfId="2359" xr:uid="{00000000-0005-0000-0000-000044070000}"/>
    <cellStyle name="40% - Accent6 3 2 6 2" xfId="6667" xr:uid="{00000000-0005-0000-0000-000045070000}"/>
    <cellStyle name="40% - Accent6 3 2 6 2 2" xfId="15096" xr:uid="{F29F578F-525F-4707-AD39-AE4E800D6972}"/>
    <cellStyle name="40% - Accent6 3 2 6 3" xfId="10878" xr:uid="{DFA8894D-2D0A-4794-9ED6-80B656B3C27A}"/>
    <cellStyle name="40% - Accent6 3 2 7" xfId="4601" xr:uid="{00000000-0005-0000-0000-000046070000}"/>
    <cellStyle name="40% - Accent6 3 2 7 2" xfId="13030" xr:uid="{CEA89089-92AD-400E-8E2E-5A7892EA3C10}"/>
    <cellStyle name="40% - Accent6 3 2 8" xfId="8812" xr:uid="{3AB47DB0-8FC7-4299-9C8E-44CA9F5C00AF}"/>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16B73A5E-C0C2-4564-B46F-1E8221B56B82}"/>
    <cellStyle name="40% - Accent6 3 3 2 3" xfId="11370" xr:uid="{CA50CFAF-E035-4A87-9E06-C6B06FFBB8A4}"/>
    <cellStyle name="40% - Accent6 3 3 3" xfId="5014" xr:uid="{00000000-0005-0000-0000-00004A070000}"/>
    <cellStyle name="40% - Accent6 3 3 3 2" xfId="13443" xr:uid="{A11788AC-09D9-4287-8544-34C1E922B806}"/>
    <cellStyle name="40% - Accent6 3 3 4" xfId="9225" xr:uid="{74E8D01F-339F-4DDC-90F0-9342AE19A9B7}"/>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C2569B9D-54D5-4DC1-83D0-EDE9311ACED4}"/>
    <cellStyle name="40% - Accent6 3 4 2 3" xfId="11783" xr:uid="{96796FBD-A78E-437D-9946-A76073FFC75F}"/>
    <cellStyle name="40% - Accent6 3 4 3" xfId="5427" xr:uid="{00000000-0005-0000-0000-00004E070000}"/>
    <cellStyle name="40% - Accent6 3 4 3 2" xfId="13856" xr:uid="{00B7F03B-EB29-42D4-A5C4-27AC934E5406}"/>
    <cellStyle name="40% - Accent6 3 4 4" xfId="9638" xr:uid="{2B13B1B9-27EA-4C96-B838-411A7E99CD57}"/>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0AA4B75A-B96D-4897-B55E-3451CBA8A373}"/>
    <cellStyle name="40% - Accent6 3 5 2 3" xfId="12196" xr:uid="{8720E60D-D1AA-4C93-BEC6-9E765CBB70C1}"/>
    <cellStyle name="40% - Accent6 3 5 3" xfId="5840" xr:uid="{00000000-0005-0000-0000-000052070000}"/>
    <cellStyle name="40% - Accent6 3 5 3 2" xfId="14269" xr:uid="{B114FD95-15BF-4FF2-83CD-C85B8C9174B6}"/>
    <cellStyle name="40% - Accent6 3 5 4" xfId="10051" xr:uid="{B9CE691C-76BF-4BBE-941E-3828D4E28220}"/>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D8955582-787A-4AA7-9FC4-6EE8C0C07BE9}"/>
    <cellStyle name="40% - Accent6 3 6 2 3" xfId="12609" xr:uid="{457CCF5C-64AC-4C25-A1C6-EA95818B93DB}"/>
    <cellStyle name="40% - Accent6 3 6 3" xfId="6253" xr:uid="{00000000-0005-0000-0000-000056070000}"/>
    <cellStyle name="40% - Accent6 3 6 3 2" xfId="14682" xr:uid="{E3D34E71-EA09-42A9-893E-A73C34981AEB}"/>
    <cellStyle name="40% - Accent6 3 6 4" xfId="10464" xr:uid="{7F463E55-3BE6-4A3B-A431-93F3CED41AE8}"/>
    <cellStyle name="40% - Accent6 3 7" xfId="2358" xr:uid="{00000000-0005-0000-0000-000057070000}"/>
    <cellStyle name="40% - Accent6 3 7 2" xfId="6666" xr:uid="{00000000-0005-0000-0000-000058070000}"/>
    <cellStyle name="40% - Accent6 3 7 2 2" xfId="15095" xr:uid="{F9169AD0-D5AC-4225-B5F4-6B62777A64B3}"/>
    <cellStyle name="40% - Accent6 3 7 3" xfId="10877" xr:uid="{72B56EAF-D7D0-4EE2-A414-6A480083B111}"/>
    <cellStyle name="40% - Accent6 3 8" xfId="4600" xr:uid="{00000000-0005-0000-0000-000059070000}"/>
    <cellStyle name="40% - Accent6 3 8 2" xfId="13029" xr:uid="{E51DEB54-236D-4A1D-A61E-65BFFDB5BDAE}"/>
    <cellStyle name="40% - Accent6 3 9" xfId="8811" xr:uid="{18E300CE-3605-4FC6-8D30-C8A51CA2ACF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74CF8DD6-F775-4D70-8117-41C5A536EC93}"/>
    <cellStyle name="40% - Accent6 4 2 2 3" xfId="11372" xr:uid="{CF58931A-EFB1-4135-B233-825C809A056A}"/>
    <cellStyle name="40% - Accent6 4 2 3" xfId="5016" xr:uid="{00000000-0005-0000-0000-00005E070000}"/>
    <cellStyle name="40% - Accent6 4 2 3 2" xfId="13445" xr:uid="{AB2A5D4B-FB3D-4015-AFB9-6953C31F78A2}"/>
    <cellStyle name="40% - Accent6 4 2 4" xfId="9227" xr:uid="{A89CA41B-FA76-49F5-874F-D74784D4D8CC}"/>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91DB9DF6-F469-4A25-8BE2-D574703F58E0}"/>
    <cellStyle name="40% - Accent6 4 3 2 3" xfId="11785" xr:uid="{A6B05048-4071-4A07-8345-028D835AD948}"/>
    <cellStyle name="40% - Accent6 4 3 3" xfId="5429" xr:uid="{00000000-0005-0000-0000-000062070000}"/>
    <cellStyle name="40% - Accent6 4 3 3 2" xfId="13858" xr:uid="{616543AD-B233-412B-8E84-02FEED8893C3}"/>
    <cellStyle name="40% - Accent6 4 3 4" xfId="9640" xr:uid="{15B5A78F-769E-466D-B626-81129A63413F}"/>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7797A999-342A-4184-B766-E65C35F03A28}"/>
    <cellStyle name="40% - Accent6 4 4 2 3" xfId="12198" xr:uid="{B9DB7FD5-CC33-41D5-A8ED-5C2A9F2E281F}"/>
    <cellStyle name="40% - Accent6 4 4 3" xfId="5842" xr:uid="{00000000-0005-0000-0000-000066070000}"/>
    <cellStyle name="40% - Accent6 4 4 3 2" xfId="14271" xr:uid="{7475DAF0-FCC7-4946-B8F5-22D228FAD6B2}"/>
    <cellStyle name="40% - Accent6 4 4 4" xfId="10053" xr:uid="{1E6DDFDB-24E7-4AF0-968B-D827B68ED77F}"/>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F24691BE-B584-4841-B7AC-88447C27F4B4}"/>
    <cellStyle name="40% - Accent6 4 5 2 3" xfId="12611" xr:uid="{10B61A19-8A7F-4F9E-ABA4-CE3DE8B0F7E6}"/>
    <cellStyle name="40% - Accent6 4 5 3" xfId="6255" xr:uid="{00000000-0005-0000-0000-00006A070000}"/>
    <cellStyle name="40% - Accent6 4 5 3 2" xfId="14684" xr:uid="{CE34287E-A467-493E-B44C-F4A54327AC5C}"/>
    <cellStyle name="40% - Accent6 4 5 4" xfId="10466" xr:uid="{08E71E64-01D7-4DF4-BDC9-916335FEA0E4}"/>
    <cellStyle name="40% - Accent6 4 6" xfId="2360" xr:uid="{00000000-0005-0000-0000-00006B070000}"/>
    <cellStyle name="40% - Accent6 4 6 2" xfId="6668" xr:uid="{00000000-0005-0000-0000-00006C070000}"/>
    <cellStyle name="40% - Accent6 4 6 2 2" xfId="15097" xr:uid="{0A12D5E2-2D7C-4448-A642-5AC16593F806}"/>
    <cellStyle name="40% - Accent6 4 6 3" xfId="10879" xr:uid="{5E2CD708-772B-4EDC-858D-6751C9F8B676}"/>
    <cellStyle name="40% - Accent6 4 7" xfId="4602" xr:uid="{00000000-0005-0000-0000-00006D070000}"/>
    <cellStyle name="40% - Accent6 4 7 2" xfId="13031" xr:uid="{8546A39D-B821-4998-ABC9-B9E5DC0C32CC}"/>
    <cellStyle name="40% - Accent6 4 8" xfId="8813" xr:uid="{71512048-B867-4144-9CCB-8E84B2FD0A59}"/>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2F86014E-A2B5-40CB-8683-4776C8A8B990}"/>
    <cellStyle name="40% - Accent6 5 2 3" xfId="11365" xr:uid="{4679A05F-465C-468F-BD7E-6BAB0B65E3D4}"/>
    <cellStyle name="40% - Accent6 5 3" xfId="5009" xr:uid="{00000000-0005-0000-0000-000071070000}"/>
    <cellStyle name="40% - Accent6 5 3 2" xfId="13438" xr:uid="{606F5231-195A-4D70-988C-8191D922856D}"/>
    <cellStyle name="40% - Accent6 5 4" xfId="9220" xr:uid="{62A69B4A-433D-4E48-86AD-9DBF9A063166}"/>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F1541E9A-FFF4-449D-9457-1C3093AEAF72}"/>
    <cellStyle name="40% - Accent6 6 2 3" xfId="11778" xr:uid="{7F572A2F-B184-4F8E-AF49-AC9045D30220}"/>
    <cellStyle name="40% - Accent6 6 3" xfId="5422" xr:uid="{00000000-0005-0000-0000-000075070000}"/>
    <cellStyle name="40% - Accent6 6 3 2" xfId="13851" xr:uid="{D200A920-6CAC-4391-ADFF-97825D7FAA39}"/>
    <cellStyle name="40% - Accent6 6 4" xfId="9633" xr:uid="{F0F2AF7B-6C5D-4209-9CA8-C690AA450BED}"/>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252E0CF7-832C-41A8-956C-359F117B4198}"/>
    <cellStyle name="40% - Accent6 7 2 3" xfId="12191" xr:uid="{6673A0D2-775E-4120-9F97-AC3BC20014C0}"/>
    <cellStyle name="40% - Accent6 7 3" xfId="5835" xr:uid="{00000000-0005-0000-0000-000079070000}"/>
    <cellStyle name="40% - Accent6 7 3 2" xfId="14264" xr:uid="{4721B2E9-F522-4DD0-BC25-CCD808634B50}"/>
    <cellStyle name="40% - Accent6 7 4" xfId="10046" xr:uid="{2F400577-273F-4DC5-A877-BC94A2589179}"/>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62CA4640-198F-4A9F-ACDC-5D2A8CDC011B}"/>
    <cellStyle name="40% - Accent6 8 2 3" xfId="12604" xr:uid="{9F188963-0211-4021-A43E-9A96DD4B31B1}"/>
    <cellStyle name="40% - Accent6 8 3" xfId="6248" xr:uid="{00000000-0005-0000-0000-00007D070000}"/>
    <cellStyle name="40% - Accent6 8 3 2" xfId="14677" xr:uid="{6C570589-DA80-43AF-860E-8743A545D7C8}"/>
    <cellStyle name="40% - Accent6 8 4" xfId="10459" xr:uid="{0580DC8D-2D6C-4374-AF50-C815698AA5C3}"/>
    <cellStyle name="40% - Accent6 9" xfId="2353" xr:uid="{00000000-0005-0000-0000-00007E070000}"/>
    <cellStyle name="40% - Accent6 9 2" xfId="6661" xr:uid="{00000000-0005-0000-0000-00007F070000}"/>
    <cellStyle name="40% - Accent6 9 2 2" xfId="15090" xr:uid="{F8A53C9D-DE5A-42E1-A891-12CD40CA98F5}"/>
    <cellStyle name="40% - Accent6 9 3" xfId="10872" xr:uid="{08259E2E-8646-4C69-A5E6-6486BD355E1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5B8C90D3-DE0E-41C4-B2BD-6ADEC1C6D6BF}"/>
    <cellStyle name="Comma 4 2 2 2 10 3" xfId="11197" xr:uid="{996B6F18-EA3A-41C0-8485-294451A53BDE}"/>
    <cellStyle name="Comma 4 2 2 2 11" xfId="4603" xr:uid="{00000000-0005-0000-0000-0000A3070000}"/>
    <cellStyle name="Comma 4 2 2 2 11 2" xfId="13032" xr:uid="{56532769-5302-4D89-AB63-005F7FD566D8}"/>
    <cellStyle name="Comma 4 2 2 2 12" xfId="8814" xr:uid="{51247BFC-E49E-45A4-A589-8AC068ACFABF}"/>
    <cellStyle name="Comma 4 2 2 2 2" xfId="129" xr:uid="{00000000-0005-0000-0000-0000A4070000}"/>
    <cellStyle name="Comma 4 2 2 2 2 10" xfId="4604" xr:uid="{00000000-0005-0000-0000-0000A5070000}"/>
    <cellStyle name="Comma 4 2 2 2 2 10 2" xfId="13033" xr:uid="{6E08CE80-1F55-4661-AD5A-BF57A80A7524}"/>
    <cellStyle name="Comma 4 2 2 2 2 11" xfId="8815" xr:uid="{1C291F09-067E-4F58-9A99-F121546E4561}"/>
    <cellStyle name="Comma 4 2 2 2 2 2" xfId="130" xr:uid="{00000000-0005-0000-0000-0000A6070000}"/>
    <cellStyle name="Comma 4 2 2 2 2 2 10" xfId="8816" xr:uid="{F20E0D3D-0F79-4E9F-9404-2355EB899BB9}"/>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249EBC3F-551C-4C0F-AE99-4CD821343AB8}"/>
    <cellStyle name="Comma 4 2 2 2 2 2 2 2 3" xfId="11375" xr:uid="{526A3B6C-97F6-4597-A34D-75FBC17736E3}"/>
    <cellStyle name="Comma 4 2 2 2 2 2 2 3" xfId="5019" xr:uid="{00000000-0005-0000-0000-0000AA070000}"/>
    <cellStyle name="Comma 4 2 2 2 2 2 2 3 2" xfId="13448" xr:uid="{AD4C0B6D-9211-4C2F-998D-B897FFAFDB41}"/>
    <cellStyle name="Comma 4 2 2 2 2 2 2 4" xfId="9230" xr:uid="{E375CC4D-EF1C-413A-BFB4-2C1F9D6D1B7B}"/>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9AA02301-1005-4AAC-8147-E85A7453A34C}"/>
    <cellStyle name="Comma 4 2 2 2 2 2 3 2 3" xfId="11788" xr:uid="{B31BC4F8-B043-43D3-9BFC-1CECA62EA4E8}"/>
    <cellStyle name="Comma 4 2 2 2 2 2 3 3" xfId="5432" xr:uid="{00000000-0005-0000-0000-0000AE070000}"/>
    <cellStyle name="Comma 4 2 2 2 2 2 3 3 2" xfId="13861" xr:uid="{FCE32FF3-B73D-48EC-B317-15960263FF0E}"/>
    <cellStyle name="Comma 4 2 2 2 2 2 3 4" xfId="9643" xr:uid="{3AAF3F91-F84F-44AE-BB1E-3F5E703E14F4}"/>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EE7C7953-A988-484F-9EA8-7446C469C3F4}"/>
    <cellStyle name="Comma 4 2 2 2 2 2 4 2 3" xfId="12201" xr:uid="{AE1B3BFB-0D7A-4FA9-94C2-C2EB52F73CB8}"/>
    <cellStyle name="Comma 4 2 2 2 2 2 4 3" xfId="5845" xr:uid="{00000000-0005-0000-0000-0000B2070000}"/>
    <cellStyle name="Comma 4 2 2 2 2 2 4 3 2" xfId="14274" xr:uid="{1CAD56D4-B386-41D0-8FCF-AF871EA86C0E}"/>
    <cellStyle name="Comma 4 2 2 2 2 2 4 4" xfId="10056" xr:uid="{B4934622-431D-47E7-A676-DCBA353053A8}"/>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A49EBF56-D837-4594-8976-DEF49515D720}"/>
    <cellStyle name="Comma 4 2 2 2 2 2 5 2 3" xfId="12614" xr:uid="{7FC0651C-94A9-4C92-B2CF-964423396524}"/>
    <cellStyle name="Comma 4 2 2 2 2 2 5 3" xfId="6258" xr:uid="{00000000-0005-0000-0000-0000B6070000}"/>
    <cellStyle name="Comma 4 2 2 2 2 2 5 3 2" xfId="14687" xr:uid="{195975AE-23AC-4917-8C21-62DDC11B4697}"/>
    <cellStyle name="Comma 4 2 2 2 2 2 5 4" xfId="10469" xr:uid="{5677D37D-50AC-4C15-96E5-57C3FA61BF84}"/>
    <cellStyle name="Comma 4 2 2 2 2 2 6" xfId="2385" xr:uid="{00000000-0005-0000-0000-0000B7070000}"/>
    <cellStyle name="Comma 4 2 2 2 2 2 6 2" xfId="6671" xr:uid="{00000000-0005-0000-0000-0000B8070000}"/>
    <cellStyle name="Comma 4 2 2 2 2 2 6 2 2" xfId="15100" xr:uid="{3250FE25-4985-4454-9A1C-02F80F3D23E6}"/>
    <cellStyle name="Comma 4 2 2 2 2 2 6 3" xfId="10882" xr:uid="{59357CF0-8B31-4C18-AF78-291895599587}"/>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D5CDF81A-EA0A-42EA-A470-06A7B893EB12}"/>
    <cellStyle name="Comma 4 2 2 2 2 2 8 3" xfId="11199" xr:uid="{CAB85C32-E328-42FE-824B-7C20DD762A25}"/>
    <cellStyle name="Comma 4 2 2 2 2 2 9" xfId="4605" xr:uid="{00000000-0005-0000-0000-0000BC070000}"/>
    <cellStyle name="Comma 4 2 2 2 2 2 9 2" xfId="13034" xr:uid="{20B9898F-C382-42AC-A3EF-BDFB44B2EFCB}"/>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F75BF240-108F-4897-94C2-75A2FE3523BF}"/>
    <cellStyle name="Comma 4 2 2 2 2 3 2 3" xfId="11374" xr:uid="{6B238C20-09F7-4964-B6CD-167DDD1CF34C}"/>
    <cellStyle name="Comma 4 2 2 2 2 3 3" xfId="5018" xr:uid="{00000000-0005-0000-0000-0000C0070000}"/>
    <cellStyle name="Comma 4 2 2 2 2 3 3 2" xfId="13447" xr:uid="{710EBF3B-4807-4BA6-856C-60B27F91641E}"/>
    <cellStyle name="Comma 4 2 2 2 2 3 4" xfId="9229" xr:uid="{A4D15F52-5216-44F4-8212-3DC08BDC2339}"/>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1BB03617-05E1-4EEC-9A30-F478C6681081}"/>
    <cellStyle name="Comma 4 2 2 2 2 4 2 3" xfId="11787" xr:uid="{0DF44D31-CD1B-457A-904A-90634E7CF1CA}"/>
    <cellStyle name="Comma 4 2 2 2 2 4 3" xfId="5431" xr:uid="{00000000-0005-0000-0000-0000C4070000}"/>
    <cellStyle name="Comma 4 2 2 2 2 4 3 2" xfId="13860" xr:uid="{9BB1B155-595A-4AE3-A90E-6DDBB90A5255}"/>
    <cellStyle name="Comma 4 2 2 2 2 4 4" xfId="9642" xr:uid="{C1437B90-FA9B-46DF-A2E6-26D8BC53AA14}"/>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749A24E3-5561-4924-A983-79C0DCA489F7}"/>
    <cellStyle name="Comma 4 2 2 2 2 5 2 3" xfId="12200" xr:uid="{38312E97-B779-4D53-A60C-28FD23B29DF3}"/>
    <cellStyle name="Comma 4 2 2 2 2 5 3" xfId="5844" xr:uid="{00000000-0005-0000-0000-0000C8070000}"/>
    <cellStyle name="Comma 4 2 2 2 2 5 3 2" xfId="14273" xr:uid="{4F3E2A4A-BEAF-4D8B-9386-B156D7F35FF4}"/>
    <cellStyle name="Comma 4 2 2 2 2 5 4" xfId="10055" xr:uid="{488ACA70-3AB0-4B75-96AD-D822ACAA4DEA}"/>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88864D1D-DA84-498E-9408-9046D9649157}"/>
    <cellStyle name="Comma 4 2 2 2 2 6 2 3" xfId="12613" xr:uid="{06A179C6-B9E7-4D27-B14B-62F31C9B8A38}"/>
    <cellStyle name="Comma 4 2 2 2 2 6 3" xfId="6257" xr:uid="{00000000-0005-0000-0000-0000CC070000}"/>
    <cellStyle name="Comma 4 2 2 2 2 6 3 2" xfId="14686" xr:uid="{B7C4CB76-8A05-4C8C-A940-EC4323A6E9F7}"/>
    <cellStyle name="Comma 4 2 2 2 2 6 4" xfId="10468" xr:uid="{89FAA125-5D24-4649-B352-4CC6898C1C78}"/>
    <cellStyle name="Comma 4 2 2 2 2 7" xfId="2384" xr:uid="{00000000-0005-0000-0000-0000CD070000}"/>
    <cellStyle name="Comma 4 2 2 2 2 7 2" xfId="6670" xr:uid="{00000000-0005-0000-0000-0000CE070000}"/>
    <cellStyle name="Comma 4 2 2 2 2 7 2 2" xfId="15099" xr:uid="{9B000F13-2D03-46B0-9794-0ED8EEC724DB}"/>
    <cellStyle name="Comma 4 2 2 2 2 7 3" xfId="10881" xr:uid="{71311109-CC3D-43A3-97C0-69DEB2F67CCC}"/>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8A5DBA8B-9594-4CB8-82C6-2C1A3E149D5E}"/>
    <cellStyle name="Comma 4 2 2 2 2 9 3" xfId="11198" xr:uid="{EBE7F26F-ED59-439B-BDFC-C76A5C2600B9}"/>
    <cellStyle name="Comma 4 2 2 2 3" xfId="131" xr:uid="{00000000-0005-0000-0000-0000D2070000}"/>
    <cellStyle name="Comma 4 2 2 2 3 10" xfId="8817" xr:uid="{19A1B5F9-7A78-4242-95A6-E5D1F0682B18}"/>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EFC0388E-E4D7-41B9-9E89-265CB374E438}"/>
    <cellStyle name="Comma 4 2 2 2 3 2 2 3" xfId="11376" xr:uid="{40B96B88-6D80-47E9-B3C1-0EA5643FDF49}"/>
    <cellStyle name="Comma 4 2 2 2 3 2 3" xfId="5020" xr:uid="{00000000-0005-0000-0000-0000D6070000}"/>
    <cellStyle name="Comma 4 2 2 2 3 2 3 2" xfId="13449" xr:uid="{8E1AC12E-A1BC-4576-822D-DA354FED362C}"/>
    <cellStyle name="Comma 4 2 2 2 3 2 4" xfId="9231" xr:uid="{77F7F383-8105-498F-8304-80A88CD78491}"/>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B5B4BAD8-EBC3-45CD-A24B-5F0ADB05FB26}"/>
    <cellStyle name="Comma 4 2 2 2 3 3 2 3" xfId="11789" xr:uid="{C53B5D15-4757-42F5-983A-54CBAD2BF5FF}"/>
    <cellStyle name="Comma 4 2 2 2 3 3 3" xfId="5433" xr:uid="{00000000-0005-0000-0000-0000DA070000}"/>
    <cellStyle name="Comma 4 2 2 2 3 3 3 2" xfId="13862" xr:uid="{5F7801BB-C9EF-4FF8-AD71-44B59C57D386}"/>
    <cellStyle name="Comma 4 2 2 2 3 3 4" xfId="9644" xr:uid="{A1F25C7F-6107-4799-B4EE-95811CB09707}"/>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9BFE3557-ADCC-4B3E-805E-1D9DE9C3FF86}"/>
    <cellStyle name="Comma 4 2 2 2 3 4 2 3" xfId="12202" xr:uid="{8CF6ECD6-8F66-404E-9D8C-E6EE519758A7}"/>
    <cellStyle name="Comma 4 2 2 2 3 4 3" xfId="5846" xr:uid="{00000000-0005-0000-0000-0000DE070000}"/>
    <cellStyle name="Comma 4 2 2 2 3 4 3 2" xfId="14275" xr:uid="{046F614B-7082-4520-9C23-FE2A4633E550}"/>
    <cellStyle name="Comma 4 2 2 2 3 4 4" xfId="10057" xr:uid="{37014A5B-97E0-45D5-8D01-9A4E479E8FC3}"/>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31CD1A30-F93D-4B22-B3A5-D24D28B95144}"/>
    <cellStyle name="Comma 4 2 2 2 3 5 2 3" xfId="12615" xr:uid="{9A35E359-38CA-4A48-9F06-B4A3F15E76D4}"/>
    <cellStyle name="Comma 4 2 2 2 3 5 3" xfId="6259" xr:uid="{00000000-0005-0000-0000-0000E2070000}"/>
    <cellStyle name="Comma 4 2 2 2 3 5 3 2" xfId="14688" xr:uid="{93452A30-B9C6-41AE-88C3-18B7FCED813E}"/>
    <cellStyle name="Comma 4 2 2 2 3 5 4" xfId="10470" xr:uid="{B9A65F04-FDD3-4641-91C3-F48B31BFDC9B}"/>
    <cellStyle name="Comma 4 2 2 2 3 6" xfId="2386" xr:uid="{00000000-0005-0000-0000-0000E3070000}"/>
    <cellStyle name="Comma 4 2 2 2 3 6 2" xfId="6672" xr:uid="{00000000-0005-0000-0000-0000E4070000}"/>
    <cellStyle name="Comma 4 2 2 2 3 6 2 2" xfId="15101" xr:uid="{CCDD6807-EBF4-4925-955E-A375C542ECC3}"/>
    <cellStyle name="Comma 4 2 2 2 3 6 3" xfId="10883" xr:uid="{E3DA115C-7D10-4C51-9F38-01F773F0931C}"/>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60D996E1-69B0-47AD-8593-BA33A3588C1F}"/>
    <cellStyle name="Comma 4 2 2 2 3 8 3" xfId="11200" xr:uid="{83B635B7-4252-4DA8-BFE4-48985F48F176}"/>
    <cellStyle name="Comma 4 2 2 2 3 9" xfId="4606" xr:uid="{00000000-0005-0000-0000-0000E8070000}"/>
    <cellStyle name="Comma 4 2 2 2 3 9 2" xfId="13035" xr:uid="{8E0CAA0E-5C3C-4987-AF13-28C9CAE6920C}"/>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BAA09898-CCA3-433A-B334-4F7120E53D54}"/>
    <cellStyle name="Comma 4 2 2 2 4 2 3" xfId="11373" xr:uid="{301F98C0-EAE0-4861-A9B9-99011BEDC4B9}"/>
    <cellStyle name="Comma 4 2 2 2 4 3" xfId="5017" xr:uid="{00000000-0005-0000-0000-0000EC070000}"/>
    <cellStyle name="Comma 4 2 2 2 4 3 2" xfId="13446" xr:uid="{35535C73-EABF-4EB0-9958-9282931C2F05}"/>
    <cellStyle name="Comma 4 2 2 2 4 4" xfId="9228" xr:uid="{E5545B40-50B4-49AB-985F-1BA87C35832D}"/>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69C37A8D-672C-49F6-87FB-00C55D2D28FB}"/>
    <cellStyle name="Comma 4 2 2 2 5 2 3" xfId="11786" xr:uid="{3879329B-FF06-422A-A234-298545D3D3A8}"/>
    <cellStyle name="Comma 4 2 2 2 5 3" xfId="5430" xr:uid="{00000000-0005-0000-0000-0000F0070000}"/>
    <cellStyle name="Comma 4 2 2 2 5 3 2" xfId="13859" xr:uid="{E6B9B0E0-4C53-40C7-ADA8-98AD9F328635}"/>
    <cellStyle name="Comma 4 2 2 2 5 4" xfId="9641" xr:uid="{227F3AF7-B5AF-41C2-8BAB-46246A43753C}"/>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B2479A90-F9B2-481C-BB9B-B900DEA5F9A2}"/>
    <cellStyle name="Comma 4 2 2 2 6 2 3" xfId="12199" xr:uid="{02EDAB43-676A-4868-943B-4DC0F440094B}"/>
    <cellStyle name="Comma 4 2 2 2 6 3" xfId="5843" xr:uid="{00000000-0005-0000-0000-0000F4070000}"/>
    <cellStyle name="Comma 4 2 2 2 6 3 2" xfId="14272" xr:uid="{1C44198B-E04E-4BEC-862B-05334F3FAE4B}"/>
    <cellStyle name="Comma 4 2 2 2 6 4" xfId="10054" xr:uid="{9D21E2AD-09D0-4A4A-B2F7-2B3772576C49}"/>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E3A5EFF9-75E2-4CC8-BA24-94026CA12DD6}"/>
    <cellStyle name="Comma 4 2 2 2 7 2 3" xfId="12612" xr:uid="{B1310BD9-F66D-4512-B7AE-F90454B82A38}"/>
    <cellStyle name="Comma 4 2 2 2 7 3" xfId="6256" xr:uid="{00000000-0005-0000-0000-0000F8070000}"/>
    <cellStyle name="Comma 4 2 2 2 7 3 2" xfId="14685" xr:uid="{24B8E0C8-03E1-4D1D-8B1D-D2885D6EB1B9}"/>
    <cellStyle name="Comma 4 2 2 2 7 4" xfId="10467" xr:uid="{DBC80930-8D0B-448B-9067-8765EE5E3B27}"/>
    <cellStyle name="Comma 4 2 2 2 8" xfId="2383" xr:uid="{00000000-0005-0000-0000-0000F9070000}"/>
    <cellStyle name="Comma 4 2 2 2 8 2" xfId="6669" xr:uid="{00000000-0005-0000-0000-0000FA070000}"/>
    <cellStyle name="Comma 4 2 2 2 8 2 2" xfId="15098" xr:uid="{D14D7F82-F5C5-4BFC-BFD2-1DD52A964E58}"/>
    <cellStyle name="Comma 4 2 2 2 8 3" xfId="10880" xr:uid="{9570C003-C39E-4A73-AEFD-0CC8AFA007B2}"/>
    <cellStyle name="Comma 4 2 2 2 9" xfId="2382" xr:uid="{00000000-0005-0000-0000-0000FB070000}"/>
    <cellStyle name="Comma 4 2 2 3" xfId="132" xr:uid="{00000000-0005-0000-0000-0000FC070000}"/>
    <cellStyle name="Comma 4 2 2 3 10" xfId="4607" xr:uid="{00000000-0005-0000-0000-0000FD070000}"/>
    <cellStyle name="Comma 4 2 2 3 10 2" xfId="13036" xr:uid="{CDE89F1F-D40B-4B06-8FBD-2BC3FE9808D9}"/>
    <cellStyle name="Comma 4 2 2 3 11" xfId="8818" xr:uid="{B6C3EC85-4997-4B96-8DBD-DCB51A8C4771}"/>
    <cellStyle name="Comma 4 2 2 3 2" xfId="133" xr:uid="{00000000-0005-0000-0000-0000FE070000}"/>
    <cellStyle name="Comma 4 2 2 3 2 10" xfId="8819" xr:uid="{01BF7F30-064A-47B0-943F-A8B3659F6FAF}"/>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1E2E20CB-9F7E-4F64-8C90-6EAAA679AC2B}"/>
    <cellStyle name="Comma 4 2 2 3 2 2 2 3" xfId="11378" xr:uid="{B3E9C997-F637-4212-8640-2749F3CF50EF}"/>
    <cellStyle name="Comma 4 2 2 3 2 2 3" xfId="5022" xr:uid="{00000000-0005-0000-0000-000002080000}"/>
    <cellStyle name="Comma 4 2 2 3 2 2 3 2" xfId="13451" xr:uid="{3AA5B6DF-0B31-424E-A5C5-AB7E5CD58157}"/>
    <cellStyle name="Comma 4 2 2 3 2 2 4" xfId="9233" xr:uid="{9FBCAFEF-6AFB-41C3-8D18-E8D8D20C6F5A}"/>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56DCA761-D433-442B-A4F4-6A554597FBBD}"/>
    <cellStyle name="Comma 4 2 2 3 2 3 2 3" xfId="11791" xr:uid="{FE64115D-78D1-4322-AC27-DAD83811DAA4}"/>
    <cellStyle name="Comma 4 2 2 3 2 3 3" xfId="5435" xr:uid="{00000000-0005-0000-0000-000006080000}"/>
    <cellStyle name="Comma 4 2 2 3 2 3 3 2" xfId="13864" xr:uid="{FCA3069A-F1BB-4BBE-BF28-0D5A9C627C77}"/>
    <cellStyle name="Comma 4 2 2 3 2 3 4" xfId="9646" xr:uid="{3C3324CE-A84F-4A0E-B69A-C5D54244DCFD}"/>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B6D738D9-DBF1-4A76-97E0-5D1B2C3173CA}"/>
    <cellStyle name="Comma 4 2 2 3 2 4 2 3" xfId="12204" xr:uid="{6696E3A4-7EA4-4716-B6DE-29D07097C7A9}"/>
    <cellStyle name="Comma 4 2 2 3 2 4 3" xfId="5848" xr:uid="{00000000-0005-0000-0000-00000A080000}"/>
    <cellStyle name="Comma 4 2 2 3 2 4 3 2" xfId="14277" xr:uid="{F30B112D-F452-435E-932A-0D5EC18B0848}"/>
    <cellStyle name="Comma 4 2 2 3 2 4 4" xfId="10059" xr:uid="{90981981-EF1A-4A3D-85A0-4EC2D1ED3B44}"/>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27A645FF-FB35-401C-8245-F6E0D9EC9252}"/>
    <cellStyle name="Comma 4 2 2 3 2 5 2 3" xfId="12617" xr:uid="{7AEE2A21-9F01-4E3A-811B-6F24EECD3D1E}"/>
    <cellStyle name="Comma 4 2 2 3 2 5 3" xfId="6261" xr:uid="{00000000-0005-0000-0000-00000E080000}"/>
    <cellStyle name="Comma 4 2 2 3 2 5 3 2" xfId="14690" xr:uid="{09B46951-65FB-4724-A81D-BED6B13BA318}"/>
    <cellStyle name="Comma 4 2 2 3 2 5 4" xfId="10472" xr:uid="{F900160B-684A-4264-AC78-86F4012171DE}"/>
    <cellStyle name="Comma 4 2 2 3 2 6" xfId="2388" xr:uid="{00000000-0005-0000-0000-00000F080000}"/>
    <cellStyle name="Comma 4 2 2 3 2 6 2" xfId="6674" xr:uid="{00000000-0005-0000-0000-000010080000}"/>
    <cellStyle name="Comma 4 2 2 3 2 6 2 2" xfId="15103" xr:uid="{2CFF233A-82BD-4AC6-8513-B37B6E40B763}"/>
    <cellStyle name="Comma 4 2 2 3 2 6 3" xfId="10885" xr:uid="{50C9574D-7A8F-488C-A047-A8D0CDD552F2}"/>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3F6493A0-2143-4B9E-8F41-3974D1ED601C}"/>
    <cellStyle name="Comma 4 2 2 3 2 8 3" xfId="11202" xr:uid="{0D2F208F-D60B-468A-B229-2982BE5902A2}"/>
    <cellStyle name="Comma 4 2 2 3 2 9" xfId="4608" xr:uid="{00000000-0005-0000-0000-000014080000}"/>
    <cellStyle name="Comma 4 2 2 3 2 9 2" xfId="13037" xr:uid="{A31B1B01-30D7-4193-938C-9A967D9777A2}"/>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E3086739-658F-4027-81BA-A4F0EC16F42E}"/>
    <cellStyle name="Comma 4 2 2 3 3 2 3" xfId="11377" xr:uid="{020D5CB2-8771-46D8-8BC1-F54F92514C77}"/>
    <cellStyle name="Comma 4 2 2 3 3 3" xfId="5021" xr:uid="{00000000-0005-0000-0000-000018080000}"/>
    <cellStyle name="Comma 4 2 2 3 3 3 2" xfId="13450" xr:uid="{FCE4E9D7-B60D-406A-8A7B-74D69C34DC9C}"/>
    <cellStyle name="Comma 4 2 2 3 3 4" xfId="9232" xr:uid="{11B90523-E861-443E-8235-967C8CA320F1}"/>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19C8012A-01A5-4587-B06D-9B3F59DAECA2}"/>
    <cellStyle name="Comma 4 2 2 3 4 2 3" xfId="11790" xr:uid="{AF502CD0-5310-4E54-A6CD-FCCFD2F74BB9}"/>
    <cellStyle name="Comma 4 2 2 3 4 3" xfId="5434" xr:uid="{00000000-0005-0000-0000-00001C080000}"/>
    <cellStyle name="Comma 4 2 2 3 4 3 2" xfId="13863" xr:uid="{8DDAEC21-7F23-48B2-A5B0-A02E5EACD299}"/>
    <cellStyle name="Comma 4 2 2 3 4 4" xfId="9645" xr:uid="{DE7798DB-BB0B-4A24-99D2-49317E2C2286}"/>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85672E99-486F-4FDC-928C-D3D81B8B4FC7}"/>
    <cellStyle name="Comma 4 2 2 3 5 2 3" xfId="12203" xr:uid="{C1FD8215-68AD-4C86-A9B8-CA5C3F519748}"/>
    <cellStyle name="Comma 4 2 2 3 5 3" xfId="5847" xr:uid="{00000000-0005-0000-0000-000020080000}"/>
    <cellStyle name="Comma 4 2 2 3 5 3 2" xfId="14276" xr:uid="{6A1B198A-C802-4AB4-A347-F4BC20B657FA}"/>
    <cellStyle name="Comma 4 2 2 3 5 4" xfId="10058" xr:uid="{207486F4-1404-4CF1-AC0D-2DE63A9E85AB}"/>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45C00AAB-998B-46E6-8189-C597DD49B49F}"/>
    <cellStyle name="Comma 4 2 2 3 6 2 3" xfId="12616" xr:uid="{654C0D2D-CEC8-462F-B002-62A5CA06DCCE}"/>
    <cellStyle name="Comma 4 2 2 3 6 3" xfId="6260" xr:uid="{00000000-0005-0000-0000-000024080000}"/>
    <cellStyle name="Comma 4 2 2 3 6 3 2" xfId="14689" xr:uid="{F4A5E71A-297C-44D1-8E14-19FB6481F7CF}"/>
    <cellStyle name="Comma 4 2 2 3 6 4" xfId="10471" xr:uid="{080D3CB8-DD1A-4A31-A9EB-6DB1ADB4AE26}"/>
    <cellStyle name="Comma 4 2 2 3 7" xfId="2387" xr:uid="{00000000-0005-0000-0000-000025080000}"/>
    <cellStyle name="Comma 4 2 2 3 7 2" xfId="6673" xr:uid="{00000000-0005-0000-0000-000026080000}"/>
    <cellStyle name="Comma 4 2 2 3 7 2 2" xfId="15102" xr:uid="{A6546283-2D29-4EC2-8557-C8836CC6B3BE}"/>
    <cellStyle name="Comma 4 2 2 3 7 3" xfId="10884" xr:uid="{452E6045-7A57-4BB2-98C8-5143630BB16D}"/>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FE7EFD29-8455-417D-BC50-4C6B5E31289F}"/>
    <cellStyle name="Comma 4 2 2 3 9 3" xfId="11201" xr:uid="{79B18167-7A52-42DF-AE1C-35C8D59AA916}"/>
    <cellStyle name="Comma 4 2 2 4" xfId="134" xr:uid="{00000000-0005-0000-0000-00002A080000}"/>
    <cellStyle name="Comma 4 2 2 4 10" xfId="8820" xr:uid="{4153D78A-1B3F-4BA6-AD70-2993C621BC19}"/>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B84DD518-44FD-4BA6-BF85-54E89FE3C7C5}"/>
    <cellStyle name="Comma 4 2 2 4 2 2 3" xfId="11379" xr:uid="{6A68F7C2-FB11-47B2-A1E5-E2911481D3D1}"/>
    <cellStyle name="Comma 4 2 2 4 2 3" xfId="5023" xr:uid="{00000000-0005-0000-0000-00002E080000}"/>
    <cellStyle name="Comma 4 2 2 4 2 3 2" xfId="13452" xr:uid="{131E84F8-BFB5-45F3-8A27-3803B3D2A7AB}"/>
    <cellStyle name="Comma 4 2 2 4 2 4" xfId="9234" xr:uid="{7EAC032C-7D56-4338-B236-C85A231602FA}"/>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8E5C9860-AA85-45C5-9515-DD13013D3CDD}"/>
    <cellStyle name="Comma 4 2 2 4 3 2 3" xfId="11792" xr:uid="{E4F40409-AC36-4986-B422-A381890FAF98}"/>
    <cellStyle name="Comma 4 2 2 4 3 3" xfId="5436" xr:uid="{00000000-0005-0000-0000-000032080000}"/>
    <cellStyle name="Comma 4 2 2 4 3 3 2" xfId="13865" xr:uid="{54551FC6-44FA-4BF7-9A9B-2522F7AFEB50}"/>
    <cellStyle name="Comma 4 2 2 4 3 4" xfId="9647" xr:uid="{F53C6A5E-0298-44D3-A3F4-ED8FD4C9CE48}"/>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4C6AEFA4-467B-4304-B975-67F55F5BDA79}"/>
    <cellStyle name="Comma 4 2 2 4 4 2 3" xfId="12205" xr:uid="{E6789242-C32D-43DE-B5F4-99B5FC8BE3D1}"/>
    <cellStyle name="Comma 4 2 2 4 4 3" xfId="5849" xr:uid="{00000000-0005-0000-0000-000036080000}"/>
    <cellStyle name="Comma 4 2 2 4 4 3 2" xfId="14278" xr:uid="{12EBDC82-2AD1-4C0B-880D-A6534483B45B}"/>
    <cellStyle name="Comma 4 2 2 4 4 4" xfId="10060" xr:uid="{C8F689C3-4E24-496D-89CB-C6E91F3CB0BB}"/>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263C4DB2-D67D-44AB-AD0C-C1225B1D781D}"/>
    <cellStyle name="Comma 4 2 2 4 5 2 3" xfId="12618" xr:uid="{F966E909-E59E-441C-AB3F-DD14933701AF}"/>
    <cellStyle name="Comma 4 2 2 4 5 3" xfId="6262" xr:uid="{00000000-0005-0000-0000-00003A080000}"/>
    <cellStyle name="Comma 4 2 2 4 5 3 2" xfId="14691" xr:uid="{D978760D-5D81-4AED-8A13-3E738783A940}"/>
    <cellStyle name="Comma 4 2 2 4 5 4" xfId="10473" xr:uid="{9B51CDA1-A13E-4CF1-B98D-640B71957D59}"/>
    <cellStyle name="Comma 4 2 2 4 6" xfId="2389" xr:uid="{00000000-0005-0000-0000-00003B080000}"/>
    <cellStyle name="Comma 4 2 2 4 6 2" xfId="6675" xr:uid="{00000000-0005-0000-0000-00003C080000}"/>
    <cellStyle name="Comma 4 2 2 4 6 2 2" xfId="15104" xr:uid="{B1CEF440-8442-4F78-B15A-ADD09AD21C6A}"/>
    <cellStyle name="Comma 4 2 2 4 6 3" xfId="10886" xr:uid="{A79A3C88-34CC-4376-81E3-958FF11AF8EB}"/>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2B6DF401-74F4-445D-93B7-B8146CD759DE}"/>
    <cellStyle name="Comma 4 2 2 4 8 3" xfId="11203" xr:uid="{71F77778-09ED-4610-8BE2-9012B1D8646C}"/>
    <cellStyle name="Comma 4 2 2 4 9" xfId="4609" xr:uid="{00000000-0005-0000-0000-000040080000}"/>
    <cellStyle name="Comma 4 2 2 4 9 2" xfId="13038" xr:uid="{CFE7062A-07FA-437A-9F65-026E727B409E}"/>
    <cellStyle name="Comma 4 2 2 5" xfId="135" xr:uid="{00000000-0005-0000-0000-000041080000}"/>
    <cellStyle name="Comma 4 2 2 5 10" xfId="8821" xr:uid="{725C0EC2-B67F-4CE9-BAE2-706D60867E0F}"/>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34554472-3416-4835-9868-E8D1C7F93A82}"/>
    <cellStyle name="Comma 4 2 2 5 2 2 3" xfId="11380" xr:uid="{246EFFDB-5CA2-47FB-B29E-1733ECCC748D}"/>
    <cellStyle name="Comma 4 2 2 5 2 3" xfId="5024" xr:uid="{00000000-0005-0000-0000-000045080000}"/>
    <cellStyle name="Comma 4 2 2 5 2 3 2" xfId="13453" xr:uid="{74697A66-262E-4924-9DF5-64C3E385EA04}"/>
    <cellStyle name="Comma 4 2 2 5 2 4" xfId="9235" xr:uid="{EE4A6545-0EA3-46D9-B84E-E15A808FEF25}"/>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C918A8D1-6F05-4AEF-B644-7768C9B953F4}"/>
    <cellStyle name="Comma 4 2 2 5 3 2 3" xfId="11793" xr:uid="{6A23AC89-3BEE-4796-BBD0-DB8CFD3CB6ED}"/>
    <cellStyle name="Comma 4 2 2 5 3 3" xfId="5437" xr:uid="{00000000-0005-0000-0000-000049080000}"/>
    <cellStyle name="Comma 4 2 2 5 3 3 2" xfId="13866" xr:uid="{C9146B80-4564-4F5C-8D22-C1AE4667EBDF}"/>
    <cellStyle name="Comma 4 2 2 5 3 4" xfId="9648" xr:uid="{62D207F1-FDBA-4501-A83F-0EDFC3274BCD}"/>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BE454C08-E548-4B93-9C9D-C10F55EFFB20}"/>
    <cellStyle name="Comma 4 2 2 5 4 2 3" xfId="12206" xr:uid="{57949E8D-6924-4558-8E9D-30C96209563B}"/>
    <cellStyle name="Comma 4 2 2 5 4 3" xfId="5850" xr:uid="{00000000-0005-0000-0000-00004D080000}"/>
    <cellStyle name="Comma 4 2 2 5 4 3 2" xfId="14279" xr:uid="{9976C325-B198-476E-96AD-AC34C096F170}"/>
    <cellStyle name="Comma 4 2 2 5 4 4" xfId="10061" xr:uid="{B8282FC4-4DA6-4B81-B274-5F4A75B53506}"/>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478982BA-931A-491A-A89D-DF448856995F}"/>
    <cellStyle name="Comma 4 2 2 5 5 2 3" xfId="12619" xr:uid="{C3AD212E-B4D8-4679-853B-B2212C6CE0E5}"/>
    <cellStyle name="Comma 4 2 2 5 5 3" xfId="6263" xr:uid="{00000000-0005-0000-0000-000051080000}"/>
    <cellStyle name="Comma 4 2 2 5 5 3 2" xfId="14692" xr:uid="{0E74DDAC-A27B-4E5B-8060-2EEB738EAB1A}"/>
    <cellStyle name="Comma 4 2 2 5 5 4" xfId="10474" xr:uid="{70AA9377-3777-4E3E-9491-71C931603831}"/>
    <cellStyle name="Comma 4 2 2 5 6" xfId="2390" xr:uid="{00000000-0005-0000-0000-000052080000}"/>
    <cellStyle name="Comma 4 2 2 5 6 2" xfId="6676" xr:uid="{00000000-0005-0000-0000-000053080000}"/>
    <cellStyle name="Comma 4 2 2 5 6 2 2" xfId="15105" xr:uid="{FA2A1355-24E5-4D4C-8AF4-B327A3503164}"/>
    <cellStyle name="Comma 4 2 2 5 6 3" xfId="10887" xr:uid="{247574F0-380E-41F6-B760-9A64156B93CD}"/>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E3DD893F-0441-40DC-9C66-D6A0BB9C67BE}"/>
    <cellStyle name="Comma 4 2 2 5 8 3" xfId="11204" xr:uid="{8F9B5926-872F-4D9E-B584-9D0760B3D213}"/>
    <cellStyle name="Comma 4 2 2 5 9" xfId="4610" xr:uid="{00000000-0005-0000-0000-000057080000}"/>
    <cellStyle name="Comma 4 2 2 5 9 2" xfId="13039" xr:uid="{1CFBCD9B-962E-43AD-89CC-65B3728DF088}"/>
    <cellStyle name="Comma 4 2 3" xfId="136" xr:uid="{00000000-0005-0000-0000-000058080000}"/>
    <cellStyle name="Comma 4 2 3 10" xfId="2769" xr:uid="{00000000-0005-0000-0000-000059080000}"/>
    <cellStyle name="Comma 4 2 3 10 2" xfId="6994" xr:uid="{00000000-0005-0000-0000-00005A080000}"/>
    <cellStyle name="Comma 4 2 3 10 2 2" xfId="15423" xr:uid="{3A2B880C-9E65-441A-BEB1-2F7D69E40F51}"/>
    <cellStyle name="Comma 4 2 3 10 3" xfId="11205" xr:uid="{79FC9144-8B8F-4ED4-A749-50AF92018380}"/>
    <cellStyle name="Comma 4 2 3 11" xfId="4611" xr:uid="{00000000-0005-0000-0000-00005B080000}"/>
    <cellStyle name="Comma 4 2 3 11 2" xfId="13040" xr:uid="{B381EE7F-6E11-45EB-8B9A-D18037D5C2AE}"/>
    <cellStyle name="Comma 4 2 3 12" xfId="8822" xr:uid="{CB707028-80BF-41B1-B799-315310ECABA7}"/>
    <cellStyle name="Comma 4 2 3 2" xfId="137" xr:uid="{00000000-0005-0000-0000-00005C080000}"/>
    <cellStyle name="Comma 4 2 3 2 10" xfId="4612" xr:uid="{00000000-0005-0000-0000-00005D080000}"/>
    <cellStyle name="Comma 4 2 3 2 10 2" xfId="13041" xr:uid="{BB4F081B-B33E-40C7-B7AC-48A079F12810}"/>
    <cellStyle name="Comma 4 2 3 2 11" xfId="8823" xr:uid="{37188A0E-42AC-4F87-B922-FC64E2580034}"/>
    <cellStyle name="Comma 4 2 3 2 2" xfId="138" xr:uid="{00000000-0005-0000-0000-00005E080000}"/>
    <cellStyle name="Comma 4 2 3 2 2 10" xfId="8824" xr:uid="{DA7565F5-3512-4A99-9C7E-AEA2A4B0C2E7}"/>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9FBB1F20-268A-4CEB-8D41-FE6731037585}"/>
    <cellStyle name="Comma 4 2 3 2 2 2 2 3" xfId="11383" xr:uid="{56CE3960-8E57-4F01-B43A-94BB4F4264B4}"/>
    <cellStyle name="Comma 4 2 3 2 2 2 3" xfId="5027" xr:uid="{00000000-0005-0000-0000-000062080000}"/>
    <cellStyle name="Comma 4 2 3 2 2 2 3 2" xfId="13456" xr:uid="{730BBB0C-D07E-4F4A-ADE3-2A7A5764301A}"/>
    <cellStyle name="Comma 4 2 3 2 2 2 4" xfId="9238" xr:uid="{D84BEB50-DA58-40C7-905C-B1FCA50EE2CB}"/>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D9613067-D05E-46EF-BC77-067BC9D6412E}"/>
    <cellStyle name="Comma 4 2 3 2 2 3 2 3" xfId="11796" xr:uid="{CA20A4F8-FB29-43DA-8421-EE4391F6E5FB}"/>
    <cellStyle name="Comma 4 2 3 2 2 3 3" xfId="5440" xr:uid="{00000000-0005-0000-0000-000066080000}"/>
    <cellStyle name="Comma 4 2 3 2 2 3 3 2" xfId="13869" xr:uid="{8A25559A-25C1-4DBC-BAF2-06CD368917D8}"/>
    <cellStyle name="Comma 4 2 3 2 2 3 4" xfId="9651" xr:uid="{88220078-055D-4CDF-B213-72C3DAB8732E}"/>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94B6123A-55C6-441F-9C8F-D51414FFBDEB}"/>
    <cellStyle name="Comma 4 2 3 2 2 4 2 3" xfId="12209" xr:uid="{CD5E0E82-906B-4A9E-9F94-586F019AEC73}"/>
    <cellStyle name="Comma 4 2 3 2 2 4 3" xfId="5853" xr:uid="{00000000-0005-0000-0000-00006A080000}"/>
    <cellStyle name="Comma 4 2 3 2 2 4 3 2" xfId="14282" xr:uid="{6D91C730-9714-4898-A99C-14FD5170892E}"/>
    <cellStyle name="Comma 4 2 3 2 2 4 4" xfId="10064" xr:uid="{D7802BF2-1A27-4E4A-8F83-94273D64003F}"/>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864DF30B-9B44-48D7-90BF-FFCAEB6088CF}"/>
    <cellStyle name="Comma 4 2 3 2 2 5 2 3" xfId="12622" xr:uid="{B97F5212-319B-40FF-9EF5-64F793E71106}"/>
    <cellStyle name="Comma 4 2 3 2 2 5 3" xfId="6266" xr:uid="{00000000-0005-0000-0000-00006E080000}"/>
    <cellStyle name="Comma 4 2 3 2 2 5 3 2" xfId="14695" xr:uid="{87E14786-5508-4BE3-AA2D-C1D28C91C8F2}"/>
    <cellStyle name="Comma 4 2 3 2 2 5 4" xfId="10477" xr:uid="{2E5F80CD-3FDC-474F-9752-5306AB29444F}"/>
    <cellStyle name="Comma 4 2 3 2 2 6" xfId="2393" xr:uid="{00000000-0005-0000-0000-00006F080000}"/>
    <cellStyle name="Comma 4 2 3 2 2 6 2" xfId="6679" xr:uid="{00000000-0005-0000-0000-000070080000}"/>
    <cellStyle name="Comma 4 2 3 2 2 6 2 2" xfId="15108" xr:uid="{431DA865-C48E-4DF1-B97E-D1C97BBA0E32}"/>
    <cellStyle name="Comma 4 2 3 2 2 6 3" xfId="10890" xr:uid="{43965920-F266-4B75-A17E-E15356B1C8F6}"/>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6354EF56-E5D6-484C-84E4-9BB469520F3F}"/>
    <cellStyle name="Comma 4 2 3 2 2 8 3" xfId="11207" xr:uid="{CCE58082-0C2F-49A7-83BA-DD40802189BC}"/>
    <cellStyle name="Comma 4 2 3 2 2 9" xfId="4613" xr:uid="{00000000-0005-0000-0000-000074080000}"/>
    <cellStyle name="Comma 4 2 3 2 2 9 2" xfId="13042" xr:uid="{ECE490E7-AB8B-4AFA-95F1-0FCC9B3B5258}"/>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28A57239-34BD-4DFC-A209-086D877E7664}"/>
    <cellStyle name="Comma 4 2 3 2 3 2 3" xfId="11382" xr:uid="{0B4B5326-B075-43ED-8952-9B4FC88F2B17}"/>
    <cellStyle name="Comma 4 2 3 2 3 3" xfId="5026" xr:uid="{00000000-0005-0000-0000-000078080000}"/>
    <cellStyle name="Comma 4 2 3 2 3 3 2" xfId="13455" xr:uid="{4B4EDEE9-22CE-4759-BFD3-3D7780E4ADDA}"/>
    <cellStyle name="Comma 4 2 3 2 3 4" xfId="9237" xr:uid="{2AB8257D-5494-4B66-BDD4-5FE16B10C3BB}"/>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018666B9-2993-4161-BFC1-CCD715017439}"/>
    <cellStyle name="Comma 4 2 3 2 4 2 3" xfId="11795" xr:uid="{BBAB937F-26E6-4DD3-B7A0-93548154FB5D}"/>
    <cellStyle name="Comma 4 2 3 2 4 3" xfId="5439" xr:uid="{00000000-0005-0000-0000-00007C080000}"/>
    <cellStyle name="Comma 4 2 3 2 4 3 2" xfId="13868" xr:uid="{C23E6105-760A-4E4E-9A9F-61CA83DF604F}"/>
    <cellStyle name="Comma 4 2 3 2 4 4" xfId="9650" xr:uid="{9E3A5ECD-A5D2-454E-8C80-DE779A0B2228}"/>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201AF0AA-BAF3-40CE-AD81-D03CA4FCA4F5}"/>
    <cellStyle name="Comma 4 2 3 2 5 2 3" xfId="12208" xr:uid="{92F16187-C970-4FC0-9E52-00B0F876865E}"/>
    <cellStyle name="Comma 4 2 3 2 5 3" xfId="5852" xr:uid="{00000000-0005-0000-0000-000080080000}"/>
    <cellStyle name="Comma 4 2 3 2 5 3 2" xfId="14281" xr:uid="{3C61A892-0DD7-4084-8BB0-F18F56BEBCDF}"/>
    <cellStyle name="Comma 4 2 3 2 5 4" xfId="10063" xr:uid="{9C68847C-E093-4754-8073-830D89C9F974}"/>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7A120B08-A0FD-4DDF-8CBB-BF4612EDF4C8}"/>
    <cellStyle name="Comma 4 2 3 2 6 2 3" xfId="12621" xr:uid="{FC863DFE-A336-4AEB-946F-2E2A89FC143C}"/>
    <cellStyle name="Comma 4 2 3 2 6 3" xfId="6265" xr:uid="{00000000-0005-0000-0000-000084080000}"/>
    <cellStyle name="Comma 4 2 3 2 6 3 2" xfId="14694" xr:uid="{317CCC95-BA17-4F9D-9B94-F22483C6E65E}"/>
    <cellStyle name="Comma 4 2 3 2 6 4" xfId="10476" xr:uid="{8B3680CA-22A3-4A3E-8726-C200171CB649}"/>
    <cellStyle name="Comma 4 2 3 2 7" xfId="2392" xr:uid="{00000000-0005-0000-0000-000085080000}"/>
    <cellStyle name="Comma 4 2 3 2 7 2" xfId="6678" xr:uid="{00000000-0005-0000-0000-000086080000}"/>
    <cellStyle name="Comma 4 2 3 2 7 2 2" xfId="15107" xr:uid="{E35EB9D8-A6A3-4DC7-ABAA-DBF3E0A6E845}"/>
    <cellStyle name="Comma 4 2 3 2 7 3" xfId="10889" xr:uid="{FDEBE089-9176-49FE-9FA2-E7237ED90D5F}"/>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5CC6561C-67FA-4547-89E1-9CF04244F7D3}"/>
    <cellStyle name="Comma 4 2 3 2 9 3" xfId="11206" xr:uid="{D16D942B-4C88-4BBF-AC1F-2297130E67D8}"/>
    <cellStyle name="Comma 4 2 3 3" xfId="139" xr:uid="{00000000-0005-0000-0000-00008A080000}"/>
    <cellStyle name="Comma 4 2 3 3 10" xfId="8825" xr:uid="{2B968139-F18F-4B93-A775-B8A2954558C6}"/>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6112774C-6AFA-4B88-AE72-FAF43F9A76ED}"/>
    <cellStyle name="Comma 4 2 3 3 2 2 3" xfId="11384" xr:uid="{5B03A2EC-5AFC-4EAF-9EEB-9029E10A8E9D}"/>
    <cellStyle name="Comma 4 2 3 3 2 3" xfId="5028" xr:uid="{00000000-0005-0000-0000-00008E080000}"/>
    <cellStyle name="Comma 4 2 3 3 2 3 2" xfId="13457" xr:uid="{B20F2051-2D2E-415F-833F-097F34C19842}"/>
    <cellStyle name="Comma 4 2 3 3 2 4" xfId="9239" xr:uid="{BFD095D4-26EB-4109-A3E3-A70D61CE0CD2}"/>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E212F390-3B32-449B-A8E1-05B279C2A870}"/>
    <cellStyle name="Comma 4 2 3 3 3 2 3" xfId="11797" xr:uid="{EA75BE26-9A38-4068-B86D-3641B4BEFA8A}"/>
    <cellStyle name="Comma 4 2 3 3 3 3" xfId="5441" xr:uid="{00000000-0005-0000-0000-000092080000}"/>
    <cellStyle name="Comma 4 2 3 3 3 3 2" xfId="13870" xr:uid="{3007544E-ADD8-45A5-8FF8-7C6B10D86FB5}"/>
    <cellStyle name="Comma 4 2 3 3 3 4" xfId="9652" xr:uid="{CC393AFB-E184-44CA-9011-982A3B86EDC9}"/>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8FE3B59F-50B9-4286-9965-1FDFEFB9B79B}"/>
    <cellStyle name="Comma 4 2 3 3 4 2 3" xfId="12210" xr:uid="{7CDE1FA1-6FA7-478D-81FA-B1C0BC418D4C}"/>
    <cellStyle name="Comma 4 2 3 3 4 3" xfId="5854" xr:uid="{00000000-0005-0000-0000-000096080000}"/>
    <cellStyle name="Comma 4 2 3 3 4 3 2" xfId="14283" xr:uid="{7F67D364-CE9D-48DB-9B33-F26326B8734F}"/>
    <cellStyle name="Comma 4 2 3 3 4 4" xfId="10065" xr:uid="{C2A1C92E-3BBA-44B9-9856-BE2CA74C9653}"/>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DFFFB5CD-B883-4146-9134-B121B8995B57}"/>
    <cellStyle name="Comma 4 2 3 3 5 2 3" xfId="12623" xr:uid="{8420D84F-05B6-4C9D-90C4-931C37A3096F}"/>
    <cellStyle name="Comma 4 2 3 3 5 3" xfId="6267" xr:uid="{00000000-0005-0000-0000-00009A080000}"/>
    <cellStyle name="Comma 4 2 3 3 5 3 2" xfId="14696" xr:uid="{5CB22946-32B0-4B01-86A6-6B947B6109BC}"/>
    <cellStyle name="Comma 4 2 3 3 5 4" xfId="10478" xr:uid="{4E260E4D-EC7D-4333-A818-90A13AF25E3C}"/>
    <cellStyle name="Comma 4 2 3 3 6" xfId="2394" xr:uid="{00000000-0005-0000-0000-00009B080000}"/>
    <cellStyle name="Comma 4 2 3 3 6 2" xfId="6680" xr:uid="{00000000-0005-0000-0000-00009C080000}"/>
    <cellStyle name="Comma 4 2 3 3 6 2 2" xfId="15109" xr:uid="{BA59FB58-BBDD-4CE3-A59E-B6A963933A0B}"/>
    <cellStyle name="Comma 4 2 3 3 6 3" xfId="10891" xr:uid="{655D9291-2CBD-4BA7-B0BE-12ED965575F4}"/>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7366073B-E74A-447C-A70C-8B151D31A6DD}"/>
    <cellStyle name="Comma 4 2 3 3 8 3" xfId="11208" xr:uid="{2E691F1D-0294-476A-ABE3-BFB073817796}"/>
    <cellStyle name="Comma 4 2 3 3 9" xfId="4614" xr:uid="{00000000-0005-0000-0000-0000A0080000}"/>
    <cellStyle name="Comma 4 2 3 3 9 2" xfId="13043" xr:uid="{354C5AFB-0E19-426A-A88B-C87C8C461034}"/>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49EC67C5-2308-402F-B1BB-F6B34B4C88BC}"/>
    <cellStyle name="Comma 4 2 3 4 2 3" xfId="11381" xr:uid="{DF986C9B-4C19-410F-85C7-61A9B6ED53F6}"/>
    <cellStyle name="Comma 4 2 3 4 3" xfId="5025" xr:uid="{00000000-0005-0000-0000-0000A4080000}"/>
    <cellStyle name="Comma 4 2 3 4 3 2" xfId="13454" xr:uid="{FF7A616A-7972-4400-B4F6-EE4AB5115A8E}"/>
    <cellStyle name="Comma 4 2 3 4 4" xfId="9236" xr:uid="{6C7CC0D9-3580-46E1-A925-20CF26C57C86}"/>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27A0F611-68A6-442A-9112-3977178E0257}"/>
    <cellStyle name="Comma 4 2 3 5 2 3" xfId="11794" xr:uid="{2DBC3240-591D-4FD0-8583-699B28B6195D}"/>
    <cellStyle name="Comma 4 2 3 5 3" xfId="5438" xr:uid="{00000000-0005-0000-0000-0000A8080000}"/>
    <cellStyle name="Comma 4 2 3 5 3 2" xfId="13867" xr:uid="{8DF01C9B-61AE-49BF-A10D-8BB655C7E8DD}"/>
    <cellStyle name="Comma 4 2 3 5 4" xfId="9649" xr:uid="{ED94D51E-B2CC-46F6-B212-7604815E8C5A}"/>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CEDD7136-BE27-485C-802C-06A071730682}"/>
    <cellStyle name="Comma 4 2 3 6 2 3" xfId="12207" xr:uid="{52A98DBA-99FE-49BA-B88D-76D21471279E}"/>
    <cellStyle name="Comma 4 2 3 6 3" xfId="5851" xr:uid="{00000000-0005-0000-0000-0000AC080000}"/>
    <cellStyle name="Comma 4 2 3 6 3 2" xfId="14280" xr:uid="{EE3931E6-C094-4060-8358-367C326F5180}"/>
    <cellStyle name="Comma 4 2 3 6 4" xfId="10062" xr:uid="{10323CBB-27C1-4B17-950F-4684430C3CF8}"/>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46CACF37-54B3-4586-8AA4-DF69EAFA7B56}"/>
    <cellStyle name="Comma 4 2 3 7 2 3" xfId="12620" xr:uid="{7F3F9037-FFAE-4682-B27F-1F894DB051BE}"/>
    <cellStyle name="Comma 4 2 3 7 3" xfId="6264" xr:uid="{00000000-0005-0000-0000-0000B0080000}"/>
    <cellStyle name="Comma 4 2 3 7 3 2" xfId="14693" xr:uid="{F5F45450-DA08-454F-87BA-197AAEB5AA74}"/>
    <cellStyle name="Comma 4 2 3 7 4" xfId="10475" xr:uid="{3D1AE5DA-C3EE-4094-83C5-CD304F0EDDD9}"/>
    <cellStyle name="Comma 4 2 3 8" xfId="2391" xr:uid="{00000000-0005-0000-0000-0000B1080000}"/>
    <cellStyle name="Comma 4 2 3 8 2" xfId="6677" xr:uid="{00000000-0005-0000-0000-0000B2080000}"/>
    <cellStyle name="Comma 4 2 3 8 2 2" xfId="15106" xr:uid="{5F1A938A-3918-4186-BB12-6F851B2A97D5}"/>
    <cellStyle name="Comma 4 2 3 8 3" xfId="10888" xr:uid="{9ECDD6B6-EB93-41D9-BF5C-41B15308AED8}"/>
    <cellStyle name="Comma 4 2 3 9" xfId="2374" xr:uid="{00000000-0005-0000-0000-0000B3080000}"/>
    <cellStyle name="Comma 4 2 4" xfId="140" xr:uid="{00000000-0005-0000-0000-0000B4080000}"/>
    <cellStyle name="Comma 4 2 4 10" xfId="4615" xr:uid="{00000000-0005-0000-0000-0000B5080000}"/>
    <cellStyle name="Comma 4 2 4 10 2" xfId="13044" xr:uid="{97F1CA5D-54E6-49D9-96CD-96883BBDDBEB}"/>
    <cellStyle name="Comma 4 2 4 11" xfId="8826" xr:uid="{8446EC8F-AB32-4911-A775-99ED1B0614D0}"/>
    <cellStyle name="Comma 4 2 4 2" xfId="141" xr:uid="{00000000-0005-0000-0000-0000B6080000}"/>
    <cellStyle name="Comma 4 2 4 2 10" xfId="8827" xr:uid="{42C4314A-DA64-4B26-929D-213704CB046A}"/>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5595309E-F9C2-4A3E-B25B-5FD152C0F2A0}"/>
    <cellStyle name="Comma 4 2 4 2 2 2 3" xfId="11386" xr:uid="{68DFFC98-B1AE-4112-932E-E3B05CCB4003}"/>
    <cellStyle name="Comma 4 2 4 2 2 3" xfId="5030" xr:uid="{00000000-0005-0000-0000-0000BA080000}"/>
    <cellStyle name="Comma 4 2 4 2 2 3 2" xfId="13459" xr:uid="{49BB5917-B54D-486F-A0BE-A85E93D064CE}"/>
    <cellStyle name="Comma 4 2 4 2 2 4" xfId="9241" xr:uid="{CD176187-17C7-4E02-B28A-2F064A69EC95}"/>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CE5E54C2-1781-4B00-8530-6AFC53BD122B}"/>
    <cellStyle name="Comma 4 2 4 2 3 2 3" xfId="11799" xr:uid="{1111B013-A385-4DCB-91B9-966F54CCF235}"/>
    <cellStyle name="Comma 4 2 4 2 3 3" xfId="5443" xr:uid="{00000000-0005-0000-0000-0000BE080000}"/>
    <cellStyle name="Comma 4 2 4 2 3 3 2" xfId="13872" xr:uid="{89F3F98A-3190-41B9-A0D9-15E7AA35D04F}"/>
    <cellStyle name="Comma 4 2 4 2 3 4" xfId="9654" xr:uid="{BA70837E-B60B-4700-9F62-CF423FF6CF6D}"/>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2FFDD384-CB4E-40AD-AC8E-8FB71904C884}"/>
    <cellStyle name="Comma 4 2 4 2 4 2 3" xfId="12212" xr:uid="{DF5C97C9-E43F-4AB7-8530-17F68166ACE9}"/>
    <cellStyle name="Comma 4 2 4 2 4 3" xfId="5856" xr:uid="{00000000-0005-0000-0000-0000C2080000}"/>
    <cellStyle name="Comma 4 2 4 2 4 3 2" xfId="14285" xr:uid="{6A8D899D-FEE9-4A95-B035-BB1DE6C4561C}"/>
    <cellStyle name="Comma 4 2 4 2 4 4" xfId="10067" xr:uid="{4B08ED04-D00C-4EC9-8A83-20D5922D602A}"/>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A3B4EF5C-692D-4EA4-96A2-D114DE9DDBB7}"/>
    <cellStyle name="Comma 4 2 4 2 5 2 3" xfId="12625" xr:uid="{CE0DE0EE-6B6F-4D9C-B1AB-94C2DC3B4DDD}"/>
    <cellStyle name="Comma 4 2 4 2 5 3" xfId="6269" xr:uid="{00000000-0005-0000-0000-0000C6080000}"/>
    <cellStyle name="Comma 4 2 4 2 5 3 2" xfId="14698" xr:uid="{71BF92D8-E43E-4146-A69A-A3F950A1276F}"/>
    <cellStyle name="Comma 4 2 4 2 5 4" xfId="10480" xr:uid="{58D95380-C66C-4CB7-B6DE-2FCDB210725A}"/>
    <cellStyle name="Comma 4 2 4 2 6" xfId="2396" xr:uid="{00000000-0005-0000-0000-0000C7080000}"/>
    <cellStyle name="Comma 4 2 4 2 6 2" xfId="6682" xr:uid="{00000000-0005-0000-0000-0000C8080000}"/>
    <cellStyle name="Comma 4 2 4 2 6 2 2" xfId="15111" xr:uid="{86A2D1FB-0B9F-4F38-9D6F-7B0B5468BC32}"/>
    <cellStyle name="Comma 4 2 4 2 6 3" xfId="10893" xr:uid="{5D16D054-51AE-4D32-AE37-C8C029EF959D}"/>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54FC3A81-CEB5-44D5-9D17-188012D71AE8}"/>
    <cellStyle name="Comma 4 2 4 2 8 3" xfId="11210" xr:uid="{5728909F-53DD-4ED2-AAB9-F39112B6E75A}"/>
    <cellStyle name="Comma 4 2 4 2 9" xfId="4616" xr:uid="{00000000-0005-0000-0000-0000CC080000}"/>
    <cellStyle name="Comma 4 2 4 2 9 2" xfId="13045" xr:uid="{24718BF1-6812-4BC6-8022-B6EB72665D9F}"/>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4B397C92-8EA4-45D1-9722-F538DAC1863D}"/>
    <cellStyle name="Comma 4 2 4 3 2 3" xfId="11385" xr:uid="{681311CF-A475-4CA2-9301-52AC959EA1D3}"/>
    <cellStyle name="Comma 4 2 4 3 3" xfId="5029" xr:uid="{00000000-0005-0000-0000-0000D0080000}"/>
    <cellStyle name="Comma 4 2 4 3 3 2" xfId="13458" xr:uid="{6FA43C54-F5BA-4E40-8D6E-5256DA136372}"/>
    <cellStyle name="Comma 4 2 4 3 4" xfId="9240" xr:uid="{84475D48-DB48-4E4F-923D-1780BFF78DA8}"/>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FA64DC95-D18C-4C06-8146-D0CAD8FE3F7C}"/>
    <cellStyle name="Comma 4 2 4 4 2 3" xfId="11798" xr:uid="{A07E7D88-D342-49D6-AC18-3A7D56E5E9D3}"/>
    <cellStyle name="Comma 4 2 4 4 3" xfId="5442" xr:uid="{00000000-0005-0000-0000-0000D4080000}"/>
    <cellStyle name="Comma 4 2 4 4 3 2" xfId="13871" xr:uid="{C781BBFC-C0BD-46F8-827C-D85CF8DA264C}"/>
    <cellStyle name="Comma 4 2 4 4 4" xfId="9653" xr:uid="{B4F952E3-4D9E-4310-A8B3-C2FD3513EE58}"/>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04AA2C1B-6273-41AE-9FEE-16336248FFFA}"/>
    <cellStyle name="Comma 4 2 4 5 2 3" xfId="12211" xr:uid="{1E2DC833-8D6A-43C2-8236-716EC1684BDC}"/>
    <cellStyle name="Comma 4 2 4 5 3" xfId="5855" xr:uid="{00000000-0005-0000-0000-0000D8080000}"/>
    <cellStyle name="Comma 4 2 4 5 3 2" xfId="14284" xr:uid="{FA188A71-D70E-4032-BFC4-D4A754179B44}"/>
    <cellStyle name="Comma 4 2 4 5 4" xfId="10066" xr:uid="{C37D150B-4390-4A4E-8538-439C0A9EAB69}"/>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7AB0645E-9DD7-494E-8035-A514E36EF8C9}"/>
    <cellStyle name="Comma 4 2 4 6 2 3" xfId="12624" xr:uid="{7F4753B8-10C1-4673-8911-A4AD7B4E4BBC}"/>
    <cellStyle name="Comma 4 2 4 6 3" xfId="6268" xr:uid="{00000000-0005-0000-0000-0000DC080000}"/>
    <cellStyle name="Comma 4 2 4 6 3 2" xfId="14697" xr:uid="{346719BA-AB15-4F37-A842-8179A2224A35}"/>
    <cellStyle name="Comma 4 2 4 6 4" xfId="10479" xr:uid="{AE284AFD-D3F6-4B77-9C31-48CDA9C2BE1F}"/>
    <cellStyle name="Comma 4 2 4 7" xfId="2395" xr:uid="{00000000-0005-0000-0000-0000DD080000}"/>
    <cellStyle name="Comma 4 2 4 7 2" xfId="6681" xr:uid="{00000000-0005-0000-0000-0000DE080000}"/>
    <cellStyle name="Comma 4 2 4 7 2 2" xfId="15110" xr:uid="{3806DE5C-F5E1-46FF-B6B9-9259CFE00266}"/>
    <cellStyle name="Comma 4 2 4 7 3" xfId="10892" xr:uid="{F3153EE5-31FD-4B8A-96FE-4D7F0B130495}"/>
    <cellStyle name="Comma 4 2 4 8" xfId="2370" xr:uid="{00000000-0005-0000-0000-0000DF080000}"/>
    <cellStyle name="Comma 4 2 4 9" xfId="2773" xr:uid="{00000000-0005-0000-0000-0000E0080000}"/>
    <cellStyle name="Comma 4 2 4 9 2" xfId="6998" xr:uid="{00000000-0005-0000-0000-0000E1080000}"/>
    <cellStyle name="Comma 4 2 4 9 2 2" xfId="15427" xr:uid="{CAD5FC7C-21F8-4F08-9E8D-E6E41439773C}"/>
    <cellStyle name="Comma 4 2 4 9 3" xfId="11209" xr:uid="{A63BC601-5AEE-45FA-9695-822DC3D670CE}"/>
    <cellStyle name="Comma 4 2 5" xfId="142" xr:uid="{00000000-0005-0000-0000-0000E2080000}"/>
    <cellStyle name="Comma 4 2 5 10" xfId="8828" xr:uid="{B9236FAA-CA1F-4F11-8209-C473EDA3CA58}"/>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D05BE91B-62F9-4B96-95C5-5B2483BFB84A}"/>
    <cellStyle name="Comma 4 2 5 2 2 3" xfId="11387" xr:uid="{40292483-8B21-456A-9955-227D06188518}"/>
    <cellStyle name="Comma 4 2 5 2 3" xfId="5031" xr:uid="{00000000-0005-0000-0000-0000E6080000}"/>
    <cellStyle name="Comma 4 2 5 2 3 2" xfId="13460" xr:uid="{CA1384CD-BA1F-45B0-A1FA-7996AACF3A1A}"/>
    <cellStyle name="Comma 4 2 5 2 4" xfId="9242" xr:uid="{61EF2441-B023-450D-A47B-E24B07CAF0CD}"/>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A8D1CE33-53CE-4586-9567-10065033C771}"/>
    <cellStyle name="Comma 4 2 5 3 2 3" xfId="11800" xr:uid="{DEC3B6F5-C17D-45E5-9CA3-553483381ED5}"/>
    <cellStyle name="Comma 4 2 5 3 3" xfId="5444" xr:uid="{00000000-0005-0000-0000-0000EA080000}"/>
    <cellStyle name="Comma 4 2 5 3 3 2" xfId="13873" xr:uid="{7E088E09-D425-4746-838A-075DD7D34E9C}"/>
    <cellStyle name="Comma 4 2 5 3 4" xfId="9655" xr:uid="{AC54A81F-3C89-4265-A770-6301B9FA7DA2}"/>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E4E210C6-4837-4BCC-AA83-34622C71F76E}"/>
    <cellStyle name="Comma 4 2 5 4 2 3" xfId="12213" xr:uid="{CF14F9F4-CF85-47DD-B9C2-F84DC909D436}"/>
    <cellStyle name="Comma 4 2 5 4 3" xfId="5857" xr:uid="{00000000-0005-0000-0000-0000EE080000}"/>
    <cellStyle name="Comma 4 2 5 4 3 2" xfId="14286" xr:uid="{50482072-BCF6-43EA-8041-5ED9477866B8}"/>
    <cellStyle name="Comma 4 2 5 4 4" xfId="10068" xr:uid="{0DED0E8F-BFEC-4148-B068-FF908C3440E8}"/>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E6C3A7DE-FA70-421B-BF2F-4BAB6D724035}"/>
    <cellStyle name="Comma 4 2 5 5 2 3" xfId="12626" xr:uid="{529019DC-331D-4252-9786-0E871EB27E1C}"/>
    <cellStyle name="Comma 4 2 5 5 3" xfId="6270" xr:uid="{00000000-0005-0000-0000-0000F2080000}"/>
    <cellStyle name="Comma 4 2 5 5 3 2" xfId="14699" xr:uid="{D2B2EE88-014B-4489-81F3-014DF0410381}"/>
    <cellStyle name="Comma 4 2 5 5 4" xfId="10481" xr:uid="{C3A13EFE-3DFC-4766-AE7E-1C47682138E5}"/>
    <cellStyle name="Comma 4 2 5 6" xfId="2397" xr:uid="{00000000-0005-0000-0000-0000F3080000}"/>
    <cellStyle name="Comma 4 2 5 6 2" xfId="6683" xr:uid="{00000000-0005-0000-0000-0000F4080000}"/>
    <cellStyle name="Comma 4 2 5 6 2 2" xfId="15112" xr:uid="{9A2B0D49-29F4-4DFF-BC0E-B22D00405FC0}"/>
    <cellStyle name="Comma 4 2 5 6 3" xfId="10894" xr:uid="{E430884A-35FB-440C-BBEE-C25BD09DBECB}"/>
    <cellStyle name="Comma 4 2 5 7" xfId="2368" xr:uid="{00000000-0005-0000-0000-0000F5080000}"/>
    <cellStyle name="Comma 4 2 5 8" xfId="2775" xr:uid="{00000000-0005-0000-0000-0000F6080000}"/>
    <cellStyle name="Comma 4 2 5 8 2" xfId="7000" xr:uid="{00000000-0005-0000-0000-0000F7080000}"/>
    <cellStyle name="Comma 4 2 5 8 2 2" xfId="15429" xr:uid="{56E354CA-0F8A-4714-9958-EBC488633A5A}"/>
    <cellStyle name="Comma 4 2 5 8 3" xfId="11211" xr:uid="{1D11BF66-0A91-496D-BFEC-04B0FB0B3E30}"/>
    <cellStyle name="Comma 4 2 5 9" xfId="4617" xr:uid="{00000000-0005-0000-0000-0000F8080000}"/>
    <cellStyle name="Comma 4 2 5 9 2" xfId="13046" xr:uid="{B5DD80A3-30B7-4744-BCE9-441E5360AB26}"/>
    <cellStyle name="Comma 4 2 6" xfId="143" xr:uid="{00000000-0005-0000-0000-0000F9080000}"/>
    <cellStyle name="Comma 4 2 6 10" xfId="8829" xr:uid="{8A16B47C-C978-448A-BB81-3BA5AB4C32E5}"/>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9C92F94F-0717-41BD-A978-105EE53F081A}"/>
    <cellStyle name="Comma 4 2 6 2 2 3" xfId="11388" xr:uid="{0B603C09-C150-4AA8-83E3-BA1BC697DA15}"/>
    <cellStyle name="Comma 4 2 6 2 3" xfId="5032" xr:uid="{00000000-0005-0000-0000-0000FD080000}"/>
    <cellStyle name="Comma 4 2 6 2 3 2" xfId="13461" xr:uid="{AFCE7386-0F27-41AF-BA8C-18CC8324B14D}"/>
    <cellStyle name="Comma 4 2 6 2 4" xfId="9243" xr:uid="{CB585FDD-5484-424A-93D6-29DE20381034}"/>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930F040C-0A76-4427-A197-4C12D876E22A}"/>
    <cellStyle name="Comma 4 2 6 3 2 3" xfId="11801" xr:uid="{D26677F1-8DF2-4100-9E82-D10825F23E4A}"/>
    <cellStyle name="Comma 4 2 6 3 3" xfId="5445" xr:uid="{00000000-0005-0000-0000-000001090000}"/>
    <cellStyle name="Comma 4 2 6 3 3 2" xfId="13874" xr:uid="{324D718F-EF65-4829-8085-7CE3C50B47E2}"/>
    <cellStyle name="Comma 4 2 6 3 4" xfId="9656" xr:uid="{6187CC3B-D589-41D3-A75B-3F465D751F51}"/>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97C20F86-836C-4C46-A3D1-2C7A557D2B3C}"/>
    <cellStyle name="Comma 4 2 6 4 2 3" xfId="12214" xr:uid="{67A6557D-BB8D-4702-8183-CC52F1211CC1}"/>
    <cellStyle name="Comma 4 2 6 4 3" xfId="5858" xr:uid="{00000000-0005-0000-0000-000005090000}"/>
    <cellStyle name="Comma 4 2 6 4 3 2" xfId="14287" xr:uid="{FBEF9694-FB8F-4E3F-A4B0-6E848DA0C43C}"/>
    <cellStyle name="Comma 4 2 6 4 4" xfId="10069" xr:uid="{DDB92EAA-B466-4364-BD94-14BCAE2B2101}"/>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4F92D89B-A180-4326-B4C0-72AE39E3CC4A}"/>
    <cellStyle name="Comma 4 2 6 5 2 3" xfId="12627" xr:uid="{D94F321B-A741-4C6C-8912-9ED1C4B4ACE2}"/>
    <cellStyle name="Comma 4 2 6 5 3" xfId="6271" xr:uid="{00000000-0005-0000-0000-000009090000}"/>
    <cellStyle name="Comma 4 2 6 5 3 2" xfId="14700" xr:uid="{4CE31B79-F8AD-465E-A532-33D3E9B1D8EC}"/>
    <cellStyle name="Comma 4 2 6 5 4" xfId="10482" xr:uid="{CA314619-1BF6-4424-B022-BDAAD446FEBF}"/>
    <cellStyle name="Comma 4 2 6 6" xfId="2398" xr:uid="{00000000-0005-0000-0000-00000A090000}"/>
    <cellStyle name="Comma 4 2 6 6 2" xfId="6684" xr:uid="{00000000-0005-0000-0000-00000B090000}"/>
    <cellStyle name="Comma 4 2 6 6 2 2" xfId="15113" xr:uid="{5516BE67-9ACA-449E-9034-EC8780679695}"/>
    <cellStyle name="Comma 4 2 6 6 3" xfId="10895" xr:uid="{AA2E8AC5-31FB-45C7-9072-C0B168D7BF94}"/>
    <cellStyle name="Comma 4 2 6 7" xfId="2367" xr:uid="{00000000-0005-0000-0000-00000C090000}"/>
    <cellStyle name="Comma 4 2 6 8" xfId="2776" xr:uid="{00000000-0005-0000-0000-00000D090000}"/>
    <cellStyle name="Comma 4 2 6 8 2" xfId="7001" xr:uid="{00000000-0005-0000-0000-00000E090000}"/>
    <cellStyle name="Comma 4 2 6 8 2 2" xfId="15430" xr:uid="{37994E26-83E7-4A83-A484-1CA29C8460A2}"/>
    <cellStyle name="Comma 4 2 6 8 3" xfId="11212" xr:uid="{DED5FDE8-0F08-42D2-B1C1-E839FB2F23FD}"/>
    <cellStyle name="Comma 4 2 6 9" xfId="4618" xr:uid="{00000000-0005-0000-0000-00000F090000}"/>
    <cellStyle name="Comma 4 2 6 9 2" xfId="13047" xr:uid="{0DF42128-24C1-4EE6-B1AA-81F7DF2772FF}"/>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9FA27779-1602-400D-A435-9DFA482D5C11}"/>
    <cellStyle name="Comma 4 3 2 10 3" xfId="11213" xr:uid="{92C68DDE-9838-401F-93F7-886C85E57A8B}"/>
    <cellStyle name="Comma 4 3 2 11" xfId="4619" xr:uid="{00000000-0005-0000-0000-000014090000}"/>
    <cellStyle name="Comma 4 3 2 11 2" xfId="13048" xr:uid="{4F1E188D-72AC-4720-83FD-5DCAA366D056}"/>
    <cellStyle name="Comma 4 3 2 12" xfId="8830" xr:uid="{10E78575-60A6-473D-AD18-D0EB878F23A7}"/>
    <cellStyle name="Comma 4 3 2 2" xfId="146" xr:uid="{00000000-0005-0000-0000-000015090000}"/>
    <cellStyle name="Comma 4 3 2 2 10" xfId="4620" xr:uid="{00000000-0005-0000-0000-000016090000}"/>
    <cellStyle name="Comma 4 3 2 2 10 2" xfId="13049" xr:uid="{6B1424EA-719B-4C97-99AE-163A8CC8021C}"/>
    <cellStyle name="Comma 4 3 2 2 11" xfId="8831" xr:uid="{AA39027C-E079-4B84-8011-26C4582D916C}"/>
    <cellStyle name="Comma 4 3 2 2 2" xfId="147" xr:uid="{00000000-0005-0000-0000-000017090000}"/>
    <cellStyle name="Comma 4 3 2 2 2 10" xfId="8832" xr:uid="{C72B8821-FCA1-46DF-81DE-A4C59F3473DE}"/>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48AE8536-F293-4403-A7FB-8A1003F0A4A9}"/>
    <cellStyle name="Comma 4 3 2 2 2 2 2 3" xfId="11391" xr:uid="{800FF36A-70D6-409E-8465-532DEC33D102}"/>
    <cellStyle name="Comma 4 3 2 2 2 2 3" xfId="5035" xr:uid="{00000000-0005-0000-0000-00001B090000}"/>
    <cellStyle name="Comma 4 3 2 2 2 2 3 2" xfId="13464" xr:uid="{79C6153B-7EAD-449C-BFE7-FC0559A0AB31}"/>
    <cellStyle name="Comma 4 3 2 2 2 2 4" xfId="9246" xr:uid="{3DEBA712-7AB4-4ACF-B473-EC69ECA91676}"/>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B59B1DFD-9137-4893-BA00-6E77ECE142B7}"/>
    <cellStyle name="Comma 4 3 2 2 2 3 2 3" xfId="11804" xr:uid="{D3A9D837-001A-4765-8EA8-841502C10E61}"/>
    <cellStyle name="Comma 4 3 2 2 2 3 3" xfId="5448" xr:uid="{00000000-0005-0000-0000-00001F090000}"/>
    <cellStyle name="Comma 4 3 2 2 2 3 3 2" xfId="13877" xr:uid="{33CB88A3-1016-4373-86D9-6F23985EC74D}"/>
    <cellStyle name="Comma 4 3 2 2 2 3 4" xfId="9659" xr:uid="{945658A5-2D4E-46F4-B514-3EAFAB40FE0E}"/>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8CB6E865-4BF9-4D9F-BE93-402A08743888}"/>
    <cellStyle name="Comma 4 3 2 2 2 4 2 3" xfId="12217" xr:uid="{935DE7B1-D71B-40F2-A909-D89A34D975CC}"/>
    <cellStyle name="Comma 4 3 2 2 2 4 3" xfId="5861" xr:uid="{00000000-0005-0000-0000-000023090000}"/>
    <cellStyle name="Comma 4 3 2 2 2 4 3 2" xfId="14290" xr:uid="{4FE8D6FA-188C-4CF5-B5EB-3CD3721909E8}"/>
    <cellStyle name="Comma 4 3 2 2 2 4 4" xfId="10072" xr:uid="{08BC5CA6-BFE0-428E-87F5-352F4E3A0D77}"/>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453FF6FD-13E4-4CEA-AF93-F5D3EE5602A0}"/>
    <cellStyle name="Comma 4 3 2 2 2 5 2 3" xfId="12630" xr:uid="{6E087F97-AE58-43CC-9A4D-202B6375CD2E}"/>
    <cellStyle name="Comma 4 3 2 2 2 5 3" xfId="6274" xr:uid="{00000000-0005-0000-0000-000027090000}"/>
    <cellStyle name="Comma 4 3 2 2 2 5 3 2" xfId="14703" xr:uid="{F8335015-BE6E-4CD1-A378-4591F105EF0B}"/>
    <cellStyle name="Comma 4 3 2 2 2 5 4" xfId="10485" xr:uid="{A405192D-F1C5-47FE-917B-E7283175356D}"/>
    <cellStyle name="Comma 4 3 2 2 2 6" xfId="2401" xr:uid="{00000000-0005-0000-0000-000028090000}"/>
    <cellStyle name="Comma 4 3 2 2 2 6 2" xfId="6687" xr:uid="{00000000-0005-0000-0000-000029090000}"/>
    <cellStyle name="Comma 4 3 2 2 2 6 2 2" xfId="15116" xr:uid="{928450AE-EEF4-4253-A94F-4E0F2FA126C7}"/>
    <cellStyle name="Comma 4 3 2 2 2 6 3" xfId="10898" xr:uid="{00F1B6EF-C9E1-4B16-82F8-9F8E241E978C}"/>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10F04236-A5F2-457A-B81F-838F19AB3EEE}"/>
    <cellStyle name="Comma 4 3 2 2 2 8 3" xfId="11215" xr:uid="{589FBC16-8ABD-48DF-9AC8-55FB36D81E0B}"/>
    <cellStyle name="Comma 4 3 2 2 2 9" xfId="4621" xr:uid="{00000000-0005-0000-0000-00002D090000}"/>
    <cellStyle name="Comma 4 3 2 2 2 9 2" xfId="13050" xr:uid="{17470EA3-7D8E-4817-B453-CFD135555BF5}"/>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7901CC6E-15B6-458F-B45A-82A18A1681D4}"/>
    <cellStyle name="Comma 4 3 2 2 3 2 3" xfId="11390" xr:uid="{45F1CAB1-5836-4120-9231-A67FF2B8DF2F}"/>
    <cellStyle name="Comma 4 3 2 2 3 3" xfId="5034" xr:uid="{00000000-0005-0000-0000-000031090000}"/>
    <cellStyle name="Comma 4 3 2 2 3 3 2" xfId="13463" xr:uid="{24B04110-2F2E-40DC-B576-19EF9250AB7E}"/>
    <cellStyle name="Comma 4 3 2 2 3 4" xfId="9245" xr:uid="{5FEFF0B6-6F65-4DA8-BBF2-149304D5EC5C}"/>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CEFA815D-B03A-44F0-A1AC-58EE92CB3390}"/>
    <cellStyle name="Comma 4 3 2 2 4 2 3" xfId="11803" xr:uid="{15B42987-B31D-470D-A505-B04DB7707B7F}"/>
    <cellStyle name="Comma 4 3 2 2 4 3" xfId="5447" xr:uid="{00000000-0005-0000-0000-000035090000}"/>
    <cellStyle name="Comma 4 3 2 2 4 3 2" xfId="13876" xr:uid="{67AE1A7D-ED33-458A-BCD1-26232A439347}"/>
    <cellStyle name="Comma 4 3 2 2 4 4" xfId="9658" xr:uid="{2711DBAC-829C-4A6B-8584-6B060789F807}"/>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90E82C05-21BA-4DE6-813C-F449A0ABC17C}"/>
    <cellStyle name="Comma 4 3 2 2 5 2 3" xfId="12216" xr:uid="{E955370F-039A-485C-9C7E-D03B32D94206}"/>
    <cellStyle name="Comma 4 3 2 2 5 3" xfId="5860" xr:uid="{00000000-0005-0000-0000-000039090000}"/>
    <cellStyle name="Comma 4 3 2 2 5 3 2" xfId="14289" xr:uid="{32094543-BEB9-499A-A96A-983F71235D6A}"/>
    <cellStyle name="Comma 4 3 2 2 5 4" xfId="10071" xr:uid="{A4742CFA-2EFA-4FFC-B462-0C4C4A1CE81E}"/>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149CC523-59DB-488E-84B6-6FE4BFFD16BD}"/>
    <cellStyle name="Comma 4 3 2 2 6 2 3" xfId="12629" xr:uid="{3B5FD792-8924-42C8-90F7-51867AA295EB}"/>
    <cellStyle name="Comma 4 3 2 2 6 3" xfId="6273" xr:uid="{00000000-0005-0000-0000-00003D090000}"/>
    <cellStyle name="Comma 4 3 2 2 6 3 2" xfId="14702" xr:uid="{6C8C47DB-B5AA-4817-8C66-62C929D3E26D}"/>
    <cellStyle name="Comma 4 3 2 2 6 4" xfId="10484" xr:uid="{1C5B5B61-4F72-4918-A159-F41FE0A63ADF}"/>
    <cellStyle name="Comma 4 3 2 2 7" xfId="2400" xr:uid="{00000000-0005-0000-0000-00003E090000}"/>
    <cellStyle name="Comma 4 3 2 2 7 2" xfId="6686" xr:uid="{00000000-0005-0000-0000-00003F090000}"/>
    <cellStyle name="Comma 4 3 2 2 7 2 2" xfId="15115" xr:uid="{E271454F-01E1-4F33-8D80-8A5F667B9ED6}"/>
    <cellStyle name="Comma 4 3 2 2 7 3" xfId="10897" xr:uid="{1EA27622-F0F0-4615-BC1C-1ED082ADD41D}"/>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2FD156AA-35BF-47E1-8D61-7E34E83D664B}"/>
    <cellStyle name="Comma 4 3 2 2 9 3" xfId="11214" xr:uid="{F64E2C5A-0A75-4E58-A395-6AAFAB70D5B6}"/>
    <cellStyle name="Comma 4 3 2 3" xfId="148" xr:uid="{00000000-0005-0000-0000-000043090000}"/>
    <cellStyle name="Comma 4 3 2 3 10" xfId="8833" xr:uid="{28E32E0C-B3AE-4B7B-BDDA-0F4F0E37FF1C}"/>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A0D6BEB4-467C-492E-9BFD-EAB5A5198634}"/>
    <cellStyle name="Comma 4 3 2 3 2 2 3" xfId="11392" xr:uid="{FB3ADDD6-A288-4D0B-902D-6847BD5E4665}"/>
    <cellStyle name="Comma 4 3 2 3 2 3" xfId="5036" xr:uid="{00000000-0005-0000-0000-000047090000}"/>
    <cellStyle name="Comma 4 3 2 3 2 3 2" xfId="13465" xr:uid="{1E65CA44-4BE8-4504-B2C5-76054341A2F4}"/>
    <cellStyle name="Comma 4 3 2 3 2 4" xfId="9247" xr:uid="{477E30BC-8E03-4754-AB36-56ECF16597FD}"/>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3CCB3681-9117-4658-9E87-3537BA742FDA}"/>
    <cellStyle name="Comma 4 3 2 3 3 2 3" xfId="11805" xr:uid="{E109E8AB-269B-4366-88A2-30CA81B732AD}"/>
    <cellStyle name="Comma 4 3 2 3 3 3" xfId="5449" xr:uid="{00000000-0005-0000-0000-00004B090000}"/>
    <cellStyle name="Comma 4 3 2 3 3 3 2" xfId="13878" xr:uid="{279E81C0-E337-4166-8F49-2B136B4C70AC}"/>
    <cellStyle name="Comma 4 3 2 3 3 4" xfId="9660" xr:uid="{A2A3E50C-C7FB-4AA1-8968-8DFF2B7791F2}"/>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FD7139C4-3FB6-402D-9A52-89AEA871109D}"/>
    <cellStyle name="Comma 4 3 2 3 4 2 3" xfId="12218" xr:uid="{31B17A3A-716D-4E80-A3C0-944F04AE4476}"/>
    <cellStyle name="Comma 4 3 2 3 4 3" xfId="5862" xr:uid="{00000000-0005-0000-0000-00004F090000}"/>
    <cellStyle name="Comma 4 3 2 3 4 3 2" xfId="14291" xr:uid="{27EA7048-EE53-491D-A8A0-A30D89FC0C2B}"/>
    <cellStyle name="Comma 4 3 2 3 4 4" xfId="10073" xr:uid="{78EFB6C5-89D8-4F8F-B831-649760F367D4}"/>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0D21870F-1812-448A-A45C-7C3A36843FBA}"/>
    <cellStyle name="Comma 4 3 2 3 5 2 3" xfId="12631" xr:uid="{328ACCC0-13E0-4E09-BDA7-A6FDC957487F}"/>
    <cellStyle name="Comma 4 3 2 3 5 3" xfId="6275" xr:uid="{00000000-0005-0000-0000-000053090000}"/>
    <cellStyle name="Comma 4 3 2 3 5 3 2" xfId="14704" xr:uid="{5E64E4A8-1AEA-4909-A17B-D20E5D55C7BD}"/>
    <cellStyle name="Comma 4 3 2 3 5 4" xfId="10486" xr:uid="{12FA85F4-96AD-4682-B310-48D62909E0B7}"/>
    <cellStyle name="Comma 4 3 2 3 6" xfId="2402" xr:uid="{00000000-0005-0000-0000-000054090000}"/>
    <cellStyle name="Comma 4 3 2 3 6 2" xfId="6688" xr:uid="{00000000-0005-0000-0000-000055090000}"/>
    <cellStyle name="Comma 4 3 2 3 6 2 2" xfId="15117" xr:uid="{288442C6-6D45-45FD-8748-82286E58EDD8}"/>
    <cellStyle name="Comma 4 3 2 3 6 3" xfId="10899" xr:uid="{3AD03DFD-7FF6-413C-B24C-B3F4577E3CAD}"/>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746114F3-97B9-4B47-8724-69659B3EE133}"/>
    <cellStyle name="Comma 4 3 2 3 8 3" xfId="11216" xr:uid="{1F8C10B7-1D72-4276-BE87-2C441B98CA46}"/>
    <cellStyle name="Comma 4 3 2 3 9" xfId="4622" xr:uid="{00000000-0005-0000-0000-000059090000}"/>
    <cellStyle name="Comma 4 3 2 3 9 2" xfId="13051" xr:uid="{1E55D486-0A0D-4957-8D8E-C9BE1E396D30}"/>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1EE01DAD-51B0-4F80-8397-BCDC29B6B978}"/>
    <cellStyle name="Comma 4 3 2 4 2 3" xfId="11389" xr:uid="{31CE2F92-1EDF-4BFC-B6F6-5A395093EBCF}"/>
    <cellStyle name="Comma 4 3 2 4 3" xfId="5033" xr:uid="{00000000-0005-0000-0000-00005D090000}"/>
    <cellStyle name="Comma 4 3 2 4 3 2" xfId="13462" xr:uid="{FA538FC2-D6B9-4C09-B856-18C2CEF804E4}"/>
    <cellStyle name="Comma 4 3 2 4 4" xfId="9244" xr:uid="{8C6A23AD-21C9-46FD-847A-F76845F3AC70}"/>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152B1427-FA40-4643-A5FA-217215B352D9}"/>
    <cellStyle name="Comma 4 3 2 5 2 3" xfId="11802" xr:uid="{780B056D-9570-4F48-B482-A903CBF8DA04}"/>
    <cellStyle name="Comma 4 3 2 5 3" xfId="5446" xr:uid="{00000000-0005-0000-0000-000061090000}"/>
    <cellStyle name="Comma 4 3 2 5 3 2" xfId="13875" xr:uid="{C902C830-FFBD-48EA-B8D7-31D529CB7468}"/>
    <cellStyle name="Comma 4 3 2 5 4" xfId="9657" xr:uid="{CD4E4599-8328-4C21-B1AC-913C989F3698}"/>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F8455F92-D82B-4EC8-B16D-4459F0C40974}"/>
    <cellStyle name="Comma 4 3 2 6 2 3" xfId="12215" xr:uid="{378DF591-01E4-4FCB-9E9A-115FD26860A1}"/>
    <cellStyle name="Comma 4 3 2 6 3" xfId="5859" xr:uid="{00000000-0005-0000-0000-000065090000}"/>
    <cellStyle name="Comma 4 3 2 6 3 2" xfId="14288" xr:uid="{A1C95CBE-0D47-4437-B654-0ECF0890F3DE}"/>
    <cellStyle name="Comma 4 3 2 6 4" xfId="10070" xr:uid="{29F846A6-87E9-4059-95CD-0348DF343F5B}"/>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93551BA2-7B30-4766-9F9F-29840A6AD069}"/>
    <cellStyle name="Comma 4 3 2 7 2 3" xfId="12628" xr:uid="{B828C2A1-780E-4638-93B8-92CF4445325E}"/>
    <cellStyle name="Comma 4 3 2 7 3" xfId="6272" xr:uid="{00000000-0005-0000-0000-000069090000}"/>
    <cellStyle name="Comma 4 3 2 7 3 2" xfId="14701" xr:uid="{3F8577C9-DD66-4BE2-BDDC-8FB8107B0DAA}"/>
    <cellStyle name="Comma 4 3 2 7 4" xfId="10483" xr:uid="{8B83A768-320F-4241-BC9A-54EBD9796F1A}"/>
    <cellStyle name="Comma 4 3 2 8" xfId="2399" xr:uid="{00000000-0005-0000-0000-00006A090000}"/>
    <cellStyle name="Comma 4 3 2 8 2" xfId="6685" xr:uid="{00000000-0005-0000-0000-00006B090000}"/>
    <cellStyle name="Comma 4 3 2 8 2 2" xfId="15114" xr:uid="{8A75395E-DD8C-4B9F-AEB9-529EE6C25451}"/>
    <cellStyle name="Comma 4 3 2 8 3" xfId="10896" xr:uid="{6F7A332D-9EC8-41BB-BC69-07360CE1FB5F}"/>
    <cellStyle name="Comma 4 3 2 9" xfId="2366" xr:uid="{00000000-0005-0000-0000-00006C090000}"/>
    <cellStyle name="Comma 4 3 3" xfId="149" xr:uid="{00000000-0005-0000-0000-00006D090000}"/>
    <cellStyle name="Comma 4 3 3 10" xfId="4623" xr:uid="{00000000-0005-0000-0000-00006E090000}"/>
    <cellStyle name="Comma 4 3 3 10 2" xfId="13052" xr:uid="{A58D927A-6E10-4159-90D5-E62805B76B61}"/>
    <cellStyle name="Comma 4 3 3 11" xfId="8834" xr:uid="{C5A7518D-7717-4621-AAEC-F5AA8C790FB7}"/>
    <cellStyle name="Comma 4 3 3 2" xfId="150" xr:uid="{00000000-0005-0000-0000-00006F090000}"/>
    <cellStyle name="Comma 4 3 3 2 10" xfId="8835" xr:uid="{71FD6337-8FD4-4258-AA92-2B62452EB305}"/>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5BE332C7-3C86-415B-B9C0-9991230B72C3}"/>
    <cellStyle name="Comma 4 3 3 2 2 2 3" xfId="11394" xr:uid="{882F702C-3EE6-4F00-9E4F-E5D7F345050C}"/>
    <cellStyle name="Comma 4 3 3 2 2 3" xfId="5038" xr:uid="{00000000-0005-0000-0000-000073090000}"/>
    <cellStyle name="Comma 4 3 3 2 2 3 2" xfId="13467" xr:uid="{AA9D45B8-2895-46A5-8F87-D7932A06440D}"/>
    <cellStyle name="Comma 4 3 3 2 2 4" xfId="9249" xr:uid="{71759745-CF18-4AB1-A59E-AD319BCF9D75}"/>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42F2B419-FE55-4672-AE78-C69C127AA9F4}"/>
    <cellStyle name="Comma 4 3 3 2 3 2 3" xfId="11807" xr:uid="{CC62BBB5-828B-4E87-8426-DF5C5D437614}"/>
    <cellStyle name="Comma 4 3 3 2 3 3" xfId="5451" xr:uid="{00000000-0005-0000-0000-000077090000}"/>
    <cellStyle name="Comma 4 3 3 2 3 3 2" xfId="13880" xr:uid="{A86924A4-CA56-4B34-8B3E-02382495CE76}"/>
    <cellStyle name="Comma 4 3 3 2 3 4" xfId="9662" xr:uid="{3478EF3D-228C-42E3-8057-7A8A1162AD23}"/>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E980C552-6C1C-4E7A-8602-089C0C655373}"/>
    <cellStyle name="Comma 4 3 3 2 4 2 3" xfId="12220" xr:uid="{08930A5A-8E30-498C-8042-7B230790CDCA}"/>
    <cellStyle name="Comma 4 3 3 2 4 3" xfId="5864" xr:uid="{00000000-0005-0000-0000-00007B090000}"/>
    <cellStyle name="Comma 4 3 3 2 4 3 2" xfId="14293" xr:uid="{95516756-84E4-4351-B8C3-C04C3F82FDDF}"/>
    <cellStyle name="Comma 4 3 3 2 4 4" xfId="10075" xr:uid="{F4584031-E72F-465B-8BCC-1D33AD71C0DD}"/>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DD324477-3297-4C54-B68B-35B68A247131}"/>
    <cellStyle name="Comma 4 3 3 2 5 2 3" xfId="12633" xr:uid="{FB0C5C7B-278C-4852-926B-A7A8FD6D788D}"/>
    <cellStyle name="Comma 4 3 3 2 5 3" xfId="6277" xr:uid="{00000000-0005-0000-0000-00007F090000}"/>
    <cellStyle name="Comma 4 3 3 2 5 3 2" xfId="14706" xr:uid="{CB6D9676-E2C8-49B1-AACD-34E53A714C59}"/>
    <cellStyle name="Comma 4 3 3 2 5 4" xfId="10488" xr:uid="{3A130E41-C6B8-42F5-B75D-77BB43079DDE}"/>
    <cellStyle name="Comma 4 3 3 2 6" xfId="2404" xr:uid="{00000000-0005-0000-0000-000080090000}"/>
    <cellStyle name="Comma 4 3 3 2 6 2" xfId="6690" xr:uid="{00000000-0005-0000-0000-000081090000}"/>
    <cellStyle name="Comma 4 3 3 2 6 2 2" xfId="15119" xr:uid="{D793736D-9622-4BB7-8032-A18B940E48B5}"/>
    <cellStyle name="Comma 4 3 3 2 6 3" xfId="10901" xr:uid="{5DBDA3F7-9A86-4AB9-BDD7-09791669D273}"/>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E2FC80D8-7728-46D6-B9F3-6EC522AA3B3C}"/>
    <cellStyle name="Comma 4 3 3 2 8 3" xfId="11218" xr:uid="{3B32F257-7E20-4617-9852-EDE212054C6E}"/>
    <cellStyle name="Comma 4 3 3 2 9" xfId="4624" xr:uid="{00000000-0005-0000-0000-000085090000}"/>
    <cellStyle name="Comma 4 3 3 2 9 2" xfId="13053" xr:uid="{93FACDED-D5AB-4B32-8A8B-370E75F088B3}"/>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7D9DC472-0452-482B-82BA-8BF9719FB614}"/>
    <cellStyle name="Comma 4 3 3 3 2 3" xfId="11393" xr:uid="{79C252A1-4C5F-4B20-9352-A80164927B46}"/>
    <cellStyle name="Comma 4 3 3 3 3" xfId="5037" xr:uid="{00000000-0005-0000-0000-000089090000}"/>
    <cellStyle name="Comma 4 3 3 3 3 2" xfId="13466" xr:uid="{FB117D36-4D89-4873-A3A2-6A84460614A2}"/>
    <cellStyle name="Comma 4 3 3 3 4" xfId="9248" xr:uid="{131B5110-34A4-4743-8F84-B36F83F408D2}"/>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DC0BE0B3-4BCE-4F63-BEDE-C6B1EB5C94F9}"/>
    <cellStyle name="Comma 4 3 3 4 2 3" xfId="11806" xr:uid="{0AD124C2-9AB9-4FD0-80E0-AD53F0B77220}"/>
    <cellStyle name="Comma 4 3 3 4 3" xfId="5450" xr:uid="{00000000-0005-0000-0000-00008D090000}"/>
    <cellStyle name="Comma 4 3 3 4 3 2" xfId="13879" xr:uid="{229DAE3B-50A4-45C0-8F95-852446B6D4D6}"/>
    <cellStyle name="Comma 4 3 3 4 4" xfId="9661" xr:uid="{252CF5D1-0E4A-467E-BF37-B70955452AAE}"/>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1C96E6ED-BD16-4C61-828E-12D990051D16}"/>
    <cellStyle name="Comma 4 3 3 5 2 3" xfId="12219" xr:uid="{8D770F75-1FF3-48FD-862B-F42D5B96D7AC}"/>
    <cellStyle name="Comma 4 3 3 5 3" xfId="5863" xr:uid="{00000000-0005-0000-0000-000091090000}"/>
    <cellStyle name="Comma 4 3 3 5 3 2" xfId="14292" xr:uid="{9857D8EB-CBC4-46A8-8010-11AE963DBFE6}"/>
    <cellStyle name="Comma 4 3 3 5 4" xfId="10074" xr:uid="{BFC2640E-E7E7-43E1-8723-FFF7C280F54F}"/>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81DF672C-AFA4-416E-B790-53AF94169930}"/>
    <cellStyle name="Comma 4 3 3 6 2 3" xfId="12632" xr:uid="{D1CC462D-9C7B-4AE2-82D8-BF0BB71F378B}"/>
    <cellStyle name="Comma 4 3 3 6 3" xfId="6276" xr:uid="{00000000-0005-0000-0000-000095090000}"/>
    <cellStyle name="Comma 4 3 3 6 3 2" xfId="14705" xr:uid="{440CE4CA-DE32-4789-A4AF-F5BED8D12D8F}"/>
    <cellStyle name="Comma 4 3 3 6 4" xfId="10487" xr:uid="{92D71C08-6A2A-4A3D-BF69-90A4170743C1}"/>
    <cellStyle name="Comma 4 3 3 7" xfId="2403" xr:uid="{00000000-0005-0000-0000-000096090000}"/>
    <cellStyle name="Comma 4 3 3 7 2" xfId="6689" xr:uid="{00000000-0005-0000-0000-000097090000}"/>
    <cellStyle name="Comma 4 3 3 7 2 2" xfId="15118" xr:uid="{FE24A506-378C-4B5C-8EAF-66F61F1A4AD7}"/>
    <cellStyle name="Comma 4 3 3 7 3" xfId="10900" xr:uid="{C9B8CE9E-CC10-4F41-AE5B-AC24C9F14F74}"/>
    <cellStyle name="Comma 4 3 3 8" xfId="2362" xr:uid="{00000000-0005-0000-0000-000098090000}"/>
    <cellStyle name="Comma 4 3 3 9" xfId="2781" xr:uid="{00000000-0005-0000-0000-000099090000}"/>
    <cellStyle name="Comma 4 3 3 9 2" xfId="7006" xr:uid="{00000000-0005-0000-0000-00009A090000}"/>
    <cellStyle name="Comma 4 3 3 9 2 2" xfId="15435" xr:uid="{52C610A1-6AC6-45F3-A053-7A127AFC5DE7}"/>
    <cellStyle name="Comma 4 3 3 9 3" xfId="11217" xr:uid="{182E14E7-8755-4952-8617-D69E38787AE0}"/>
    <cellStyle name="Comma 4 3 4" xfId="151" xr:uid="{00000000-0005-0000-0000-00009B090000}"/>
    <cellStyle name="Comma 4 3 4 10" xfId="8836" xr:uid="{5FA7E241-3C15-435E-957E-43D101579C69}"/>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72EFD07A-B8C0-420A-988A-1A237DD3507B}"/>
    <cellStyle name="Comma 4 3 4 2 2 3" xfId="11395" xr:uid="{DD2289D7-D327-4F46-AD97-8A866C40C2FC}"/>
    <cellStyle name="Comma 4 3 4 2 3" xfId="5039" xr:uid="{00000000-0005-0000-0000-00009F090000}"/>
    <cellStyle name="Comma 4 3 4 2 3 2" xfId="13468" xr:uid="{F79917A0-43DB-40BA-B793-D62C253AD59C}"/>
    <cellStyle name="Comma 4 3 4 2 4" xfId="9250" xr:uid="{25AF101A-6287-4FD3-BF34-2016DAE3388D}"/>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A6EAC060-1212-42A4-9C19-1ECFF31715C8}"/>
    <cellStyle name="Comma 4 3 4 3 2 3" xfId="11808" xr:uid="{95276E35-7E90-472C-B693-21FCFC21898D}"/>
    <cellStyle name="Comma 4 3 4 3 3" xfId="5452" xr:uid="{00000000-0005-0000-0000-0000A3090000}"/>
    <cellStyle name="Comma 4 3 4 3 3 2" xfId="13881" xr:uid="{8B97DB8B-D2B0-480B-8009-CB73B66BB1D4}"/>
    <cellStyle name="Comma 4 3 4 3 4" xfId="9663" xr:uid="{30719128-1548-4FD5-85BF-C10D7D8E3854}"/>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8980B87E-4C10-42F6-A01F-232F1271500E}"/>
    <cellStyle name="Comma 4 3 4 4 2 3" xfId="12221" xr:uid="{68546FE4-B536-498F-BA84-50FDDEFC78EE}"/>
    <cellStyle name="Comma 4 3 4 4 3" xfId="5865" xr:uid="{00000000-0005-0000-0000-0000A7090000}"/>
    <cellStyle name="Comma 4 3 4 4 3 2" xfId="14294" xr:uid="{89325803-EBEF-4325-A415-E29EE163EF50}"/>
    <cellStyle name="Comma 4 3 4 4 4" xfId="10076" xr:uid="{9475A29D-05F8-420B-A762-C160975B2062}"/>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F559E7CE-4815-4475-9D69-1F6D1433357E}"/>
    <cellStyle name="Comma 4 3 4 5 2 3" xfId="12634" xr:uid="{1A2F0AC6-9745-4152-ABBA-A82671DD01CD}"/>
    <cellStyle name="Comma 4 3 4 5 3" xfId="6278" xr:uid="{00000000-0005-0000-0000-0000AB090000}"/>
    <cellStyle name="Comma 4 3 4 5 3 2" xfId="14707" xr:uid="{1C872B14-D1BB-4461-9814-8B6673BF6E3C}"/>
    <cellStyle name="Comma 4 3 4 5 4" xfId="10489" xr:uid="{3648288E-B06C-4032-BA26-BAA9BBD1052C}"/>
    <cellStyle name="Comma 4 3 4 6" xfId="2405" xr:uid="{00000000-0005-0000-0000-0000AC090000}"/>
    <cellStyle name="Comma 4 3 4 6 2" xfId="6691" xr:uid="{00000000-0005-0000-0000-0000AD090000}"/>
    <cellStyle name="Comma 4 3 4 6 2 2" xfId="15120" xr:uid="{BC4DE8BD-2BFC-44D4-B115-227F8A2A5922}"/>
    <cellStyle name="Comma 4 3 4 6 3" xfId="10902" xr:uid="{083A7940-E122-40EA-9FD1-8E687D450F21}"/>
    <cellStyle name="Comma 4 3 4 7" xfId="2701" xr:uid="{00000000-0005-0000-0000-0000AE090000}"/>
    <cellStyle name="Comma 4 3 4 8" xfId="2783" xr:uid="{00000000-0005-0000-0000-0000AF090000}"/>
    <cellStyle name="Comma 4 3 4 8 2" xfId="7008" xr:uid="{00000000-0005-0000-0000-0000B0090000}"/>
    <cellStyle name="Comma 4 3 4 8 2 2" xfId="15437" xr:uid="{C0B27A00-E7E1-4DA2-935C-81AEAD5DADC3}"/>
    <cellStyle name="Comma 4 3 4 8 3" xfId="11219" xr:uid="{DDF12651-5027-4A1C-8306-BC2C3B07E099}"/>
    <cellStyle name="Comma 4 3 4 9" xfId="4625" xr:uid="{00000000-0005-0000-0000-0000B1090000}"/>
    <cellStyle name="Comma 4 3 4 9 2" xfId="13054" xr:uid="{D4A1F291-DA5B-4F52-ACA0-94EA04031EA8}"/>
    <cellStyle name="Comma 4 3 5" xfId="152" xr:uid="{00000000-0005-0000-0000-0000B2090000}"/>
    <cellStyle name="Comma 4 3 5 10" xfId="8837" xr:uid="{76C1ABC6-36F9-4D80-AD37-77D1287C870E}"/>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C2FD58BC-83D3-4741-AD3F-5AB407196031}"/>
    <cellStyle name="Comma 4 3 5 2 2 3" xfId="11396" xr:uid="{C5975804-1F58-4AC0-96D9-E0ECB020DA96}"/>
    <cellStyle name="Comma 4 3 5 2 3" xfId="5040" xr:uid="{00000000-0005-0000-0000-0000B6090000}"/>
    <cellStyle name="Comma 4 3 5 2 3 2" xfId="13469" xr:uid="{D1EB7AC1-09B7-4C57-B4B7-8FF6B750939C}"/>
    <cellStyle name="Comma 4 3 5 2 4" xfId="9251" xr:uid="{F0791FC9-8DEB-43EE-AF16-93835EE1D7D8}"/>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F0689B84-5EFC-49CA-82F5-44A8A60C1B6C}"/>
    <cellStyle name="Comma 4 3 5 3 2 3" xfId="11809" xr:uid="{9F84BA15-554A-4DD2-B82D-CB23FAF4EDA0}"/>
    <cellStyle name="Comma 4 3 5 3 3" xfId="5453" xr:uid="{00000000-0005-0000-0000-0000BA090000}"/>
    <cellStyle name="Comma 4 3 5 3 3 2" xfId="13882" xr:uid="{20904C0B-C7A3-4FFD-839F-E14AAE6B95EE}"/>
    <cellStyle name="Comma 4 3 5 3 4" xfId="9664" xr:uid="{EE8BCEC7-2D2B-444E-B0BB-BAB05F288A4E}"/>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DEE71537-FEA6-4598-BBDE-49C7D35E73A4}"/>
    <cellStyle name="Comma 4 3 5 4 2 3" xfId="12222" xr:uid="{CD546093-CFFF-4EB5-8C65-1B9D18C43532}"/>
    <cellStyle name="Comma 4 3 5 4 3" xfId="5866" xr:uid="{00000000-0005-0000-0000-0000BE090000}"/>
    <cellStyle name="Comma 4 3 5 4 3 2" xfId="14295" xr:uid="{246F41C7-5A79-431E-BD31-399F27DEDCAA}"/>
    <cellStyle name="Comma 4 3 5 4 4" xfId="10077" xr:uid="{A0636172-8C34-46D5-B744-8CE8E07CDA9F}"/>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31CE3579-1B75-4D53-BDDA-FC0CB9F259E5}"/>
    <cellStyle name="Comma 4 3 5 5 2 3" xfId="12635" xr:uid="{C2D76D3D-035A-499F-AD17-98435D29CE8C}"/>
    <cellStyle name="Comma 4 3 5 5 3" xfId="6279" xr:uid="{00000000-0005-0000-0000-0000C2090000}"/>
    <cellStyle name="Comma 4 3 5 5 3 2" xfId="14708" xr:uid="{6EE3B685-3556-4DE7-BB38-BDEF767CC016}"/>
    <cellStyle name="Comma 4 3 5 5 4" xfId="10490" xr:uid="{0540E6EA-4DDD-468C-A89D-19EE9D21F5ED}"/>
    <cellStyle name="Comma 4 3 5 6" xfId="2406" xr:uid="{00000000-0005-0000-0000-0000C3090000}"/>
    <cellStyle name="Comma 4 3 5 6 2" xfId="6692" xr:uid="{00000000-0005-0000-0000-0000C4090000}"/>
    <cellStyle name="Comma 4 3 5 6 2 2" xfId="15121" xr:uid="{32F4BEDE-DD4A-40A8-8154-4274DE56ABFD}"/>
    <cellStyle name="Comma 4 3 5 6 3" xfId="10903" xr:uid="{80979078-CE7C-4BE0-ADF1-22CB91A6853C}"/>
    <cellStyle name="Comma 4 3 5 7" xfId="2702" xr:uid="{00000000-0005-0000-0000-0000C5090000}"/>
    <cellStyle name="Comma 4 3 5 8" xfId="2784" xr:uid="{00000000-0005-0000-0000-0000C6090000}"/>
    <cellStyle name="Comma 4 3 5 8 2" xfId="7009" xr:uid="{00000000-0005-0000-0000-0000C7090000}"/>
    <cellStyle name="Comma 4 3 5 8 2 2" xfId="15438" xr:uid="{C9F68B2F-4368-430B-9907-3E58EA95AE5F}"/>
    <cellStyle name="Comma 4 3 5 8 3" xfId="11220" xr:uid="{AC970776-D185-46C1-867C-9F59C2A66FB4}"/>
    <cellStyle name="Comma 4 3 5 9" xfId="4626" xr:uid="{00000000-0005-0000-0000-0000C8090000}"/>
    <cellStyle name="Comma 4 3 5 9 2" xfId="13055" xr:uid="{D0249E37-39A0-41E1-AC62-CBFF021763D2}"/>
    <cellStyle name="Comma 4 4" xfId="153" xr:uid="{00000000-0005-0000-0000-0000C9090000}"/>
    <cellStyle name="Comma 4 4 10" xfId="2785" xr:uid="{00000000-0005-0000-0000-0000CA090000}"/>
    <cellStyle name="Comma 4 4 10 2" xfId="7010" xr:uid="{00000000-0005-0000-0000-0000CB090000}"/>
    <cellStyle name="Comma 4 4 10 2 2" xfId="15439" xr:uid="{95C93573-5328-43DD-AFFA-676BB9FFEFF8}"/>
    <cellStyle name="Comma 4 4 10 3" xfId="11221" xr:uid="{4B168448-0870-4A46-ACEB-00B85BF11334}"/>
    <cellStyle name="Comma 4 4 11" xfId="4627" xr:uid="{00000000-0005-0000-0000-0000CC090000}"/>
    <cellStyle name="Comma 4 4 11 2" xfId="13056" xr:uid="{472E2621-1722-4844-A8CE-CD7F3344C3F7}"/>
    <cellStyle name="Comma 4 4 12" xfId="8838" xr:uid="{4662E4C3-AC8C-4EC7-A5F6-C83742323227}"/>
    <cellStyle name="Comma 4 4 2" xfId="154" xr:uid="{00000000-0005-0000-0000-0000CD090000}"/>
    <cellStyle name="Comma 4 4 2 10" xfId="4628" xr:uid="{00000000-0005-0000-0000-0000CE090000}"/>
    <cellStyle name="Comma 4 4 2 10 2" xfId="13057" xr:uid="{E07AEE62-CE78-4E22-95EA-FFBF0BB2D568}"/>
    <cellStyle name="Comma 4 4 2 11" xfId="8839" xr:uid="{39C12CF0-4780-463F-AA99-B23C91D54128}"/>
    <cellStyle name="Comma 4 4 2 2" xfId="155" xr:uid="{00000000-0005-0000-0000-0000CF090000}"/>
    <cellStyle name="Comma 4 4 2 2 10" xfId="8840" xr:uid="{09A3D0B1-48FD-4661-A6F4-899E63D3AF4F}"/>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5E2B0F27-1ACB-4349-8D0D-1AA7EF45A359}"/>
    <cellStyle name="Comma 4 4 2 2 2 2 3" xfId="11399" xr:uid="{5CBCB90A-4AA2-49C0-923A-26BE06A365FF}"/>
    <cellStyle name="Comma 4 4 2 2 2 3" xfId="5043" xr:uid="{00000000-0005-0000-0000-0000D3090000}"/>
    <cellStyle name="Comma 4 4 2 2 2 3 2" xfId="13472" xr:uid="{96558283-A241-48E9-9FBC-DB57806F6267}"/>
    <cellStyle name="Comma 4 4 2 2 2 4" xfId="9254" xr:uid="{46CEFC5B-1F80-4006-B228-DA717E677FF4}"/>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E4E1F85C-6E49-4E0E-8725-1A89C11AFF2C}"/>
    <cellStyle name="Comma 4 4 2 2 3 2 3" xfId="11812" xr:uid="{63BAA59E-633C-48A5-8D37-7942120A6619}"/>
    <cellStyle name="Comma 4 4 2 2 3 3" xfId="5456" xr:uid="{00000000-0005-0000-0000-0000D7090000}"/>
    <cellStyle name="Comma 4 4 2 2 3 3 2" xfId="13885" xr:uid="{59FFF631-193A-474A-9434-B622671876A8}"/>
    <cellStyle name="Comma 4 4 2 2 3 4" xfId="9667" xr:uid="{7BCEE402-7D60-4474-B31E-9B963D801BAA}"/>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4762C775-B1B4-431B-A441-5E74CFAFDFE5}"/>
    <cellStyle name="Comma 4 4 2 2 4 2 3" xfId="12225" xr:uid="{E658EA6F-2D0D-4EE7-8C1C-D3639819C863}"/>
    <cellStyle name="Comma 4 4 2 2 4 3" xfId="5869" xr:uid="{00000000-0005-0000-0000-0000DB090000}"/>
    <cellStyle name="Comma 4 4 2 2 4 3 2" xfId="14298" xr:uid="{50471213-F855-4A2B-833E-E59B95A6B081}"/>
    <cellStyle name="Comma 4 4 2 2 4 4" xfId="10080" xr:uid="{8A064B5D-EF78-4E83-984E-11B813DA86E1}"/>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99352646-6073-4B7D-B809-BADAA8BB1328}"/>
    <cellStyle name="Comma 4 4 2 2 5 2 3" xfId="12638" xr:uid="{F1ABFE8D-AC96-4F92-A452-C4265B1BFCDE}"/>
    <cellStyle name="Comma 4 4 2 2 5 3" xfId="6282" xr:uid="{00000000-0005-0000-0000-0000DF090000}"/>
    <cellStyle name="Comma 4 4 2 2 5 3 2" xfId="14711" xr:uid="{45D73CE1-512F-4996-86BE-C7B029E989D7}"/>
    <cellStyle name="Comma 4 4 2 2 5 4" xfId="10493" xr:uid="{DF41D444-9FEA-409F-BA97-DBAFFF934460}"/>
    <cellStyle name="Comma 4 4 2 2 6" xfId="2409" xr:uid="{00000000-0005-0000-0000-0000E0090000}"/>
    <cellStyle name="Comma 4 4 2 2 6 2" xfId="6695" xr:uid="{00000000-0005-0000-0000-0000E1090000}"/>
    <cellStyle name="Comma 4 4 2 2 6 2 2" xfId="15124" xr:uid="{23FB3AC9-1F4A-413F-BC53-C77EC58B1D4A}"/>
    <cellStyle name="Comma 4 4 2 2 6 3" xfId="10906" xr:uid="{673D2578-2A03-454B-AB80-040138784B30}"/>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00AC16F2-7905-4025-B3D7-5848314A7D5D}"/>
    <cellStyle name="Comma 4 4 2 2 8 3" xfId="11223" xr:uid="{9A1A9F5B-D4CE-4AA7-B34D-E76E1B0FB582}"/>
    <cellStyle name="Comma 4 4 2 2 9" xfId="4629" xr:uid="{00000000-0005-0000-0000-0000E5090000}"/>
    <cellStyle name="Comma 4 4 2 2 9 2" xfId="13058" xr:uid="{C35EF65E-71FD-467D-AC64-336EAD029134}"/>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529D3898-27F5-47C6-AB2F-1E3B1FE4E7CB}"/>
    <cellStyle name="Comma 4 4 2 3 2 3" xfId="11398" xr:uid="{56E3B308-BAEC-47C9-A83F-2F6AC7C2A21A}"/>
    <cellStyle name="Comma 4 4 2 3 3" xfId="5042" xr:uid="{00000000-0005-0000-0000-0000E9090000}"/>
    <cellStyle name="Comma 4 4 2 3 3 2" xfId="13471" xr:uid="{CFBEC0C6-5783-4A22-B22A-CFF6AA26A442}"/>
    <cellStyle name="Comma 4 4 2 3 4" xfId="9253" xr:uid="{0F66CE6A-6C63-42B9-8732-A1041C9EFBAB}"/>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ED129BC0-77FC-4DE3-82C6-9A214E8F7FA8}"/>
    <cellStyle name="Comma 4 4 2 4 2 3" xfId="11811" xr:uid="{BC8EFBDA-CAAD-4322-8CB6-DE077E69DA1E}"/>
    <cellStyle name="Comma 4 4 2 4 3" xfId="5455" xr:uid="{00000000-0005-0000-0000-0000ED090000}"/>
    <cellStyle name="Comma 4 4 2 4 3 2" xfId="13884" xr:uid="{C3023F68-AF62-4658-BEB3-5DAF67AF6E5F}"/>
    <cellStyle name="Comma 4 4 2 4 4" xfId="9666" xr:uid="{60896051-1084-4B36-AC8D-8CB585B80F8E}"/>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C4C0845E-D330-444D-8191-9C4AEFA633E8}"/>
    <cellStyle name="Comma 4 4 2 5 2 3" xfId="12224" xr:uid="{A1CDDF32-C915-4147-A915-CF62B8EA0DBB}"/>
    <cellStyle name="Comma 4 4 2 5 3" xfId="5868" xr:uid="{00000000-0005-0000-0000-0000F1090000}"/>
    <cellStyle name="Comma 4 4 2 5 3 2" xfId="14297" xr:uid="{A1361B7D-EC1B-4B40-8BC4-A655C3AEAC1C}"/>
    <cellStyle name="Comma 4 4 2 5 4" xfId="10079" xr:uid="{00E5CA36-A324-4200-8C81-69E7C9AA4DF5}"/>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51FA6653-CAE9-46C8-B6A2-EE6682A308EB}"/>
    <cellStyle name="Comma 4 4 2 6 2 3" xfId="12637" xr:uid="{CEDF9986-4292-4763-9E7D-3AF2EFE73455}"/>
    <cellStyle name="Comma 4 4 2 6 3" xfId="6281" xr:uid="{00000000-0005-0000-0000-0000F5090000}"/>
    <cellStyle name="Comma 4 4 2 6 3 2" xfId="14710" xr:uid="{C31F5381-0FD5-4410-B8C2-26996989C51E}"/>
    <cellStyle name="Comma 4 4 2 6 4" xfId="10492" xr:uid="{03892560-814B-476E-AF4F-88D28E8DC92B}"/>
    <cellStyle name="Comma 4 4 2 7" xfId="2408" xr:uid="{00000000-0005-0000-0000-0000F6090000}"/>
    <cellStyle name="Comma 4 4 2 7 2" xfId="6694" xr:uid="{00000000-0005-0000-0000-0000F7090000}"/>
    <cellStyle name="Comma 4 4 2 7 2 2" xfId="15123" xr:uid="{AA06D7DA-048F-48ED-A19E-AF67F54743A1}"/>
    <cellStyle name="Comma 4 4 2 7 3" xfId="10905" xr:uid="{A064CF3D-AABC-42AF-AC50-394A9F71194C}"/>
    <cellStyle name="Comma 4 4 2 8" xfId="2704" xr:uid="{00000000-0005-0000-0000-0000F8090000}"/>
    <cellStyle name="Comma 4 4 2 9" xfId="2786" xr:uid="{00000000-0005-0000-0000-0000F9090000}"/>
    <cellStyle name="Comma 4 4 2 9 2" xfId="7011" xr:uid="{00000000-0005-0000-0000-0000FA090000}"/>
    <cellStyle name="Comma 4 4 2 9 2 2" xfId="15440" xr:uid="{BBDB2C7C-798B-4838-B3CB-E384CAD394C3}"/>
    <cellStyle name="Comma 4 4 2 9 3" xfId="11222" xr:uid="{7BC0F4FA-7051-45A6-82B5-BBCE26887AF8}"/>
    <cellStyle name="Comma 4 4 3" xfId="156" xr:uid="{00000000-0005-0000-0000-0000FB090000}"/>
    <cellStyle name="Comma 4 4 3 10" xfId="8841" xr:uid="{289E1368-B34B-44B1-96FB-E2F3362D10CB}"/>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373561F4-57FE-4AEB-9AE3-804F2F985D30}"/>
    <cellStyle name="Comma 4 4 3 2 2 3" xfId="11400" xr:uid="{7CCC8975-BEEF-4FF0-82B3-C8A6CAE19A04}"/>
    <cellStyle name="Comma 4 4 3 2 3" xfId="5044" xr:uid="{00000000-0005-0000-0000-0000FF090000}"/>
    <cellStyle name="Comma 4 4 3 2 3 2" xfId="13473" xr:uid="{7EC7E8EF-EAB5-4FCF-8975-749D6397F4DE}"/>
    <cellStyle name="Comma 4 4 3 2 4" xfId="9255" xr:uid="{74F757F2-FD84-444F-885D-C4770B2B5E4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9A917CBC-B4AE-464D-89F6-E11B82863E95}"/>
    <cellStyle name="Comma 4 4 3 3 2 3" xfId="11813" xr:uid="{D8DC327E-B68C-4EF3-AF60-274EE0733A90}"/>
    <cellStyle name="Comma 4 4 3 3 3" xfId="5457" xr:uid="{00000000-0005-0000-0000-0000030A0000}"/>
    <cellStyle name="Comma 4 4 3 3 3 2" xfId="13886" xr:uid="{69A998F7-8516-4689-ABCF-07ADE6F6BCFF}"/>
    <cellStyle name="Comma 4 4 3 3 4" xfId="9668" xr:uid="{A5BD5163-36B0-4CD0-AFA5-620A2F0DE582}"/>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896B9868-11AA-4AA7-A375-4A067F7B9D9D}"/>
    <cellStyle name="Comma 4 4 3 4 2 3" xfId="12226" xr:uid="{61E9C6BA-876D-462D-9091-27E4B5E2AD86}"/>
    <cellStyle name="Comma 4 4 3 4 3" xfId="5870" xr:uid="{00000000-0005-0000-0000-0000070A0000}"/>
    <cellStyle name="Comma 4 4 3 4 3 2" xfId="14299" xr:uid="{7CCDBB31-9469-41B8-9E8F-881C102019EF}"/>
    <cellStyle name="Comma 4 4 3 4 4" xfId="10081" xr:uid="{065599EA-4C3F-4CB2-9234-207F8DEC51B0}"/>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64C1E17D-9CE0-4D8D-A370-44841CA99BE4}"/>
    <cellStyle name="Comma 4 4 3 5 2 3" xfId="12639" xr:uid="{576616FD-053A-4A84-B24F-9640B83965E2}"/>
    <cellStyle name="Comma 4 4 3 5 3" xfId="6283" xr:uid="{00000000-0005-0000-0000-00000B0A0000}"/>
    <cellStyle name="Comma 4 4 3 5 3 2" xfId="14712" xr:uid="{01CE1DD5-DBB7-462D-B8EB-49B437755C2F}"/>
    <cellStyle name="Comma 4 4 3 5 4" xfId="10494" xr:uid="{3BDAA2C2-727E-4D74-A61B-2662F8707597}"/>
    <cellStyle name="Comma 4 4 3 6" xfId="2410" xr:uid="{00000000-0005-0000-0000-00000C0A0000}"/>
    <cellStyle name="Comma 4 4 3 6 2" xfId="6696" xr:uid="{00000000-0005-0000-0000-00000D0A0000}"/>
    <cellStyle name="Comma 4 4 3 6 2 2" xfId="15125" xr:uid="{FC94FDF6-7BC4-492D-B288-33875C03DF4B}"/>
    <cellStyle name="Comma 4 4 3 6 3" xfId="10907" xr:uid="{6BB9A0CB-A435-4463-9B37-B077E05D7A09}"/>
    <cellStyle name="Comma 4 4 3 7" xfId="2706" xr:uid="{00000000-0005-0000-0000-00000E0A0000}"/>
    <cellStyle name="Comma 4 4 3 8" xfId="2788" xr:uid="{00000000-0005-0000-0000-00000F0A0000}"/>
    <cellStyle name="Comma 4 4 3 8 2" xfId="7013" xr:uid="{00000000-0005-0000-0000-0000100A0000}"/>
    <cellStyle name="Comma 4 4 3 8 2 2" xfId="15442" xr:uid="{EAFCB1D4-630F-49C3-A418-5F29401CC44F}"/>
    <cellStyle name="Comma 4 4 3 8 3" xfId="11224" xr:uid="{C699F863-5427-438A-8BC3-B3F7F8115264}"/>
    <cellStyle name="Comma 4 4 3 9" xfId="4630" xr:uid="{00000000-0005-0000-0000-0000110A0000}"/>
    <cellStyle name="Comma 4 4 3 9 2" xfId="13059" xr:uid="{DF56CBCF-A4FA-4712-982B-EC53B6192181}"/>
    <cellStyle name="Comma 4 4 4" xfId="691" xr:uid="{00000000-0005-0000-0000-0000120A0000}"/>
    <cellStyle name="Comma 4 4 4 2" xfId="2962" xr:uid="{00000000-0005-0000-0000-0000130A0000}"/>
    <cellStyle name="Comma 4 4 4 2 2" xfId="7186" xr:uid="{00000000-0005-0000-0000-0000140A0000}"/>
    <cellStyle name="Comma 4 4 4 2 2 2" xfId="15615" xr:uid="{C3E0ECB6-4407-4236-911C-0244CA5CB4BD}"/>
    <cellStyle name="Comma 4 4 4 2 3" xfId="11397" xr:uid="{BE5264D2-D273-4375-9737-176FA1D85FB7}"/>
    <cellStyle name="Comma 4 4 4 3" xfId="5041" xr:uid="{00000000-0005-0000-0000-0000150A0000}"/>
    <cellStyle name="Comma 4 4 4 3 2" xfId="13470" xr:uid="{47C82D2C-6D48-4654-8A62-58FA00F44F41}"/>
    <cellStyle name="Comma 4 4 4 4" xfId="9252" xr:uid="{625356C5-07BD-40E7-A44B-E6510EC5D1E1}"/>
    <cellStyle name="Comma 4 4 5" xfId="1144" xr:uid="{00000000-0005-0000-0000-0000160A0000}"/>
    <cellStyle name="Comma 4 4 5 2" xfId="3375" xr:uid="{00000000-0005-0000-0000-0000170A0000}"/>
    <cellStyle name="Comma 4 4 5 2 2" xfId="7599" xr:uid="{00000000-0005-0000-0000-0000180A0000}"/>
    <cellStyle name="Comma 4 4 5 2 2 2" xfId="16028" xr:uid="{4E9D7460-A667-4AF6-A62A-186510B38692}"/>
    <cellStyle name="Comma 4 4 5 2 3" xfId="11810" xr:uid="{160400D6-7CF2-4DCD-BB91-782ECDF2DE47}"/>
    <cellStyle name="Comma 4 4 5 3" xfId="5454" xr:uid="{00000000-0005-0000-0000-0000190A0000}"/>
    <cellStyle name="Comma 4 4 5 3 2" xfId="13883" xr:uid="{943FC836-10DC-4999-A527-851EEB24963D}"/>
    <cellStyle name="Comma 4 4 5 4" xfId="9665" xr:uid="{4FF8F850-CC4B-4D77-91A7-1AD09D9B4608}"/>
    <cellStyle name="Comma 4 4 6" xfId="1558" xr:uid="{00000000-0005-0000-0000-00001A0A0000}"/>
    <cellStyle name="Comma 4 4 6 2" xfId="3788" xr:uid="{00000000-0005-0000-0000-00001B0A0000}"/>
    <cellStyle name="Comma 4 4 6 2 2" xfId="8012" xr:uid="{00000000-0005-0000-0000-00001C0A0000}"/>
    <cellStyle name="Comma 4 4 6 2 2 2" xfId="16441" xr:uid="{4EBA2953-890F-4CDB-A9B3-4CA06CA11386}"/>
    <cellStyle name="Comma 4 4 6 2 3" xfId="12223" xr:uid="{21E4CB42-E229-4D15-A0E3-24818BC75C9B}"/>
    <cellStyle name="Comma 4 4 6 3" xfId="5867" xr:uid="{00000000-0005-0000-0000-00001D0A0000}"/>
    <cellStyle name="Comma 4 4 6 3 2" xfId="14296" xr:uid="{F928CEA6-D3F8-4798-B9A6-FE02013ED79D}"/>
    <cellStyle name="Comma 4 4 6 4" xfId="10078" xr:uid="{728FEC72-6546-4D25-AF95-8F12AA36706C}"/>
    <cellStyle name="Comma 4 4 7" xfId="1972" xr:uid="{00000000-0005-0000-0000-00001E0A0000}"/>
    <cellStyle name="Comma 4 4 7 2" xfId="4201" xr:uid="{00000000-0005-0000-0000-00001F0A0000}"/>
    <cellStyle name="Comma 4 4 7 2 2" xfId="8425" xr:uid="{00000000-0005-0000-0000-0000200A0000}"/>
    <cellStyle name="Comma 4 4 7 2 2 2" xfId="16854" xr:uid="{8D12C6A9-82F5-431C-9D95-65BEC09B2178}"/>
    <cellStyle name="Comma 4 4 7 2 3" xfId="12636" xr:uid="{85F2A6EB-03BB-4B92-A7C9-C603260721C3}"/>
    <cellStyle name="Comma 4 4 7 3" xfId="6280" xr:uid="{00000000-0005-0000-0000-0000210A0000}"/>
    <cellStyle name="Comma 4 4 7 3 2" xfId="14709" xr:uid="{82A4D8A3-F780-4321-B684-44461287155E}"/>
    <cellStyle name="Comma 4 4 7 4" xfId="10491" xr:uid="{45D97C19-2258-4003-BACB-9EA6FCE5B84F}"/>
    <cellStyle name="Comma 4 4 8" xfId="2407" xr:uid="{00000000-0005-0000-0000-0000220A0000}"/>
    <cellStyle name="Comma 4 4 8 2" xfId="6693" xr:uid="{00000000-0005-0000-0000-0000230A0000}"/>
    <cellStyle name="Comma 4 4 8 2 2" xfId="15122" xr:uid="{537E7766-DBF2-474E-8580-B4F7B55D8BD3}"/>
    <cellStyle name="Comma 4 4 8 3" xfId="10904" xr:uid="{70BC97A3-6711-4057-A4CE-87478A849B98}"/>
    <cellStyle name="Comma 4 4 9" xfId="2703" xr:uid="{00000000-0005-0000-0000-0000240A0000}"/>
    <cellStyle name="Comma 4 5" xfId="157" xr:uid="{00000000-0005-0000-0000-0000250A0000}"/>
    <cellStyle name="Comma 4 5 10" xfId="4631" xr:uid="{00000000-0005-0000-0000-0000260A0000}"/>
    <cellStyle name="Comma 4 5 10 2" xfId="13060" xr:uid="{959FE21F-877E-4D0B-BBC2-D807B1071994}"/>
    <cellStyle name="Comma 4 5 11" xfId="8842" xr:uid="{F4DFE909-055B-4AD2-ACE4-C640D4390E32}"/>
    <cellStyle name="Comma 4 5 2" xfId="158" xr:uid="{00000000-0005-0000-0000-0000270A0000}"/>
    <cellStyle name="Comma 4 5 2 10" xfId="8843" xr:uid="{40CA7816-0318-4E93-B9AF-A7FFAB539B4B}"/>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575E4D8C-7265-46A9-B43F-4512CAB74787}"/>
    <cellStyle name="Comma 4 5 2 2 2 3" xfId="11402" xr:uid="{4EFEEADF-5E91-4CA8-B254-4ABA139358B6}"/>
    <cellStyle name="Comma 4 5 2 2 3" xfId="5046" xr:uid="{00000000-0005-0000-0000-00002B0A0000}"/>
    <cellStyle name="Comma 4 5 2 2 3 2" xfId="13475" xr:uid="{424875AD-62C0-4A96-A120-069B66A59C0F}"/>
    <cellStyle name="Comma 4 5 2 2 4" xfId="9257" xr:uid="{7560DA01-C938-40D8-AE36-0038A3D991A7}"/>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0FF9F0E2-0DA8-4294-B02C-3CBF4D8D13F1}"/>
    <cellStyle name="Comma 4 5 2 3 2 3" xfId="11815" xr:uid="{9FC3DDD1-8221-48F5-9E01-5AB3151E419A}"/>
    <cellStyle name="Comma 4 5 2 3 3" xfId="5459" xr:uid="{00000000-0005-0000-0000-00002F0A0000}"/>
    <cellStyle name="Comma 4 5 2 3 3 2" xfId="13888" xr:uid="{636B4C96-C46F-477E-BEFE-45B5751421B1}"/>
    <cellStyle name="Comma 4 5 2 3 4" xfId="9670" xr:uid="{8B45A072-6FF3-4C7B-B6ED-FACBC4C49092}"/>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876013A3-141A-4B04-954A-2137754EA2D0}"/>
    <cellStyle name="Comma 4 5 2 4 2 3" xfId="12228" xr:uid="{57BC5F2F-9E28-42A3-86BA-16A0073B8AF4}"/>
    <cellStyle name="Comma 4 5 2 4 3" xfId="5872" xr:uid="{00000000-0005-0000-0000-0000330A0000}"/>
    <cellStyle name="Comma 4 5 2 4 3 2" xfId="14301" xr:uid="{8B9EB2F6-D4AD-4C3E-A1C4-93B47643856C}"/>
    <cellStyle name="Comma 4 5 2 4 4" xfId="10083" xr:uid="{1D23C696-D88C-4415-8894-EE3A01484C10}"/>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413435EA-6FE1-4602-BB06-49D9D47225FE}"/>
    <cellStyle name="Comma 4 5 2 5 2 3" xfId="12641" xr:uid="{1A96816E-84CB-4A06-A2AA-1BC1D96EB825}"/>
    <cellStyle name="Comma 4 5 2 5 3" xfId="6285" xr:uid="{00000000-0005-0000-0000-0000370A0000}"/>
    <cellStyle name="Comma 4 5 2 5 3 2" xfId="14714" xr:uid="{8B1D19D1-B9B2-4752-BFA0-6C7EC275DC82}"/>
    <cellStyle name="Comma 4 5 2 5 4" xfId="10496" xr:uid="{1C306F57-CEA6-44E7-BA06-2BB0BC90A219}"/>
    <cellStyle name="Comma 4 5 2 6" xfId="2412" xr:uid="{00000000-0005-0000-0000-0000380A0000}"/>
    <cellStyle name="Comma 4 5 2 6 2" xfId="6698" xr:uid="{00000000-0005-0000-0000-0000390A0000}"/>
    <cellStyle name="Comma 4 5 2 6 2 2" xfId="15127" xr:uid="{DFB83E21-02C9-4319-8F5D-9D095C67E7F6}"/>
    <cellStyle name="Comma 4 5 2 6 3" xfId="10909" xr:uid="{C60F617D-A5C5-4B3E-8BC2-9B3D23C83F87}"/>
    <cellStyle name="Comma 4 5 2 7" xfId="2708" xr:uid="{00000000-0005-0000-0000-00003A0A0000}"/>
    <cellStyle name="Comma 4 5 2 8" xfId="2790" xr:uid="{00000000-0005-0000-0000-00003B0A0000}"/>
    <cellStyle name="Comma 4 5 2 8 2" xfId="7015" xr:uid="{00000000-0005-0000-0000-00003C0A0000}"/>
    <cellStyle name="Comma 4 5 2 8 2 2" xfId="15444" xr:uid="{016A12A9-0D6F-4798-9C04-E00FFD13342F}"/>
    <cellStyle name="Comma 4 5 2 8 3" xfId="11226" xr:uid="{54BB4C93-DE35-4CD8-8A40-864D018A7BE9}"/>
    <cellStyle name="Comma 4 5 2 9" xfId="4632" xr:uid="{00000000-0005-0000-0000-00003D0A0000}"/>
    <cellStyle name="Comma 4 5 2 9 2" xfId="13061" xr:uid="{08E1ED50-6ED0-4710-8F30-B91D2511638D}"/>
    <cellStyle name="Comma 4 5 3" xfId="695" xr:uid="{00000000-0005-0000-0000-00003E0A0000}"/>
    <cellStyle name="Comma 4 5 3 2" xfId="2966" xr:uid="{00000000-0005-0000-0000-00003F0A0000}"/>
    <cellStyle name="Comma 4 5 3 2 2" xfId="7190" xr:uid="{00000000-0005-0000-0000-0000400A0000}"/>
    <cellStyle name="Comma 4 5 3 2 2 2" xfId="15619" xr:uid="{CBF91AC7-EBA0-4BFB-92AA-471878AFDE01}"/>
    <cellStyle name="Comma 4 5 3 2 3" xfId="11401" xr:uid="{92DD1475-4E2A-4910-B510-4B4623808A06}"/>
    <cellStyle name="Comma 4 5 3 3" xfId="5045" xr:uid="{00000000-0005-0000-0000-0000410A0000}"/>
    <cellStyle name="Comma 4 5 3 3 2" xfId="13474" xr:uid="{95E43979-B1D2-4E6B-83AA-FC9544D8F1DC}"/>
    <cellStyle name="Comma 4 5 3 4" xfId="9256" xr:uid="{9BC7C768-571F-4A48-A54D-F5AA96281208}"/>
    <cellStyle name="Comma 4 5 4" xfId="1148" xr:uid="{00000000-0005-0000-0000-0000420A0000}"/>
    <cellStyle name="Comma 4 5 4 2" xfId="3379" xr:uid="{00000000-0005-0000-0000-0000430A0000}"/>
    <cellStyle name="Comma 4 5 4 2 2" xfId="7603" xr:uid="{00000000-0005-0000-0000-0000440A0000}"/>
    <cellStyle name="Comma 4 5 4 2 2 2" xfId="16032" xr:uid="{B05161EA-A8F4-473E-A226-DE24E0AE8F12}"/>
    <cellStyle name="Comma 4 5 4 2 3" xfId="11814" xr:uid="{C15B344C-EADB-4DEB-B50B-3BAAC601E8BD}"/>
    <cellStyle name="Comma 4 5 4 3" xfId="5458" xr:uid="{00000000-0005-0000-0000-0000450A0000}"/>
    <cellStyle name="Comma 4 5 4 3 2" xfId="13887" xr:uid="{E382920B-CDAE-4B5B-A183-C036498C4A85}"/>
    <cellStyle name="Comma 4 5 4 4" xfId="9669" xr:uid="{B6A02791-1037-4FFF-80D3-48B49FE28812}"/>
    <cellStyle name="Comma 4 5 5" xfId="1562" xr:uid="{00000000-0005-0000-0000-0000460A0000}"/>
    <cellStyle name="Comma 4 5 5 2" xfId="3792" xr:uid="{00000000-0005-0000-0000-0000470A0000}"/>
    <cellStyle name="Comma 4 5 5 2 2" xfId="8016" xr:uid="{00000000-0005-0000-0000-0000480A0000}"/>
    <cellStyle name="Comma 4 5 5 2 2 2" xfId="16445" xr:uid="{4BAFE593-E10B-4780-B7E1-BD74EA3BD5A9}"/>
    <cellStyle name="Comma 4 5 5 2 3" xfId="12227" xr:uid="{36DB7520-3EAD-4680-A8FB-FDC801D2870A}"/>
    <cellStyle name="Comma 4 5 5 3" xfId="5871" xr:uid="{00000000-0005-0000-0000-0000490A0000}"/>
    <cellStyle name="Comma 4 5 5 3 2" xfId="14300" xr:uid="{1D87BB50-B4EE-47F1-9454-1B53071EB717}"/>
    <cellStyle name="Comma 4 5 5 4" xfId="10082" xr:uid="{AAF13A94-182E-4B5E-B775-BA49D5EBCAA4}"/>
    <cellStyle name="Comma 4 5 6" xfId="1976" xr:uid="{00000000-0005-0000-0000-00004A0A0000}"/>
    <cellStyle name="Comma 4 5 6 2" xfId="4205" xr:uid="{00000000-0005-0000-0000-00004B0A0000}"/>
    <cellStyle name="Comma 4 5 6 2 2" xfId="8429" xr:uid="{00000000-0005-0000-0000-00004C0A0000}"/>
    <cellStyle name="Comma 4 5 6 2 2 2" xfId="16858" xr:uid="{904A653E-44DD-4802-B296-7ECD2554EB75}"/>
    <cellStyle name="Comma 4 5 6 2 3" xfId="12640" xr:uid="{14AD966A-4BB5-4D72-9CA3-F2F37A16C592}"/>
    <cellStyle name="Comma 4 5 6 3" xfId="6284" xr:uid="{00000000-0005-0000-0000-00004D0A0000}"/>
    <cellStyle name="Comma 4 5 6 3 2" xfId="14713" xr:uid="{CDD062DA-0A07-42B1-9474-57B185A6260A}"/>
    <cellStyle name="Comma 4 5 6 4" xfId="10495" xr:uid="{8F9F738F-5FF7-4E68-9063-E022297E98FB}"/>
    <cellStyle name="Comma 4 5 7" xfId="2411" xr:uid="{00000000-0005-0000-0000-00004E0A0000}"/>
    <cellStyle name="Comma 4 5 7 2" xfId="6697" xr:uid="{00000000-0005-0000-0000-00004F0A0000}"/>
    <cellStyle name="Comma 4 5 7 2 2" xfId="15126" xr:uid="{8E978117-68D8-40DB-90EC-F32B7CE4F1C8}"/>
    <cellStyle name="Comma 4 5 7 3" xfId="10908" xr:uid="{FF08738A-3768-4399-8437-F0D891B5AAD4}"/>
    <cellStyle name="Comma 4 5 8" xfId="2707" xr:uid="{00000000-0005-0000-0000-0000500A0000}"/>
    <cellStyle name="Comma 4 5 9" xfId="2789" xr:uid="{00000000-0005-0000-0000-0000510A0000}"/>
    <cellStyle name="Comma 4 5 9 2" xfId="7014" xr:uid="{00000000-0005-0000-0000-0000520A0000}"/>
    <cellStyle name="Comma 4 5 9 2 2" xfId="15443" xr:uid="{207849E3-2935-46D2-9595-16AF100F1002}"/>
    <cellStyle name="Comma 4 5 9 3" xfId="11225" xr:uid="{79CAA113-6EDC-4946-B927-50EFAAA1F25D}"/>
    <cellStyle name="Comma 4 6" xfId="159" xr:uid="{00000000-0005-0000-0000-0000530A0000}"/>
    <cellStyle name="Comma 4 6 10" xfId="8844" xr:uid="{C57F0C0E-C187-4FB9-A8EA-305FEAC35BF2}"/>
    <cellStyle name="Comma 4 6 2" xfId="697" xr:uid="{00000000-0005-0000-0000-0000540A0000}"/>
    <cellStyle name="Comma 4 6 2 2" xfId="2968" xr:uid="{00000000-0005-0000-0000-0000550A0000}"/>
    <cellStyle name="Comma 4 6 2 2 2" xfId="7192" xr:uid="{00000000-0005-0000-0000-0000560A0000}"/>
    <cellStyle name="Comma 4 6 2 2 2 2" xfId="15621" xr:uid="{40E89FB5-72CC-40EA-B01D-60162A86C54A}"/>
    <cellStyle name="Comma 4 6 2 2 3" xfId="11403" xr:uid="{29C23F37-A3FD-4E5E-9855-68089E5EB32F}"/>
    <cellStyle name="Comma 4 6 2 3" xfId="5047" xr:uid="{00000000-0005-0000-0000-0000570A0000}"/>
    <cellStyle name="Comma 4 6 2 3 2" xfId="13476" xr:uid="{6DCA2E48-3A9D-477B-832A-54377E7D42FD}"/>
    <cellStyle name="Comma 4 6 2 4" xfId="9258" xr:uid="{DB48776E-E530-46BD-827D-99AB0B1DFB72}"/>
    <cellStyle name="Comma 4 6 3" xfId="1150" xr:uid="{00000000-0005-0000-0000-0000580A0000}"/>
    <cellStyle name="Comma 4 6 3 2" xfId="3381" xr:uid="{00000000-0005-0000-0000-0000590A0000}"/>
    <cellStyle name="Comma 4 6 3 2 2" xfId="7605" xr:uid="{00000000-0005-0000-0000-00005A0A0000}"/>
    <cellStyle name="Comma 4 6 3 2 2 2" xfId="16034" xr:uid="{51D7631A-4C26-4E0F-A980-71701C50DB35}"/>
    <cellStyle name="Comma 4 6 3 2 3" xfId="11816" xr:uid="{45E9AB36-553E-4DD4-A4B0-2858A0147DAC}"/>
    <cellStyle name="Comma 4 6 3 3" xfId="5460" xr:uid="{00000000-0005-0000-0000-00005B0A0000}"/>
    <cellStyle name="Comma 4 6 3 3 2" xfId="13889" xr:uid="{6514D75E-9A97-4C86-BCFD-F072436A91B5}"/>
    <cellStyle name="Comma 4 6 3 4" xfId="9671" xr:uid="{1F340364-6F98-49FF-A6F4-5C48CAA843C4}"/>
    <cellStyle name="Comma 4 6 4" xfId="1564" xr:uid="{00000000-0005-0000-0000-00005C0A0000}"/>
    <cellStyle name="Comma 4 6 4 2" xfId="3794" xr:uid="{00000000-0005-0000-0000-00005D0A0000}"/>
    <cellStyle name="Comma 4 6 4 2 2" xfId="8018" xr:uid="{00000000-0005-0000-0000-00005E0A0000}"/>
    <cellStyle name="Comma 4 6 4 2 2 2" xfId="16447" xr:uid="{5D38EBEA-9D9F-4376-9E48-616A52C17987}"/>
    <cellStyle name="Comma 4 6 4 2 3" xfId="12229" xr:uid="{A576656A-E447-4E90-8D81-C1388030B9FC}"/>
    <cellStyle name="Comma 4 6 4 3" xfId="5873" xr:uid="{00000000-0005-0000-0000-00005F0A0000}"/>
    <cellStyle name="Comma 4 6 4 3 2" xfId="14302" xr:uid="{9AFC6F0C-33C6-4432-955A-B7F8F1E2D2EF}"/>
    <cellStyle name="Comma 4 6 4 4" xfId="10084" xr:uid="{1E06A600-A251-4C66-91D0-61A4B4921BFC}"/>
    <cellStyle name="Comma 4 6 5" xfId="1978" xr:uid="{00000000-0005-0000-0000-0000600A0000}"/>
    <cellStyle name="Comma 4 6 5 2" xfId="4207" xr:uid="{00000000-0005-0000-0000-0000610A0000}"/>
    <cellStyle name="Comma 4 6 5 2 2" xfId="8431" xr:uid="{00000000-0005-0000-0000-0000620A0000}"/>
    <cellStyle name="Comma 4 6 5 2 2 2" xfId="16860" xr:uid="{FA0BC513-B707-4734-8111-ABC832C2E90C}"/>
    <cellStyle name="Comma 4 6 5 2 3" xfId="12642" xr:uid="{D54185F4-301F-4675-A333-2780C7F63998}"/>
    <cellStyle name="Comma 4 6 5 3" xfId="6286" xr:uid="{00000000-0005-0000-0000-0000630A0000}"/>
    <cellStyle name="Comma 4 6 5 3 2" xfId="14715" xr:uid="{555CA156-FC1B-4F56-A917-71F800BEB798}"/>
    <cellStyle name="Comma 4 6 5 4" xfId="10497" xr:uid="{ADADF7F9-60F5-40A0-A609-0A686E30B190}"/>
    <cellStyle name="Comma 4 6 6" xfId="2413" xr:uid="{00000000-0005-0000-0000-0000640A0000}"/>
    <cellStyle name="Comma 4 6 6 2" xfId="6699" xr:uid="{00000000-0005-0000-0000-0000650A0000}"/>
    <cellStyle name="Comma 4 6 6 2 2" xfId="15128" xr:uid="{337CD037-7B7E-49EB-BD11-F2AE03D549EF}"/>
    <cellStyle name="Comma 4 6 6 3" xfId="10910" xr:uid="{F2955A2C-EBD8-4836-AF47-B19421C2CA2E}"/>
    <cellStyle name="Comma 4 6 7" xfId="2709" xr:uid="{00000000-0005-0000-0000-0000660A0000}"/>
    <cellStyle name="Comma 4 6 8" xfId="2791" xr:uid="{00000000-0005-0000-0000-0000670A0000}"/>
    <cellStyle name="Comma 4 6 8 2" xfId="7016" xr:uid="{00000000-0005-0000-0000-0000680A0000}"/>
    <cellStyle name="Comma 4 6 8 2 2" xfId="15445" xr:uid="{E9270522-C49D-4AEE-9D0F-8F7AD2FFAEEE}"/>
    <cellStyle name="Comma 4 6 8 3" xfId="11227" xr:uid="{2A398693-F97F-4881-930F-BBD811314A25}"/>
    <cellStyle name="Comma 4 6 9" xfId="4633" xr:uid="{00000000-0005-0000-0000-0000690A0000}"/>
    <cellStyle name="Comma 4 6 9 2" xfId="13062" xr:uid="{CF656DDB-8814-4829-BFF9-7C117E756073}"/>
    <cellStyle name="Comma 4 7" xfId="160" xr:uid="{00000000-0005-0000-0000-00006A0A0000}"/>
    <cellStyle name="Comma 4 7 10" xfId="8845" xr:uid="{8C0259C0-6F90-40CD-8195-8CCB04C00FC1}"/>
    <cellStyle name="Comma 4 7 2" xfId="698" xr:uid="{00000000-0005-0000-0000-00006B0A0000}"/>
    <cellStyle name="Comma 4 7 2 2" xfId="2969" xr:uid="{00000000-0005-0000-0000-00006C0A0000}"/>
    <cellStyle name="Comma 4 7 2 2 2" xfId="7193" xr:uid="{00000000-0005-0000-0000-00006D0A0000}"/>
    <cellStyle name="Comma 4 7 2 2 2 2" xfId="15622" xr:uid="{F9D6D511-C873-4B7F-95A6-2AFC9824B5CD}"/>
    <cellStyle name="Comma 4 7 2 2 3" xfId="11404" xr:uid="{2F77A4C8-014E-4230-A072-EA7637E48157}"/>
    <cellStyle name="Comma 4 7 2 3" xfId="5048" xr:uid="{00000000-0005-0000-0000-00006E0A0000}"/>
    <cellStyle name="Comma 4 7 2 3 2" xfId="13477" xr:uid="{96D5BA22-2DE2-4852-8D17-1397459C28AE}"/>
    <cellStyle name="Comma 4 7 2 4" xfId="9259" xr:uid="{E0B6A76A-5CB4-4AED-AD19-B9952A01E095}"/>
    <cellStyle name="Comma 4 7 3" xfId="1151" xr:uid="{00000000-0005-0000-0000-00006F0A0000}"/>
    <cellStyle name="Comma 4 7 3 2" xfId="3382" xr:uid="{00000000-0005-0000-0000-0000700A0000}"/>
    <cellStyle name="Comma 4 7 3 2 2" xfId="7606" xr:uid="{00000000-0005-0000-0000-0000710A0000}"/>
    <cellStyle name="Comma 4 7 3 2 2 2" xfId="16035" xr:uid="{D0CF9611-DC16-49D6-BE9B-D490FCCD1866}"/>
    <cellStyle name="Comma 4 7 3 2 3" xfId="11817" xr:uid="{5096E88C-B176-438E-9D08-5D50CA8EEFAA}"/>
    <cellStyle name="Comma 4 7 3 3" xfId="5461" xr:uid="{00000000-0005-0000-0000-0000720A0000}"/>
    <cellStyle name="Comma 4 7 3 3 2" xfId="13890" xr:uid="{B542D043-D33D-4E88-830E-475A1CD852BA}"/>
    <cellStyle name="Comma 4 7 3 4" xfId="9672" xr:uid="{2C0F31D3-0D05-47F8-8E14-C16E47B64084}"/>
    <cellStyle name="Comma 4 7 4" xfId="1565" xr:uid="{00000000-0005-0000-0000-0000730A0000}"/>
    <cellStyle name="Comma 4 7 4 2" xfId="3795" xr:uid="{00000000-0005-0000-0000-0000740A0000}"/>
    <cellStyle name="Comma 4 7 4 2 2" xfId="8019" xr:uid="{00000000-0005-0000-0000-0000750A0000}"/>
    <cellStyle name="Comma 4 7 4 2 2 2" xfId="16448" xr:uid="{14F789BD-1429-4846-AF04-DA4B4D062C60}"/>
    <cellStyle name="Comma 4 7 4 2 3" xfId="12230" xr:uid="{4F8A23B5-BF98-48DE-B0DF-6F5B5F45FEE9}"/>
    <cellStyle name="Comma 4 7 4 3" xfId="5874" xr:uid="{00000000-0005-0000-0000-0000760A0000}"/>
    <cellStyle name="Comma 4 7 4 3 2" xfId="14303" xr:uid="{65D6FA76-140D-4FF9-9C79-FB7DC76CDE40}"/>
    <cellStyle name="Comma 4 7 4 4" xfId="10085" xr:uid="{0191521A-940C-4C4F-A227-8ED6D59CDA0C}"/>
    <cellStyle name="Comma 4 7 5" xfId="1979" xr:uid="{00000000-0005-0000-0000-0000770A0000}"/>
    <cellStyle name="Comma 4 7 5 2" xfId="4208" xr:uid="{00000000-0005-0000-0000-0000780A0000}"/>
    <cellStyle name="Comma 4 7 5 2 2" xfId="8432" xr:uid="{00000000-0005-0000-0000-0000790A0000}"/>
    <cellStyle name="Comma 4 7 5 2 2 2" xfId="16861" xr:uid="{065297FB-C646-4A00-ADFC-83479B171E73}"/>
    <cellStyle name="Comma 4 7 5 2 3" xfId="12643" xr:uid="{BB40E1C7-8C10-4622-9801-75E6B8F36412}"/>
    <cellStyle name="Comma 4 7 5 3" xfId="6287" xr:uid="{00000000-0005-0000-0000-00007A0A0000}"/>
    <cellStyle name="Comma 4 7 5 3 2" xfId="14716" xr:uid="{09B97AE1-D1CF-47D3-B711-CC370EBB6FBE}"/>
    <cellStyle name="Comma 4 7 5 4" xfId="10498" xr:uid="{CBBDCF50-65BB-4346-AEC6-0403F34D6994}"/>
    <cellStyle name="Comma 4 7 6" xfId="2414" xr:uid="{00000000-0005-0000-0000-00007B0A0000}"/>
    <cellStyle name="Comma 4 7 6 2" xfId="6700" xr:uid="{00000000-0005-0000-0000-00007C0A0000}"/>
    <cellStyle name="Comma 4 7 6 2 2" xfId="15129" xr:uid="{8143D7BA-A685-4773-93AE-FCBF51E26AF1}"/>
    <cellStyle name="Comma 4 7 6 3" xfId="10911" xr:uid="{6FE5A621-A818-4551-A9D6-A893E73AD9B6}"/>
    <cellStyle name="Comma 4 7 7" xfId="2710" xr:uid="{00000000-0005-0000-0000-00007D0A0000}"/>
    <cellStyle name="Comma 4 7 8" xfId="2792" xr:uid="{00000000-0005-0000-0000-00007E0A0000}"/>
    <cellStyle name="Comma 4 7 8 2" xfId="7017" xr:uid="{00000000-0005-0000-0000-00007F0A0000}"/>
    <cellStyle name="Comma 4 7 8 2 2" xfId="15446" xr:uid="{600216D8-FCF5-4DB1-80C3-20D24FE74965}"/>
    <cellStyle name="Comma 4 7 8 3" xfId="11228" xr:uid="{2C554E5A-430B-40BD-9556-C82E58AAC9FF}"/>
    <cellStyle name="Comma 4 7 9" xfId="4634" xr:uid="{00000000-0005-0000-0000-0000800A0000}"/>
    <cellStyle name="Comma 4 7 9 2" xfId="13063" xr:uid="{4BC335EC-5926-4EC8-A5B4-37826E36AFA2}"/>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FBEABA35-CD63-4A83-B964-26ED0F9CDFE7}"/>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EC395F09-E1AF-48DC-B6A7-FBA952461A7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C404EE92-12BC-4342-ACF0-013D369F01FD}"/>
    <cellStyle name="Currency 3 2 2 10 3" xfId="11229" xr:uid="{5AADFA20-988D-4A57-AEA9-597D57D8A4BE}"/>
    <cellStyle name="Currency 3 2 2 11" xfId="4635" xr:uid="{00000000-0005-0000-0000-0000A50A0000}"/>
    <cellStyle name="Currency 3 2 2 11 2" xfId="13064" xr:uid="{275EA8F4-43E3-4B1B-A676-E3E7C152CFD8}"/>
    <cellStyle name="Currency 3 2 2 12" xfId="8846" xr:uid="{E5CF5757-8177-45CB-ABAD-F94FB5647545}"/>
    <cellStyle name="Currency 3 2 2 2" xfId="179" xr:uid="{00000000-0005-0000-0000-0000A60A0000}"/>
    <cellStyle name="Currency 3 2 2 2 10" xfId="4636" xr:uid="{00000000-0005-0000-0000-0000A70A0000}"/>
    <cellStyle name="Currency 3 2 2 2 10 2" xfId="13065" xr:uid="{BF0B7B83-7DA5-4EF3-B7E5-2DCEB10B3B5A}"/>
    <cellStyle name="Currency 3 2 2 2 11" xfId="8847" xr:uid="{A24F7AB8-79C9-480F-A275-DA0088A7F228}"/>
    <cellStyle name="Currency 3 2 2 2 2" xfId="180" xr:uid="{00000000-0005-0000-0000-0000A80A0000}"/>
    <cellStyle name="Currency 3 2 2 2 2 10" xfId="8848" xr:uid="{20DE52E2-F48B-4F53-B3B7-D81DD48D9CE4}"/>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82FF7BC3-5661-40FA-892B-B8AD9A47354D}"/>
    <cellStyle name="Currency 3 2 2 2 2 2 2 3" xfId="11407" xr:uid="{C8B284CD-01FE-45F2-9DB9-350AE0623240}"/>
    <cellStyle name="Currency 3 2 2 2 2 2 3" xfId="5051" xr:uid="{00000000-0005-0000-0000-0000AC0A0000}"/>
    <cellStyle name="Currency 3 2 2 2 2 2 3 2" xfId="13480" xr:uid="{B141F3B6-C48D-4DFC-BFB2-DBE68C209274}"/>
    <cellStyle name="Currency 3 2 2 2 2 2 4" xfId="9262" xr:uid="{4D1C9F26-9235-4B84-8BBA-8CD8218595EB}"/>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F7F4AC14-0BA4-4C46-9113-4E05646B73D9}"/>
    <cellStyle name="Currency 3 2 2 2 2 3 2 3" xfId="11820" xr:uid="{8A58B7C9-F520-472B-BA6A-6704B1A7FCCD}"/>
    <cellStyle name="Currency 3 2 2 2 2 3 3" xfId="5464" xr:uid="{00000000-0005-0000-0000-0000B00A0000}"/>
    <cellStyle name="Currency 3 2 2 2 2 3 3 2" xfId="13893" xr:uid="{16703355-6C10-4E3E-929B-50C14E3D2713}"/>
    <cellStyle name="Currency 3 2 2 2 2 3 4" xfId="9675" xr:uid="{792706AF-D878-4A0F-A2A9-D84725160759}"/>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4C527816-A4A0-4BFE-9AF4-4F4514B66110}"/>
    <cellStyle name="Currency 3 2 2 2 2 4 2 3" xfId="12233" xr:uid="{D805F437-4D0F-440E-918D-B01AA1BADA72}"/>
    <cellStyle name="Currency 3 2 2 2 2 4 3" xfId="5877" xr:uid="{00000000-0005-0000-0000-0000B40A0000}"/>
    <cellStyle name="Currency 3 2 2 2 2 4 3 2" xfId="14306" xr:uid="{781F2F6A-2B70-4EED-8D74-11903E2BAE3E}"/>
    <cellStyle name="Currency 3 2 2 2 2 4 4" xfId="10088" xr:uid="{D35F2FD9-C8B2-4C4D-98E3-14C19039F7EE}"/>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D35F823C-D01A-4BA4-89E7-28358B9B0675}"/>
    <cellStyle name="Currency 3 2 2 2 2 5 2 3" xfId="12646" xr:uid="{415A8F0B-7978-4BC2-8400-AA424D4B235C}"/>
    <cellStyle name="Currency 3 2 2 2 2 5 3" xfId="6290" xr:uid="{00000000-0005-0000-0000-0000B80A0000}"/>
    <cellStyle name="Currency 3 2 2 2 2 5 3 2" xfId="14719" xr:uid="{A98BB159-5BF3-450D-8B98-D7B2E6555EE2}"/>
    <cellStyle name="Currency 3 2 2 2 2 5 4" xfId="10501" xr:uid="{F3D437FA-729B-4D25-970E-DBE2B550A9F9}"/>
    <cellStyle name="Currency 3 2 2 2 2 6" xfId="2417" xr:uid="{00000000-0005-0000-0000-0000B90A0000}"/>
    <cellStyle name="Currency 3 2 2 2 2 6 2" xfId="6703" xr:uid="{00000000-0005-0000-0000-0000BA0A0000}"/>
    <cellStyle name="Currency 3 2 2 2 2 6 2 2" xfId="15132" xr:uid="{17938ECB-9272-4574-84B9-470CB75293BA}"/>
    <cellStyle name="Currency 3 2 2 2 2 6 3" xfId="10914" xr:uid="{F4BC62CE-3A44-4D92-B948-0C131261682A}"/>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08868EFD-A715-44FC-B7CB-798932270B09}"/>
    <cellStyle name="Currency 3 2 2 2 2 8 3" xfId="11231" xr:uid="{15710623-4C13-4DBD-9C37-5B47AC297C64}"/>
    <cellStyle name="Currency 3 2 2 2 2 9" xfId="4637" xr:uid="{00000000-0005-0000-0000-0000BE0A0000}"/>
    <cellStyle name="Currency 3 2 2 2 2 9 2" xfId="13066" xr:uid="{097A80DB-8E14-4C6C-978E-9226062540CE}"/>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E8CA961D-F54D-4B37-A8A2-F28C3BD09C31}"/>
    <cellStyle name="Currency 3 2 2 2 3 2 3" xfId="11406" xr:uid="{BF071711-D292-4A71-8C8B-E19840C40207}"/>
    <cellStyle name="Currency 3 2 2 2 3 3" xfId="5050" xr:uid="{00000000-0005-0000-0000-0000C20A0000}"/>
    <cellStyle name="Currency 3 2 2 2 3 3 2" xfId="13479" xr:uid="{30CCA781-C276-41A4-9D56-4D2FDFBF3974}"/>
    <cellStyle name="Currency 3 2 2 2 3 4" xfId="9261" xr:uid="{6F801018-3DA4-4338-91FA-4D4B39B3104E}"/>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983D4289-3EE5-49FC-9C7E-4A06E07E2E1C}"/>
    <cellStyle name="Currency 3 2 2 2 4 2 3" xfId="11819" xr:uid="{4B98F887-5DC9-4CE5-B2C6-4F7E3F24BEDC}"/>
    <cellStyle name="Currency 3 2 2 2 4 3" xfId="5463" xr:uid="{00000000-0005-0000-0000-0000C60A0000}"/>
    <cellStyle name="Currency 3 2 2 2 4 3 2" xfId="13892" xr:uid="{BBFA3174-FC56-47B5-B418-95C1625BC2B5}"/>
    <cellStyle name="Currency 3 2 2 2 4 4" xfId="9674" xr:uid="{3B96F78D-5FED-4069-864D-C087BF5135F9}"/>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C89FBE75-B5AE-433F-B857-84AB803095CE}"/>
    <cellStyle name="Currency 3 2 2 2 5 2 3" xfId="12232" xr:uid="{E7A08753-E051-4677-A44E-F8A80A83CC35}"/>
    <cellStyle name="Currency 3 2 2 2 5 3" xfId="5876" xr:uid="{00000000-0005-0000-0000-0000CA0A0000}"/>
    <cellStyle name="Currency 3 2 2 2 5 3 2" xfId="14305" xr:uid="{785DECCE-60C1-4BBD-8244-3C89BADB72E8}"/>
    <cellStyle name="Currency 3 2 2 2 5 4" xfId="10087" xr:uid="{9DDF59FC-4045-4D1E-9B40-BE9CF4355D71}"/>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ECB97630-52E4-4EA0-A105-04716E93A8FD}"/>
    <cellStyle name="Currency 3 2 2 2 6 2 3" xfId="12645" xr:uid="{9D7B5F2F-E523-4555-A4DA-C52EDFB50739}"/>
    <cellStyle name="Currency 3 2 2 2 6 3" xfId="6289" xr:uid="{00000000-0005-0000-0000-0000CE0A0000}"/>
    <cellStyle name="Currency 3 2 2 2 6 3 2" xfId="14718" xr:uid="{BF90AADF-3CC9-4C5E-A858-A8BC7C5CACB2}"/>
    <cellStyle name="Currency 3 2 2 2 6 4" xfId="10500" xr:uid="{575EF47D-51B4-4134-957C-D3337ACC323D}"/>
    <cellStyle name="Currency 3 2 2 2 7" xfId="2416" xr:uid="{00000000-0005-0000-0000-0000CF0A0000}"/>
    <cellStyle name="Currency 3 2 2 2 7 2" xfId="6702" xr:uid="{00000000-0005-0000-0000-0000D00A0000}"/>
    <cellStyle name="Currency 3 2 2 2 7 2 2" xfId="15131" xr:uid="{45ADDC4C-BBF9-4D53-982B-5DE754CB0C85}"/>
    <cellStyle name="Currency 3 2 2 2 7 3" xfId="10913" xr:uid="{08611B79-19DC-46B8-983B-E4EF7896A015}"/>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911F652F-2813-4AF9-B5EA-BB72ACB9874F}"/>
    <cellStyle name="Currency 3 2 2 2 9 3" xfId="11230" xr:uid="{3119BD5E-3407-4597-90DB-EC4007D55A19}"/>
    <cellStyle name="Currency 3 2 2 3" xfId="181" xr:uid="{00000000-0005-0000-0000-0000D40A0000}"/>
    <cellStyle name="Currency 3 2 2 3 10" xfId="8849" xr:uid="{F7B1751C-85B4-4ED1-BD66-7D62B418E3CA}"/>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C4B3D0CC-424E-47C5-B5E1-22EC4493D14F}"/>
    <cellStyle name="Currency 3 2 2 3 2 2 3" xfId="11408" xr:uid="{F221A7FB-258D-4A79-9E21-1C089E975F4C}"/>
    <cellStyle name="Currency 3 2 2 3 2 3" xfId="5052" xr:uid="{00000000-0005-0000-0000-0000D80A0000}"/>
    <cellStyle name="Currency 3 2 2 3 2 3 2" xfId="13481" xr:uid="{0C43723C-4728-452F-B804-059E006A4D52}"/>
    <cellStyle name="Currency 3 2 2 3 2 4" xfId="9263" xr:uid="{11E3C114-4B42-4BDE-A94A-EF62054BF79E}"/>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2FBA2067-283C-4831-BBFD-351CFC606148}"/>
    <cellStyle name="Currency 3 2 2 3 3 2 3" xfId="11821" xr:uid="{F64E07B6-629E-40DC-9101-7F6D211C7118}"/>
    <cellStyle name="Currency 3 2 2 3 3 3" xfId="5465" xr:uid="{00000000-0005-0000-0000-0000DC0A0000}"/>
    <cellStyle name="Currency 3 2 2 3 3 3 2" xfId="13894" xr:uid="{25C3D3DF-20C4-4C45-B072-F7C4E1214B5F}"/>
    <cellStyle name="Currency 3 2 2 3 3 4" xfId="9676" xr:uid="{FA54B7BC-5111-4AEC-9178-D22717196C43}"/>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14629C4D-2C2F-4ED0-90D2-650F18E9A35B}"/>
    <cellStyle name="Currency 3 2 2 3 4 2 3" xfId="12234" xr:uid="{17B403B9-19C1-4F92-9083-4032DDCBACCC}"/>
    <cellStyle name="Currency 3 2 2 3 4 3" xfId="5878" xr:uid="{00000000-0005-0000-0000-0000E00A0000}"/>
    <cellStyle name="Currency 3 2 2 3 4 3 2" xfId="14307" xr:uid="{E7C103B8-91A9-43AA-8571-D38D5BECDDCE}"/>
    <cellStyle name="Currency 3 2 2 3 4 4" xfId="10089" xr:uid="{233B8A91-1245-41CB-840C-8ECC2A7EFACB}"/>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923CEC3C-F4B9-400E-A33F-E4950AFE81C0}"/>
    <cellStyle name="Currency 3 2 2 3 5 2 3" xfId="12647" xr:uid="{5E4FDEEE-6479-4797-8E2B-73D871256CEA}"/>
    <cellStyle name="Currency 3 2 2 3 5 3" xfId="6291" xr:uid="{00000000-0005-0000-0000-0000E40A0000}"/>
    <cellStyle name="Currency 3 2 2 3 5 3 2" xfId="14720" xr:uid="{85C205B3-A5EE-4191-B95E-CFB95D3BC662}"/>
    <cellStyle name="Currency 3 2 2 3 5 4" xfId="10502" xr:uid="{F91F3DB5-FC40-4C87-B494-46E0F19A2C7F}"/>
    <cellStyle name="Currency 3 2 2 3 6" xfId="2418" xr:uid="{00000000-0005-0000-0000-0000E50A0000}"/>
    <cellStyle name="Currency 3 2 2 3 6 2" xfId="6704" xr:uid="{00000000-0005-0000-0000-0000E60A0000}"/>
    <cellStyle name="Currency 3 2 2 3 6 2 2" xfId="15133" xr:uid="{427C1B5C-6A30-4256-BF6C-D5B50A10A6F5}"/>
    <cellStyle name="Currency 3 2 2 3 6 3" xfId="10915" xr:uid="{448AA499-E179-4BB8-A147-D3C6BC4772B6}"/>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40D6E663-47C7-47F5-891F-37E3872E812D}"/>
    <cellStyle name="Currency 3 2 2 3 8 3" xfId="11232" xr:uid="{F8F36BD7-FA13-4973-AAC6-E816E81B46E5}"/>
    <cellStyle name="Currency 3 2 2 3 9" xfId="4638" xr:uid="{00000000-0005-0000-0000-0000EA0A0000}"/>
    <cellStyle name="Currency 3 2 2 3 9 2" xfId="13067" xr:uid="{2C997487-5C67-46E4-9992-1B05CE54CE7E}"/>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3120D564-CC45-4E67-99AE-9C6CA4D66584}"/>
    <cellStyle name="Currency 3 2 2 4 2 3" xfId="11405" xr:uid="{7A2DC636-570D-493B-BC33-53DB26140BEA}"/>
    <cellStyle name="Currency 3 2 2 4 3" xfId="5049" xr:uid="{00000000-0005-0000-0000-0000EE0A0000}"/>
    <cellStyle name="Currency 3 2 2 4 3 2" xfId="13478" xr:uid="{24F7C62A-D230-47F8-ABD8-AC384BE1D27C}"/>
    <cellStyle name="Currency 3 2 2 4 4" xfId="9260" xr:uid="{403D5862-3072-498F-9952-8B365FD71693}"/>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ABC5180B-5CCD-4DC0-AC4A-21B1A1F5D93A}"/>
    <cellStyle name="Currency 3 2 2 5 2 3" xfId="11818" xr:uid="{D9C53EF9-ABAE-48ED-A9FB-31E746E73B76}"/>
    <cellStyle name="Currency 3 2 2 5 3" xfId="5462" xr:uid="{00000000-0005-0000-0000-0000F20A0000}"/>
    <cellStyle name="Currency 3 2 2 5 3 2" xfId="13891" xr:uid="{70E05EC0-7C93-430E-8022-FC06D5637790}"/>
    <cellStyle name="Currency 3 2 2 5 4" xfId="9673" xr:uid="{9066C27F-90AC-4DA9-ABB1-B1D4743082C3}"/>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F087F4E0-75B0-42CC-B359-C4D3947505EE}"/>
    <cellStyle name="Currency 3 2 2 6 2 3" xfId="12231" xr:uid="{3F380FA1-9249-4875-A6DC-B8E3EDF15E06}"/>
    <cellStyle name="Currency 3 2 2 6 3" xfId="5875" xr:uid="{00000000-0005-0000-0000-0000F60A0000}"/>
    <cellStyle name="Currency 3 2 2 6 3 2" xfId="14304" xr:uid="{995F92BD-5E37-4628-A3D1-0402C13444A2}"/>
    <cellStyle name="Currency 3 2 2 6 4" xfId="10086" xr:uid="{7EDFE328-EE94-4B58-83F0-5A011ABFEA9E}"/>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A76ABBB4-22D4-4288-8779-73885CEC7BF8}"/>
    <cellStyle name="Currency 3 2 2 7 2 3" xfId="12644" xr:uid="{815C4A45-1253-476D-930C-2EC538B23BDF}"/>
    <cellStyle name="Currency 3 2 2 7 3" xfId="6288" xr:uid="{00000000-0005-0000-0000-0000FA0A0000}"/>
    <cellStyle name="Currency 3 2 2 7 3 2" xfId="14717" xr:uid="{AD414435-87BC-4914-9366-6DCFA3859F69}"/>
    <cellStyle name="Currency 3 2 2 7 4" xfId="10499" xr:uid="{105A01E1-D2EB-4360-9070-6D12CFF6C956}"/>
    <cellStyle name="Currency 3 2 2 8" xfId="2415" xr:uid="{00000000-0005-0000-0000-0000FB0A0000}"/>
    <cellStyle name="Currency 3 2 2 8 2" xfId="6701" xr:uid="{00000000-0005-0000-0000-0000FC0A0000}"/>
    <cellStyle name="Currency 3 2 2 8 2 2" xfId="15130" xr:uid="{E952840C-DD3C-4E3F-A381-264FD3AE1F36}"/>
    <cellStyle name="Currency 3 2 2 8 3" xfId="10912" xr:uid="{D9514E92-4BE0-4A9E-82AB-EEA4E2F87A7A}"/>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12249051-5134-41AB-9227-97B49845FB64}"/>
    <cellStyle name="Currency 3 2 3 11" xfId="8850" xr:uid="{1E90A25A-43F0-4CE3-B6B5-C08AD0EEE5CA}"/>
    <cellStyle name="Currency 3 2 3 2" xfId="183" xr:uid="{00000000-0005-0000-0000-0000000B0000}"/>
    <cellStyle name="Currency 3 2 3 2 10" xfId="8851" xr:uid="{120A6BE8-8847-403E-9DE4-BDFD05DC4574}"/>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7B0286DF-E27E-4FCD-A6DC-CBDB7ABB0567}"/>
    <cellStyle name="Currency 3 2 3 2 2 2 3" xfId="11410" xr:uid="{495A82A4-0259-4358-A821-A0B9CDFC9363}"/>
    <cellStyle name="Currency 3 2 3 2 2 3" xfId="5054" xr:uid="{00000000-0005-0000-0000-0000040B0000}"/>
    <cellStyle name="Currency 3 2 3 2 2 3 2" xfId="13483" xr:uid="{45AA2813-AC60-4716-B6DA-28CFB262D716}"/>
    <cellStyle name="Currency 3 2 3 2 2 4" xfId="9265" xr:uid="{C42E73B0-52E1-486F-B834-AB9F8BA48375}"/>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E9BDDE8A-BD91-4C90-AA21-8B266F346C1B}"/>
    <cellStyle name="Currency 3 2 3 2 3 2 3" xfId="11823" xr:uid="{CBF1DF83-BB9E-4C5D-B573-529EFD82DFA7}"/>
    <cellStyle name="Currency 3 2 3 2 3 3" xfId="5467" xr:uid="{00000000-0005-0000-0000-0000080B0000}"/>
    <cellStyle name="Currency 3 2 3 2 3 3 2" xfId="13896" xr:uid="{C4A34E99-0B52-4DE9-9C92-684E808F379B}"/>
    <cellStyle name="Currency 3 2 3 2 3 4" xfId="9678" xr:uid="{A58536EE-FE70-4463-A21D-315CE9926EF4}"/>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1731CA49-5F38-4C6D-9EE5-3873AE143389}"/>
    <cellStyle name="Currency 3 2 3 2 4 2 3" xfId="12236" xr:uid="{407100CB-AD35-41C6-B048-A1F95FE3DAD5}"/>
    <cellStyle name="Currency 3 2 3 2 4 3" xfId="5880" xr:uid="{00000000-0005-0000-0000-00000C0B0000}"/>
    <cellStyle name="Currency 3 2 3 2 4 3 2" xfId="14309" xr:uid="{EBAB5FFA-E615-4A27-9F5F-2FE9A66DE482}"/>
    <cellStyle name="Currency 3 2 3 2 4 4" xfId="10091" xr:uid="{A5D83252-3B31-4BFB-AA42-DD6DD2DF0632}"/>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81FAF3EF-C3DB-4C44-A1DA-5E471458F25B}"/>
    <cellStyle name="Currency 3 2 3 2 5 2 3" xfId="12649" xr:uid="{70093E18-4904-4AD3-8FD3-093D5192A178}"/>
    <cellStyle name="Currency 3 2 3 2 5 3" xfId="6293" xr:uid="{00000000-0005-0000-0000-0000100B0000}"/>
    <cellStyle name="Currency 3 2 3 2 5 3 2" xfId="14722" xr:uid="{DD7936EB-81C2-41B2-9848-2A06741DA4E8}"/>
    <cellStyle name="Currency 3 2 3 2 5 4" xfId="10504" xr:uid="{481C1A37-DE6C-472E-BDC6-79D340FCE363}"/>
    <cellStyle name="Currency 3 2 3 2 6" xfId="2420" xr:uid="{00000000-0005-0000-0000-0000110B0000}"/>
    <cellStyle name="Currency 3 2 3 2 6 2" xfId="6706" xr:uid="{00000000-0005-0000-0000-0000120B0000}"/>
    <cellStyle name="Currency 3 2 3 2 6 2 2" xfId="15135" xr:uid="{34CB9C62-5CCC-4FCF-A027-3F0103BF17E9}"/>
    <cellStyle name="Currency 3 2 3 2 6 3" xfId="10917" xr:uid="{AE48BCA0-BF28-4E13-975C-DE51C1D7CA9B}"/>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A321C5E9-70F9-40DD-B627-CD06ED6A1095}"/>
    <cellStyle name="Currency 3 2 3 2 8 3" xfId="11234" xr:uid="{9B10975D-53C4-4473-B434-4FFEC36950B0}"/>
    <cellStyle name="Currency 3 2 3 2 9" xfId="4640" xr:uid="{00000000-0005-0000-0000-0000160B0000}"/>
    <cellStyle name="Currency 3 2 3 2 9 2" xfId="13069" xr:uid="{072C1898-1120-4199-87D0-D760F9DC78F3}"/>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3D6C031D-343B-4744-A2EE-355909C107C7}"/>
    <cellStyle name="Currency 3 2 3 3 2 3" xfId="11409" xr:uid="{1BDE4D80-1B8D-4699-9D1D-AC14581F56AD}"/>
    <cellStyle name="Currency 3 2 3 3 3" xfId="5053" xr:uid="{00000000-0005-0000-0000-00001A0B0000}"/>
    <cellStyle name="Currency 3 2 3 3 3 2" xfId="13482" xr:uid="{83787214-87FE-4C52-B0A7-92248242ECA4}"/>
    <cellStyle name="Currency 3 2 3 3 4" xfId="9264" xr:uid="{284C1CEF-208C-4708-803D-C5EC02DD4DB3}"/>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37FB5F4D-E9E3-4ABA-ADC0-311EF57AE192}"/>
    <cellStyle name="Currency 3 2 3 4 2 3" xfId="11822" xr:uid="{E2DF281F-9092-4119-B0C7-B06311E0C592}"/>
    <cellStyle name="Currency 3 2 3 4 3" xfId="5466" xr:uid="{00000000-0005-0000-0000-00001E0B0000}"/>
    <cellStyle name="Currency 3 2 3 4 3 2" xfId="13895" xr:uid="{02A3A91A-EA74-4923-A556-7EE7C88D6341}"/>
    <cellStyle name="Currency 3 2 3 4 4" xfId="9677" xr:uid="{5C30201C-3619-4805-AAD6-EE1A8EFDD246}"/>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40F3B8E0-C03E-45F3-80FB-D43090C6B8E6}"/>
    <cellStyle name="Currency 3 2 3 5 2 3" xfId="12235" xr:uid="{F1330575-9E67-41F2-8D18-4EE27E55745A}"/>
    <cellStyle name="Currency 3 2 3 5 3" xfId="5879" xr:uid="{00000000-0005-0000-0000-0000220B0000}"/>
    <cellStyle name="Currency 3 2 3 5 3 2" xfId="14308" xr:uid="{127B9570-6D41-47DC-88EA-C788BD32DACE}"/>
    <cellStyle name="Currency 3 2 3 5 4" xfId="10090" xr:uid="{25A0895A-B549-46C6-98B7-F94931BBC3D7}"/>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6E791D36-C70B-4096-AABB-AEEF2384A8CC}"/>
    <cellStyle name="Currency 3 2 3 6 2 3" xfId="12648" xr:uid="{A8CC0979-4344-4492-BE5E-1160FD7C3988}"/>
    <cellStyle name="Currency 3 2 3 6 3" xfId="6292" xr:uid="{00000000-0005-0000-0000-0000260B0000}"/>
    <cellStyle name="Currency 3 2 3 6 3 2" xfId="14721" xr:uid="{BD1C3BA8-32C3-4803-B50F-38834CBC84DF}"/>
    <cellStyle name="Currency 3 2 3 6 4" xfId="10503" xr:uid="{DE4BD112-0CAC-43F9-B95C-67952857F2BD}"/>
    <cellStyle name="Currency 3 2 3 7" xfId="2419" xr:uid="{00000000-0005-0000-0000-0000270B0000}"/>
    <cellStyle name="Currency 3 2 3 7 2" xfId="6705" xr:uid="{00000000-0005-0000-0000-0000280B0000}"/>
    <cellStyle name="Currency 3 2 3 7 2 2" xfId="15134" xr:uid="{CC22AFB1-46DC-4E25-9DD7-B8CC9BA431A4}"/>
    <cellStyle name="Currency 3 2 3 7 3" xfId="10916" xr:uid="{EE6B1845-FB49-4366-9CD8-FD0BA2692C5C}"/>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01DE0CF4-33A3-48D1-8A2E-CBE92AC9A3CD}"/>
    <cellStyle name="Currency 3 2 3 9 3" xfId="11233" xr:uid="{CCFB9B7F-01FE-4F3E-83E1-5FADEE335D2D}"/>
    <cellStyle name="Currency 3 2 4" xfId="184" xr:uid="{00000000-0005-0000-0000-00002C0B0000}"/>
    <cellStyle name="Currency 3 2 4 10" xfId="8852" xr:uid="{37450CBE-3A4C-4478-8627-BCD055171159}"/>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B3627344-AF2D-4015-A9D7-DCC3F4604206}"/>
    <cellStyle name="Currency 3 2 4 2 2 3" xfId="11411" xr:uid="{240C982D-A1FD-4848-8E16-1C3E0787BA57}"/>
    <cellStyle name="Currency 3 2 4 2 3" xfId="5055" xr:uid="{00000000-0005-0000-0000-0000300B0000}"/>
    <cellStyle name="Currency 3 2 4 2 3 2" xfId="13484" xr:uid="{6BD7E4FE-91F9-49DF-892F-2E402AB5F6BF}"/>
    <cellStyle name="Currency 3 2 4 2 4" xfId="9266" xr:uid="{9E97BD69-38B1-4DBE-AFF3-EA86D37F1C10}"/>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00B3E573-45CE-47B7-BD99-5FF3E42FD47B}"/>
    <cellStyle name="Currency 3 2 4 3 2 3" xfId="11824" xr:uid="{00D8295B-46EA-4B7D-BD84-116F31178D33}"/>
    <cellStyle name="Currency 3 2 4 3 3" xfId="5468" xr:uid="{00000000-0005-0000-0000-0000340B0000}"/>
    <cellStyle name="Currency 3 2 4 3 3 2" xfId="13897" xr:uid="{DC1CE646-725E-4BB8-88E5-EDAAB2AB8249}"/>
    <cellStyle name="Currency 3 2 4 3 4" xfId="9679" xr:uid="{DB6B3192-1349-4FE2-8267-9806E4F8168C}"/>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84910450-A465-44A6-A524-1BAFCC8638FC}"/>
    <cellStyle name="Currency 3 2 4 4 2 3" xfId="12237" xr:uid="{DA5AC34C-9D64-4739-ABE4-DEB2BE0BF0B6}"/>
    <cellStyle name="Currency 3 2 4 4 3" xfId="5881" xr:uid="{00000000-0005-0000-0000-0000380B0000}"/>
    <cellStyle name="Currency 3 2 4 4 3 2" xfId="14310" xr:uid="{FA499B6F-B984-4D82-A12B-15DEC482E85F}"/>
    <cellStyle name="Currency 3 2 4 4 4" xfId="10092" xr:uid="{32E9CE0E-EFD7-4804-B3B9-48FD3331E3CC}"/>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39FAE606-B8C1-46FA-88D6-E1CABA611E6B}"/>
    <cellStyle name="Currency 3 2 4 5 2 3" xfId="12650" xr:uid="{FC97372F-809F-4588-BA5C-A4141F5BFA3B}"/>
    <cellStyle name="Currency 3 2 4 5 3" xfId="6294" xr:uid="{00000000-0005-0000-0000-00003C0B0000}"/>
    <cellStyle name="Currency 3 2 4 5 3 2" xfId="14723" xr:uid="{7E7FBEA3-3E7C-4344-83BE-3A462656F17A}"/>
    <cellStyle name="Currency 3 2 4 5 4" xfId="10505" xr:uid="{49193C7F-2394-431A-A100-F9825D8CD2FC}"/>
    <cellStyle name="Currency 3 2 4 6" xfId="2421" xr:uid="{00000000-0005-0000-0000-00003D0B0000}"/>
    <cellStyle name="Currency 3 2 4 6 2" xfId="6707" xr:uid="{00000000-0005-0000-0000-00003E0B0000}"/>
    <cellStyle name="Currency 3 2 4 6 2 2" xfId="15136" xr:uid="{1C6462A8-DFC5-4E4F-BA4B-6C91370A9D55}"/>
    <cellStyle name="Currency 3 2 4 6 3" xfId="10918" xr:uid="{72CBB5FA-DA44-436B-8981-3F46AC6EB636}"/>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7960E2C6-BD80-4DD4-ADB6-6196B889C403}"/>
    <cellStyle name="Currency 3 2 4 8 3" xfId="11235" xr:uid="{4B9DF224-45EA-47A4-8BAC-AAEB32794E34}"/>
    <cellStyle name="Currency 3 2 4 9" xfId="4641" xr:uid="{00000000-0005-0000-0000-0000420B0000}"/>
    <cellStyle name="Currency 3 2 4 9 2" xfId="13070" xr:uid="{F7D04145-D505-4A78-B6F9-8E3369F63528}"/>
    <cellStyle name="Currency 3 2 5" xfId="185" xr:uid="{00000000-0005-0000-0000-0000430B0000}"/>
    <cellStyle name="Currency 3 2 5 10" xfId="8853" xr:uid="{273463C7-A924-40A3-92AD-528CC41BA97A}"/>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EC2EA79F-50DF-4BCF-AF9E-AA37D538F1AA}"/>
    <cellStyle name="Currency 3 2 5 2 2 3" xfId="11412" xr:uid="{21CF51CA-98D7-4B1A-AC15-3BB8A833895C}"/>
    <cellStyle name="Currency 3 2 5 2 3" xfId="5056" xr:uid="{00000000-0005-0000-0000-0000470B0000}"/>
    <cellStyle name="Currency 3 2 5 2 3 2" xfId="13485" xr:uid="{CB5FA6B5-EDBA-4D5B-ACC5-33AD8E3FE1BC}"/>
    <cellStyle name="Currency 3 2 5 2 4" xfId="9267" xr:uid="{A41A0FCC-7C1D-4D8A-87D2-10853565BF01}"/>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4B0A0BA3-6F36-4C40-84A0-917155ABEF1E}"/>
    <cellStyle name="Currency 3 2 5 3 2 3" xfId="11825" xr:uid="{95AD8D69-CC62-445C-A8C3-FE18D34500E0}"/>
    <cellStyle name="Currency 3 2 5 3 3" xfId="5469" xr:uid="{00000000-0005-0000-0000-00004B0B0000}"/>
    <cellStyle name="Currency 3 2 5 3 3 2" xfId="13898" xr:uid="{35DBE01D-2AB6-46D7-88E6-46314673CD4E}"/>
    <cellStyle name="Currency 3 2 5 3 4" xfId="9680" xr:uid="{601D813C-D670-40A2-976C-D116F4AF682B}"/>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7C4A76E1-5A23-419E-B760-CD002A12E326}"/>
    <cellStyle name="Currency 3 2 5 4 2 3" xfId="12238" xr:uid="{EBA9E598-2182-427F-9C4F-BB0532EAB662}"/>
    <cellStyle name="Currency 3 2 5 4 3" xfId="5882" xr:uid="{00000000-0005-0000-0000-00004F0B0000}"/>
    <cellStyle name="Currency 3 2 5 4 3 2" xfId="14311" xr:uid="{3F1CF7ED-8496-4B02-8CB8-F15DBAC63455}"/>
    <cellStyle name="Currency 3 2 5 4 4" xfId="10093" xr:uid="{EE0BABCA-8A25-4F1D-B4E5-3B156B7C60B6}"/>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0DED349D-C7F2-485C-8DDB-DA7A7E520F32}"/>
    <cellStyle name="Currency 3 2 5 5 2 3" xfId="12651" xr:uid="{A7344CC4-978C-4835-86D2-7FC69F9CA3BF}"/>
    <cellStyle name="Currency 3 2 5 5 3" xfId="6295" xr:uid="{00000000-0005-0000-0000-0000530B0000}"/>
    <cellStyle name="Currency 3 2 5 5 3 2" xfId="14724" xr:uid="{2A652A92-E936-45F8-958E-9FD1B53A004E}"/>
    <cellStyle name="Currency 3 2 5 5 4" xfId="10506" xr:uid="{DA30D09A-07C3-4FB8-8224-E3DBC9B2DFFA}"/>
    <cellStyle name="Currency 3 2 5 6" xfId="2422" xr:uid="{00000000-0005-0000-0000-0000540B0000}"/>
    <cellStyle name="Currency 3 2 5 6 2" xfId="6708" xr:uid="{00000000-0005-0000-0000-0000550B0000}"/>
    <cellStyle name="Currency 3 2 5 6 2 2" xfId="15137" xr:uid="{ABA958FC-2C1D-43C7-8700-F945164BF440}"/>
    <cellStyle name="Currency 3 2 5 6 3" xfId="10919" xr:uid="{DA27AD4A-C619-4AD1-95F7-BCB0CF8465D9}"/>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37B57C41-E65E-494E-8680-26F28F4015E9}"/>
    <cellStyle name="Currency 3 2 5 8 3" xfId="11236" xr:uid="{62CFFB16-997C-4684-8490-BF117C82ED9F}"/>
    <cellStyle name="Currency 3 2 5 9" xfId="4642" xr:uid="{00000000-0005-0000-0000-0000590B0000}"/>
    <cellStyle name="Currency 3 2 5 9 2" xfId="13071" xr:uid="{B4426DE6-91BE-433C-8FA7-56775990F2DC}"/>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1B08B541-1A85-46FF-825F-581F6F717CB8}"/>
    <cellStyle name="Currency 5 2 2 2 10 3" xfId="11237" xr:uid="{D19FBEDC-BBEF-47BE-A21B-40EEBBD41F32}"/>
    <cellStyle name="Currency 5 2 2 2 11" xfId="4643" xr:uid="{00000000-0005-0000-0000-00006C0B0000}"/>
    <cellStyle name="Currency 5 2 2 2 11 2" xfId="13072" xr:uid="{96D704C1-B163-400D-8428-C0135FDE55BA}"/>
    <cellStyle name="Currency 5 2 2 2 12" xfId="8854" xr:uid="{9B08F4AB-4907-4F9C-8BF2-DB1F91C4AF06}"/>
    <cellStyle name="Currency 5 2 2 2 2" xfId="197" xr:uid="{00000000-0005-0000-0000-00006D0B0000}"/>
    <cellStyle name="Currency 5 2 2 2 2 10" xfId="4644" xr:uid="{00000000-0005-0000-0000-00006E0B0000}"/>
    <cellStyle name="Currency 5 2 2 2 2 10 2" xfId="13073" xr:uid="{66F2F63B-C421-41E0-9786-3BE6A567B438}"/>
    <cellStyle name="Currency 5 2 2 2 2 11" xfId="8855" xr:uid="{9DEBB9CD-A770-422E-8BAB-06F7A47DEE03}"/>
    <cellStyle name="Currency 5 2 2 2 2 2" xfId="198" xr:uid="{00000000-0005-0000-0000-00006F0B0000}"/>
    <cellStyle name="Currency 5 2 2 2 2 2 10" xfId="8856" xr:uid="{A2DF185E-9481-44DE-AD6D-6967C52ED68E}"/>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25009B73-5F06-4542-BCB7-2DC8580F8BCF}"/>
    <cellStyle name="Currency 5 2 2 2 2 2 2 2 3" xfId="11415" xr:uid="{DCD6F782-8EC5-4BA3-8363-84D8025F819D}"/>
    <cellStyle name="Currency 5 2 2 2 2 2 2 3" xfId="5059" xr:uid="{00000000-0005-0000-0000-0000730B0000}"/>
    <cellStyle name="Currency 5 2 2 2 2 2 2 3 2" xfId="13488" xr:uid="{CD224F78-156C-448D-ACF2-D520423B74BC}"/>
    <cellStyle name="Currency 5 2 2 2 2 2 2 4" xfId="9270" xr:uid="{B9A05E37-0F77-4F4F-B8DC-A21F1AA5F361}"/>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06476F23-86E3-4C5F-BC15-BDC80C4654AF}"/>
    <cellStyle name="Currency 5 2 2 2 2 2 3 2 3" xfId="11828" xr:uid="{6774C881-0AED-4777-92F1-FDBC193094D3}"/>
    <cellStyle name="Currency 5 2 2 2 2 2 3 3" xfId="5472" xr:uid="{00000000-0005-0000-0000-0000770B0000}"/>
    <cellStyle name="Currency 5 2 2 2 2 2 3 3 2" xfId="13901" xr:uid="{9D9AB9B7-2341-456E-8B59-E20BA871121F}"/>
    <cellStyle name="Currency 5 2 2 2 2 2 3 4" xfId="9683" xr:uid="{E8B499CA-814A-4C05-A31D-0DE96658D8DD}"/>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42DA9228-755E-4329-B2DF-2EAE35E31C18}"/>
    <cellStyle name="Currency 5 2 2 2 2 2 4 2 3" xfId="12241" xr:uid="{41A6EFAB-9C98-4016-837A-DDA5012B09B6}"/>
    <cellStyle name="Currency 5 2 2 2 2 2 4 3" xfId="5885" xr:uid="{00000000-0005-0000-0000-00007B0B0000}"/>
    <cellStyle name="Currency 5 2 2 2 2 2 4 3 2" xfId="14314" xr:uid="{6EDEAA78-294E-45DE-A54A-995C85DBFB9A}"/>
    <cellStyle name="Currency 5 2 2 2 2 2 4 4" xfId="10096" xr:uid="{EBB16B27-9D8D-4CAF-BC0E-A34AD61BC56E}"/>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DF623019-0EA3-4941-84F4-93A443C85F4E}"/>
    <cellStyle name="Currency 5 2 2 2 2 2 5 2 3" xfId="12654" xr:uid="{AE781EEE-E839-4FED-83C8-1F7DAF71A551}"/>
    <cellStyle name="Currency 5 2 2 2 2 2 5 3" xfId="6298" xr:uid="{00000000-0005-0000-0000-00007F0B0000}"/>
    <cellStyle name="Currency 5 2 2 2 2 2 5 3 2" xfId="14727" xr:uid="{1A7684AC-308B-4B45-B3D7-C20C6ED40565}"/>
    <cellStyle name="Currency 5 2 2 2 2 2 5 4" xfId="10509" xr:uid="{F7494D65-C35F-404B-9A43-5901FFC93EC4}"/>
    <cellStyle name="Currency 5 2 2 2 2 2 6" xfId="2425" xr:uid="{00000000-0005-0000-0000-0000800B0000}"/>
    <cellStyle name="Currency 5 2 2 2 2 2 6 2" xfId="6711" xr:uid="{00000000-0005-0000-0000-0000810B0000}"/>
    <cellStyle name="Currency 5 2 2 2 2 2 6 2 2" xfId="15140" xr:uid="{8ABF4F42-CE78-4C92-8E44-A3D2C6F7C120}"/>
    <cellStyle name="Currency 5 2 2 2 2 2 6 3" xfId="10922" xr:uid="{93D8A2E0-2ADE-4574-BAF5-7746F5BE0A5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6425BC0E-11D8-45B3-9FF7-2D26AF9F9A8F}"/>
    <cellStyle name="Currency 5 2 2 2 2 2 8 3" xfId="11239" xr:uid="{E8240831-8CDE-4326-99DD-B9646F1CDE14}"/>
    <cellStyle name="Currency 5 2 2 2 2 2 9" xfId="4645" xr:uid="{00000000-0005-0000-0000-0000850B0000}"/>
    <cellStyle name="Currency 5 2 2 2 2 2 9 2" xfId="13074" xr:uid="{7940AB3C-CDD0-4F24-B28D-0CD12DB2AF02}"/>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5D261F15-4A71-4F03-B912-5A4B5E63BDA4}"/>
    <cellStyle name="Currency 5 2 2 2 2 3 2 3" xfId="11414" xr:uid="{962BFBF9-FF8C-4A37-A0C3-C8458C7B01B6}"/>
    <cellStyle name="Currency 5 2 2 2 2 3 3" xfId="5058" xr:uid="{00000000-0005-0000-0000-0000890B0000}"/>
    <cellStyle name="Currency 5 2 2 2 2 3 3 2" xfId="13487" xr:uid="{4D67A4BF-B0A1-4B42-83A4-0D646F615420}"/>
    <cellStyle name="Currency 5 2 2 2 2 3 4" xfId="9269" xr:uid="{7105E854-0B84-4AC1-8388-A5A6E380536E}"/>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A587D10F-5C0A-47A0-BAE5-BBAE1EC103CF}"/>
    <cellStyle name="Currency 5 2 2 2 2 4 2 3" xfId="11827" xr:uid="{28FE3E8B-114D-4868-B70B-BF3B93096C1B}"/>
    <cellStyle name="Currency 5 2 2 2 2 4 3" xfId="5471" xr:uid="{00000000-0005-0000-0000-00008D0B0000}"/>
    <cellStyle name="Currency 5 2 2 2 2 4 3 2" xfId="13900" xr:uid="{BDAE2ED9-9511-4E74-99E4-9211D2353155}"/>
    <cellStyle name="Currency 5 2 2 2 2 4 4" xfId="9682" xr:uid="{A27C3191-6094-4E54-AABC-97525D3E3F22}"/>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7FE566AA-68BB-4B0B-B4C4-82F0BBA99B96}"/>
    <cellStyle name="Currency 5 2 2 2 2 5 2 3" xfId="12240" xr:uid="{B8351475-A59A-47F4-A2E0-0891D56292BF}"/>
    <cellStyle name="Currency 5 2 2 2 2 5 3" xfId="5884" xr:uid="{00000000-0005-0000-0000-0000910B0000}"/>
    <cellStyle name="Currency 5 2 2 2 2 5 3 2" xfId="14313" xr:uid="{683C70D4-0F1D-4203-A845-B42B6151AE68}"/>
    <cellStyle name="Currency 5 2 2 2 2 5 4" xfId="10095" xr:uid="{67A015D2-6520-4482-B5D3-9B2C8996F8D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E76D782F-5ACC-4923-ABE5-80E26860912E}"/>
    <cellStyle name="Currency 5 2 2 2 2 6 2 3" xfId="12653" xr:uid="{3E221DCE-B949-4BB0-8116-7C57DD5D4F62}"/>
    <cellStyle name="Currency 5 2 2 2 2 6 3" xfId="6297" xr:uid="{00000000-0005-0000-0000-0000950B0000}"/>
    <cellStyle name="Currency 5 2 2 2 2 6 3 2" xfId="14726" xr:uid="{4DEBFC7C-DA29-468C-B5CC-EDBF6A2C87D1}"/>
    <cellStyle name="Currency 5 2 2 2 2 6 4" xfId="10508" xr:uid="{B2898632-992C-4266-9D59-012F4DF62694}"/>
    <cellStyle name="Currency 5 2 2 2 2 7" xfId="2424" xr:uid="{00000000-0005-0000-0000-0000960B0000}"/>
    <cellStyle name="Currency 5 2 2 2 2 7 2" xfId="6710" xr:uid="{00000000-0005-0000-0000-0000970B0000}"/>
    <cellStyle name="Currency 5 2 2 2 2 7 2 2" xfId="15139" xr:uid="{6616570C-43F8-40DD-99A3-D6CF0539402C}"/>
    <cellStyle name="Currency 5 2 2 2 2 7 3" xfId="10921" xr:uid="{7F4B044D-9732-4881-AEE6-9F4BF9FDF8EB}"/>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A8A56AC6-8E44-4A7F-A003-1F8478E7E0A1}"/>
    <cellStyle name="Currency 5 2 2 2 2 9 3" xfId="11238" xr:uid="{40664DB1-DA2A-4D0B-87B3-28CE392C86E1}"/>
    <cellStyle name="Currency 5 2 2 2 3" xfId="199" xr:uid="{00000000-0005-0000-0000-00009B0B0000}"/>
    <cellStyle name="Currency 5 2 2 2 3 10" xfId="8857" xr:uid="{D51F0CB4-E457-453E-9479-820A8D21695D}"/>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31853779-07B0-46F6-9190-D04281458D06}"/>
    <cellStyle name="Currency 5 2 2 2 3 2 2 3" xfId="11416" xr:uid="{96EA3E75-9508-402C-AA76-4AB1FAC3C15A}"/>
    <cellStyle name="Currency 5 2 2 2 3 2 3" xfId="5060" xr:uid="{00000000-0005-0000-0000-00009F0B0000}"/>
    <cellStyle name="Currency 5 2 2 2 3 2 3 2" xfId="13489" xr:uid="{94F578D6-8F18-41C8-B7EC-DB229C62D97B}"/>
    <cellStyle name="Currency 5 2 2 2 3 2 4" xfId="9271" xr:uid="{67E7C5DD-8B99-41C4-A41D-1D95BBBB931F}"/>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BBAA7D64-4BCA-4585-92C8-61FEE216F104}"/>
    <cellStyle name="Currency 5 2 2 2 3 3 2 3" xfId="11829" xr:uid="{F60975EF-8845-4829-B10F-8879BDC242CD}"/>
    <cellStyle name="Currency 5 2 2 2 3 3 3" xfId="5473" xr:uid="{00000000-0005-0000-0000-0000A30B0000}"/>
    <cellStyle name="Currency 5 2 2 2 3 3 3 2" xfId="13902" xr:uid="{F1E094FB-A52F-4DA2-BAD5-87BA3F71F561}"/>
    <cellStyle name="Currency 5 2 2 2 3 3 4" xfId="9684" xr:uid="{2F719BEE-D889-491D-B6B6-0B423EE9F561}"/>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FDBC3A3E-21FD-40B4-9947-96D73B7EC9ED}"/>
    <cellStyle name="Currency 5 2 2 2 3 4 2 3" xfId="12242" xr:uid="{029CEB52-8DA5-4920-9889-7F28F48FF40F}"/>
    <cellStyle name="Currency 5 2 2 2 3 4 3" xfId="5886" xr:uid="{00000000-0005-0000-0000-0000A70B0000}"/>
    <cellStyle name="Currency 5 2 2 2 3 4 3 2" xfId="14315" xr:uid="{7BFD53A6-2AE4-4F5B-AE75-D77C9C4D5610}"/>
    <cellStyle name="Currency 5 2 2 2 3 4 4" xfId="10097" xr:uid="{C7763A30-4BDE-493E-80B4-BFCFA40A252D}"/>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9D5CA741-F421-4026-8C27-7D0F41E56AFE}"/>
    <cellStyle name="Currency 5 2 2 2 3 5 2 3" xfId="12655" xr:uid="{9327F553-525F-479E-9D73-5A9D9D62321F}"/>
    <cellStyle name="Currency 5 2 2 2 3 5 3" xfId="6299" xr:uid="{00000000-0005-0000-0000-0000AB0B0000}"/>
    <cellStyle name="Currency 5 2 2 2 3 5 3 2" xfId="14728" xr:uid="{7E935594-C4B0-4BEA-A05C-1E9F37305741}"/>
    <cellStyle name="Currency 5 2 2 2 3 5 4" xfId="10510" xr:uid="{B41F0679-6EF8-4784-91EC-07427BA20E68}"/>
    <cellStyle name="Currency 5 2 2 2 3 6" xfId="2426" xr:uid="{00000000-0005-0000-0000-0000AC0B0000}"/>
    <cellStyle name="Currency 5 2 2 2 3 6 2" xfId="6712" xr:uid="{00000000-0005-0000-0000-0000AD0B0000}"/>
    <cellStyle name="Currency 5 2 2 2 3 6 2 2" xfId="15141" xr:uid="{9127321B-BA77-454E-B8A8-BE328971D7E4}"/>
    <cellStyle name="Currency 5 2 2 2 3 6 3" xfId="10923" xr:uid="{7D84BD80-A452-4869-B889-F2AB08D477BB}"/>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A9CC82DF-76BB-4016-A664-2F9E4172341C}"/>
    <cellStyle name="Currency 5 2 2 2 3 8 3" xfId="11240" xr:uid="{4AF40536-F9C9-47B5-AD2B-6E3B957EA17E}"/>
    <cellStyle name="Currency 5 2 2 2 3 9" xfId="4646" xr:uid="{00000000-0005-0000-0000-0000B10B0000}"/>
    <cellStyle name="Currency 5 2 2 2 3 9 2" xfId="13075" xr:uid="{975B1A00-03A5-4F9E-A442-EC73A5097A38}"/>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161A4ABE-59EE-4893-8C2A-98A9C7DB2F2B}"/>
    <cellStyle name="Currency 5 2 2 2 4 2 3" xfId="11413" xr:uid="{C9B71EE3-7B5E-4DAB-A44D-D99457111F9F}"/>
    <cellStyle name="Currency 5 2 2 2 4 3" xfId="5057" xr:uid="{00000000-0005-0000-0000-0000B50B0000}"/>
    <cellStyle name="Currency 5 2 2 2 4 3 2" xfId="13486" xr:uid="{1762BCB2-35B6-4A12-9F4A-0FD73B222DA7}"/>
    <cellStyle name="Currency 5 2 2 2 4 4" xfId="9268" xr:uid="{60730775-5F76-45FD-AC63-994B24180583}"/>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605581F7-906C-40C6-AC53-DC9548FE8ADC}"/>
    <cellStyle name="Currency 5 2 2 2 5 2 3" xfId="11826" xr:uid="{224EF85A-6B42-4B41-B444-029304693817}"/>
    <cellStyle name="Currency 5 2 2 2 5 3" xfId="5470" xr:uid="{00000000-0005-0000-0000-0000B90B0000}"/>
    <cellStyle name="Currency 5 2 2 2 5 3 2" xfId="13899" xr:uid="{85E1F8B8-65EE-4A47-9151-A8A6B67518EA}"/>
    <cellStyle name="Currency 5 2 2 2 5 4" xfId="9681" xr:uid="{2DADFECA-C7FF-48E9-A058-E227143C747F}"/>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E9AFA846-2C4D-4471-A647-0A1F27AC9193}"/>
    <cellStyle name="Currency 5 2 2 2 6 2 3" xfId="12239" xr:uid="{11D71C20-B5E3-473F-8B98-8073EE78DE61}"/>
    <cellStyle name="Currency 5 2 2 2 6 3" xfId="5883" xr:uid="{00000000-0005-0000-0000-0000BD0B0000}"/>
    <cellStyle name="Currency 5 2 2 2 6 3 2" xfId="14312" xr:uid="{B8E46770-8DAF-49A0-A541-AC52E6C2F21F}"/>
    <cellStyle name="Currency 5 2 2 2 6 4" xfId="10094" xr:uid="{1EDD3A3B-09A8-4B4C-934E-02ABB5D314AD}"/>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5B9C53C5-9F82-4942-A8EB-A7B0FF73424C}"/>
    <cellStyle name="Currency 5 2 2 2 7 2 3" xfId="12652" xr:uid="{19D3B4C5-2224-4627-BEE0-B9BABFC43FFC}"/>
    <cellStyle name="Currency 5 2 2 2 7 3" xfId="6296" xr:uid="{00000000-0005-0000-0000-0000C10B0000}"/>
    <cellStyle name="Currency 5 2 2 2 7 3 2" xfId="14725" xr:uid="{9CBE6C71-59BE-452B-83C2-040F87E6FE1C}"/>
    <cellStyle name="Currency 5 2 2 2 7 4" xfId="10507" xr:uid="{BBE64FB1-19D8-4FEA-B6D2-F92E5FDA2109}"/>
    <cellStyle name="Currency 5 2 2 2 8" xfId="2423" xr:uid="{00000000-0005-0000-0000-0000C20B0000}"/>
    <cellStyle name="Currency 5 2 2 2 8 2" xfId="6709" xr:uid="{00000000-0005-0000-0000-0000C30B0000}"/>
    <cellStyle name="Currency 5 2 2 2 8 2 2" xfId="15138" xr:uid="{C65FF906-3736-4565-B003-AC4938AED2DA}"/>
    <cellStyle name="Currency 5 2 2 2 8 3" xfId="10920" xr:uid="{7330B9CF-E0DB-4971-886D-1D5D65523008}"/>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CDB6C57E-5132-4490-9625-D8866BF0863F}"/>
    <cellStyle name="Currency 5 2 2 3 11" xfId="8858" xr:uid="{7D9C3D6F-3FE6-4E9F-9522-D2A5A05D0C07}"/>
    <cellStyle name="Currency 5 2 2 3 2" xfId="201" xr:uid="{00000000-0005-0000-0000-0000C70B0000}"/>
    <cellStyle name="Currency 5 2 2 3 2 10" xfId="8859" xr:uid="{E9900BF0-4971-4881-9A0D-7CEFACC05E2D}"/>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2FE497B0-FB8E-464B-913F-8FE26D293260}"/>
    <cellStyle name="Currency 5 2 2 3 2 2 2 3" xfId="11418" xr:uid="{9A50EF29-DDB7-4AF3-AA5D-C05131E7608D}"/>
    <cellStyle name="Currency 5 2 2 3 2 2 3" xfId="5062" xr:uid="{00000000-0005-0000-0000-0000CB0B0000}"/>
    <cellStyle name="Currency 5 2 2 3 2 2 3 2" xfId="13491" xr:uid="{07060B93-8536-4AD2-AC29-99AFC7766830}"/>
    <cellStyle name="Currency 5 2 2 3 2 2 4" xfId="9273" xr:uid="{7BD41497-0E44-4590-8D36-92B7E5761D88}"/>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759AFE01-FDDE-45B7-AC46-D2E5E7398901}"/>
    <cellStyle name="Currency 5 2 2 3 2 3 2 3" xfId="11831" xr:uid="{BDD9F2C5-B335-4C38-B41E-A1FCC90E23DE}"/>
    <cellStyle name="Currency 5 2 2 3 2 3 3" xfId="5475" xr:uid="{00000000-0005-0000-0000-0000CF0B0000}"/>
    <cellStyle name="Currency 5 2 2 3 2 3 3 2" xfId="13904" xr:uid="{3E56EC49-88C0-41ED-8876-B20DAC64CAAF}"/>
    <cellStyle name="Currency 5 2 2 3 2 3 4" xfId="9686" xr:uid="{C2E09B7D-ABAE-4661-B926-BFABEA8583C9}"/>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A82024B2-2EC5-4146-BBD6-A99E41BE10C6}"/>
    <cellStyle name="Currency 5 2 2 3 2 4 2 3" xfId="12244" xr:uid="{6F63BE52-18CD-4E0C-AE8B-8A9C75E9DB8A}"/>
    <cellStyle name="Currency 5 2 2 3 2 4 3" xfId="5888" xr:uid="{00000000-0005-0000-0000-0000D30B0000}"/>
    <cellStyle name="Currency 5 2 2 3 2 4 3 2" xfId="14317" xr:uid="{6C28933E-8B53-4BA2-AEDE-1A25C2BA1637}"/>
    <cellStyle name="Currency 5 2 2 3 2 4 4" xfId="10099" xr:uid="{B6E7C12E-5F53-4551-8B62-C61E34DDF4B5}"/>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54FE8D56-4F56-467D-A5F0-186D81C1EC5D}"/>
    <cellStyle name="Currency 5 2 2 3 2 5 2 3" xfId="12657" xr:uid="{EF165F1E-A173-48B4-9917-D9D8261481A2}"/>
    <cellStyle name="Currency 5 2 2 3 2 5 3" xfId="6301" xr:uid="{00000000-0005-0000-0000-0000D70B0000}"/>
    <cellStyle name="Currency 5 2 2 3 2 5 3 2" xfId="14730" xr:uid="{A560998A-8AAC-4F9E-8EFE-715B513D0A62}"/>
    <cellStyle name="Currency 5 2 2 3 2 5 4" xfId="10512" xr:uid="{5AD951B9-6DA7-4052-B19E-7CE1B018B4F7}"/>
    <cellStyle name="Currency 5 2 2 3 2 6" xfId="2428" xr:uid="{00000000-0005-0000-0000-0000D80B0000}"/>
    <cellStyle name="Currency 5 2 2 3 2 6 2" xfId="6714" xr:uid="{00000000-0005-0000-0000-0000D90B0000}"/>
    <cellStyle name="Currency 5 2 2 3 2 6 2 2" xfId="15143" xr:uid="{7DAFFE2A-B711-4901-BCD1-8097930C9A1A}"/>
    <cellStyle name="Currency 5 2 2 3 2 6 3" xfId="10925" xr:uid="{719498B5-5B4D-413A-810C-2976EA5EB146}"/>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B6F7B942-D3A0-4B12-80A1-F829673974B2}"/>
    <cellStyle name="Currency 5 2 2 3 2 8 3" xfId="11242" xr:uid="{4C96E276-4A69-41A6-9C97-5F13C7DBC6E1}"/>
    <cellStyle name="Currency 5 2 2 3 2 9" xfId="4648" xr:uid="{00000000-0005-0000-0000-0000DD0B0000}"/>
    <cellStyle name="Currency 5 2 2 3 2 9 2" xfId="13077" xr:uid="{BFFF16CE-645E-454A-AC9B-6A99DF72D9F2}"/>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18EC529D-805B-4E97-BBB5-FFFC38042BB8}"/>
    <cellStyle name="Currency 5 2 2 3 3 2 3" xfId="11417" xr:uid="{DD5C022E-F369-492C-B7CC-76596E96E184}"/>
    <cellStyle name="Currency 5 2 2 3 3 3" xfId="5061" xr:uid="{00000000-0005-0000-0000-0000E10B0000}"/>
    <cellStyle name="Currency 5 2 2 3 3 3 2" xfId="13490" xr:uid="{3DF7E591-ECEF-4860-A78D-10C0E5A4F2CD}"/>
    <cellStyle name="Currency 5 2 2 3 3 4" xfId="9272" xr:uid="{49AE483E-4319-4E11-92EE-17BDD39EE0D8}"/>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63691DD7-76AF-45DC-A205-470629FE8EDE}"/>
    <cellStyle name="Currency 5 2 2 3 4 2 3" xfId="11830" xr:uid="{CCCC7A4E-7050-4479-A879-1AFBC6CD8801}"/>
    <cellStyle name="Currency 5 2 2 3 4 3" xfId="5474" xr:uid="{00000000-0005-0000-0000-0000E50B0000}"/>
    <cellStyle name="Currency 5 2 2 3 4 3 2" xfId="13903" xr:uid="{8DB61365-13BA-4D66-805A-7D3A0EB40454}"/>
    <cellStyle name="Currency 5 2 2 3 4 4" xfId="9685" xr:uid="{23EAC5C4-BB1A-4ACA-BCDB-93D8C97F0B7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36F96EB5-A27D-4E20-8464-8893555D05D6}"/>
    <cellStyle name="Currency 5 2 2 3 5 2 3" xfId="12243" xr:uid="{D7D8BD7B-7701-449C-ABF3-E5D9D9953AAB}"/>
    <cellStyle name="Currency 5 2 2 3 5 3" xfId="5887" xr:uid="{00000000-0005-0000-0000-0000E90B0000}"/>
    <cellStyle name="Currency 5 2 2 3 5 3 2" xfId="14316" xr:uid="{03F23201-DEFC-4D2B-82F0-BE5EC1B17960}"/>
    <cellStyle name="Currency 5 2 2 3 5 4" xfId="10098" xr:uid="{0A784242-29A7-43C5-A783-6A0FF36317DD}"/>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49182AA7-A019-44C6-9294-DDCEC2720C5F}"/>
    <cellStyle name="Currency 5 2 2 3 6 2 3" xfId="12656" xr:uid="{B8826C62-30DE-4B9C-9946-C25479A42446}"/>
    <cellStyle name="Currency 5 2 2 3 6 3" xfId="6300" xr:uid="{00000000-0005-0000-0000-0000ED0B0000}"/>
    <cellStyle name="Currency 5 2 2 3 6 3 2" xfId="14729" xr:uid="{9988C294-8439-477A-BE0A-2C8FE37385EB}"/>
    <cellStyle name="Currency 5 2 2 3 6 4" xfId="10511" xr:uid="{2985DC50-25C0-4D9B-BC86-57B370EEDFA6}"/>
    <cellStyle name="Currency 5 2 2 3 7" xfId="2427" xr:uid="{00000000-0005-0000-0000-0000EE0B0000}"/>
    <cellStyle name="Currency 5 2 2 3 7 2" xfId="6713" xr:uid="{00000000-0005-0000-0000-0000EF0B0000}"/>
    <cellStyle name="Currency 5 2 2 3 7 2 2" xfId="15142" xr:uid="{421220A0-4989-451E-BBCA-E4D9C18FC715}"/>
    <cellStyle name="Currency 5 2 2 3 7 3" xfId="10924" xr:uid="{D7B0BD55-1CD8-479D-9BE6-60386520D6C1}"/>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774E0936-8A19-48C7-B706-2183F957711A}"/>
    <cellStyle name="Currency 5 2 2 3 9 3" xfId="11241" xr:uid="{86DA7243-F57E-42BD-A0B5-89B340B6C72F}"/>
    <cellStyle name="Currency 5 2 2 4" xfId="202" xr:uid="{00000000-0005-0000-0000-0000F30B0000}"/>
    <cellStyle name="Currency 5 2 2 4 10" xfId="8860" xr:uid="{CE0E7106-3D09-4D5A-B8C5-421A55079EFD}"/>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0BB22B73-2FBB-42D1-AF49-1308923B657F}"/>
    <cellStyle name="Currency 5 2 2 4 2 2 3" xfId="11419" xr:uid="{5E59432C-53F0-4198-BF55-601DE52F9D95}"/>
    <cellStyle name="Currency 5 2 2 4 2 3" xfId="5063" xr:uid="{00000000-0005-0000-0000-0000F70B0000}"/>
    <cellStyle name="Currency 5 2 2 4 2 3 2" xfId="13492" xr:uid="{BA7AD982-C8E1-4924-92B8-610A29D4170D}"/>
    <cellStyle name="Currency 5 2 2 4 2 4" xfId="9274" xr:uid="{83A3E70C-162C-49F9-A91E-F3AD6EA391B9}"/>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BAF81D43-C9CE-4B24-83B9-3DCC16D4AE84}"/>
    <cellStyle name="Currency 5 2 2 4 3 2 3" xfId="11832" xr:uid="{F1126563-4AEE-4F52-B480-0B64FAC7CF3D}"/>
    <cellStyle name="Currency 5 2 2 4 3 3" xfId="5476" xr:uid="{00000000-0005-0000-0000-0000FB0B0000}"/>
    <cellStyle name="Currency 5 2 2 4 3 3 2" xfId="13905" xr:uid="{3EC78F03-2E41-4FE8-886F-20014DE77BD0}"/>
    <cellStyle name="Currency 5 2 2 4 3 4" xfId="9687" xr:uid="{D8254CD4-AA11-40CD-AF73-B7A7743C41B3}"/>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A1B8F98D-1EB1-4A76-8AEA-B799189EF090}"/>
    <cellStyle name="Currency 5 2 2 4 4 2 3" xfId="12245" xr:uid="{7C0B6C3D-6531-4A0B-8EAD-2779780CBB53}"/>
    <cellStyle name="Currency 5 2 2 4 4 3" xfId="5889" xr:uid="{00000000-0005-0000-0000-0000FF0B0000}"/>
    <cellStyle name="Currency 5 2 2 4 4 3 2" xfId="14318" xr:uid="{5513FE71-6C6A-4554-930D-F215698050F8}"/>
    <cellStyle name="Currency 5 2 2 4 4 4" xfId="10100" xr:uid="{9F19DE2C-668C-4ACE-B5CB-17D3546BA677}"/>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1108A064-0B88-4A19-BD3D-7917B0D192AC}"/>
    <cellStyle name="Currency 5 2 2 4 5 2 3" xfId="12658" xr:uid="{6CEF3C9B-EA96-4958-80C7-C8081ADE3DA3}"/>
    <cellStyle name="Currency 5 2 2 4 5 3" xfId="6302" xr:uid="{00000000-0005-0000-0000-0000030C0000}"/>
    <cellStyle name="Currency 5 2 2 4 5 3 2" xfId="14731" xr:uid="{CFCE43FA-A814-4C92-87BA-C2C018764D85}"/>
    <cellStyle name="Currency 5 2 2 4 5 4" xfId="10513" xr:uid="{2F8C5556-7285-4468-95A9-04A3389C0FEF}"/>
    <cellStyle name="Currency 5 2 2 4 6" xfId="2429" xr:uid="{00000000-0005-0000-0000-0000040C0000}"/>
    <cellStyle name="Currency 5 2 2 4 6 2" xfId="6715" xr:uid="{00000000-0005-0000-0000-0000050C0000}"/>
    <cellStyle name="Currency 5 2 2 4 6 2 2" xfId="15144" xr:uid="{F02B5BC1-4C52-418B-B69F-70F2317830A5}"/>
    <cellStyle name="Currency 5 2 2 4 6 3" xfId="10926" xr:uid="{EB7769A1-C5BC-4342-B99A-1629D384BA43}"/>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1623616D-96BA-45F8-9418-2924B6927978}"/>
    <cellStyle name="Currency 5 2 2 4 8 3" xfId="11243" xr:uid="{35B68193-B8DD-4743-8E18-BBD85E5C4100}"/>
    <cellStyle name="Currency 5 2 2 4 9" xfId="4649" xr:uid="{00000000-0005-0000-0000-0000090C0000}"/>
    <cellStyle name="Currency 5 2 2 4 9 2" xfId="13078" xr:uid="{1A43F4EA-6992-4C58-8CB2-B902AEF886A2}"/>
    <cellStyle name="Currency 5 2 2 5" xfId="203" xr:uid="{00000000-0005-0000-0000-00000A0C0000}"/>
    <cellStyle name="Currency 5 2 2 5 10" xfId="8861" xr:uid="{A7972264-2882-4A1E-BEF3-F71367432DA3}"/>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63B0BA52-C787-48F7-94CB-FD1FD5456781}"/>
    <cellStyle name="Currency 5 2 2 5 2 2 3" xfId="11420" xr:uid="{D3DA1548-868E-4D3E-80FF-0D68530D52DA}"/>
    <cellStyle name="Currency 5 2 2 5 2 3" xfId="5064" xr:uid="{00000000-0005-0000-0000-00000E0C0000}"/>
    <cellStyle name="Currency 5 2 2 5 2 3 2" xfId="13493" xr:uid="{D59D5407-221F-4F4F-AD10-D88A7A31087D}"/>
    <cellStyle name="Currency 5 2 2 5 2 4" xfId="9275" xr:uid="{5DB0E934-C569-4597-96A5-D0FEA33548F2}"/>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AACB32CF-25F1-4151-940D-1B71F22C15C8}"/>
    <cellStyle name="Currency 5 2 2 5 3 2 3" xfId="11833" xr:uid="{F6F6E583-9553-453E-B044-C3FD145A5EB0}"/>
    <cellStyle name="Currency 5 2 2 5 3 3" xfId="5477" xr:uid="{00000000-0005-0000-0000-0000120C0000}"/>
    <cellStyle name="Currency 5 2 2 5 3 3 2" xfId="13906" xr:uid="{D45ED25E-EE12-4CDB-A646-1E97767D4A56}"/>
    <cellStyle name="Currency 5 2 2 5 3 4" xfId="9688" xr:uid="{4E9D8B12-D2D3-4CA0-A391-710DC604C094}"/>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03CBD1C9-F5CE-4E9D-A7B9-DA668C4F59E9}"/>
    <cellStyle name="Currency 5 2 2 5 4 2 3" xfId="12246" xr:uid="{B0B0D0B3-806B-4D9D-AE30-6E7461CE5462}"/>
    <cellStyle name="Currency 5 2 2 5 4 3" xfId="5890" xr:uid="{00000000-0005-0000-0000-0000160C0000}"/>
    <cellStyle name="Currency 5 2 2 5 4 3 2" xfId="14319" xr:uid="{4CB3BD5F-BDB9-421E-921D-D3CA0553853F}"/>
    <cellStyle name="Currency 5 2 2 5 4 4" xfId="10101" xr:uid="{323E07B5-0D97-45A4-8202-14D07730717C}"/>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B9C7CDAE-D290-4CEF-9EAD-17553B74DB24}"/>
    <cellStyle name="Currency 5 2 2 5 5 2 3" xfId="12659" xr:uid="{944B7711-1E09-48D7-9415-B8FE09803951}"/>
    <cellStyle name="Currency 5 2 2 5 5 3" xfId="6303" xr:uid="{00000000-0005-0000-0000-00001A0C0000}"/>
    <cellStyle name="Currency 5 2 2 5 5 3 2" xfId="14732" xr:uid="{0A4ED012-70D9-45E3-8FDF-D544172CADC8}"/>
    <cellStyle name="Currency 5 2 2 5 5 4" xfId="10514" xr:uid="{B017387B-1B82-4E87-9201-705C357D6A50}"/>
    <cellStyle name="Currency 5 2 2 5 6" xfId="2430" xr:uid="{00000000-0005-0000-0000-00001B0C0000}"/>
    <cellStyle name="Currency 5 2 2 5 6 2" xfId="6716" xr:uid="{00000000-0005-0000-0000-00001C0C0000}"/>
    <cellStyle name="Currency 5 2 2 5 6 2 2" xfId="15145" xr:uid="{30F20A15-EA13-4276-87CC-6E6979367E87}"/>
    <cellStyle name="Currency 5 2 2 5 6 3" xfId="10927" xr:uid="{A516C6E6-1871-4ED1-A32C-DF07C694E65D}"/>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23A4D449-0D38-4E13-9E31-C1DE8DC27975}"/>
    <cellStyle name="Currency 5 2 2 5 8 3" xfId="11244" xr:uid="{2E00738F-438F-4BD5-A664-A3D7FF2187D1}"/>
    <cellStyle name="Currency 5 2 2 5 9" xfId="4650" xr:uid="{00000000-0005-0000-0000-0000200C0000}"/>
    <cellStyle name="Currency 5 2 2 5 9 2" xfId="13079" xr:uid="{1F9598E9-54C8-4EC8-ADD3-0FBDBE4BEB5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10DE9432-C35B-40BF-B125-53F48D1D66E1}"/>
    <cellStyle name="Currency 5 2 4 11" xfId="8862" xr:uid="{28FEA4F6-B88A-47E6-8658-1A4A04433231}"/>
    <cellStyle name="Currency 5 2 4 2" xfId="206" xr:uid="{00000000-0005-0000-0000-0000250C0000}"/>
    <cellStyle name="Currency 5 2 4 2 10" xfId="8863" xr:uid="{2BE90EA9-C58C-42FD-BE8B-1DC22CE8F19E}"/>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81ADF16E-A6F4-41DB-8EE2-061DE92D028A}"/>
    <cellStyle name="Currency 5 2 4 2 2 2 3" xfId="11422" xr:uid="{EDC1B02E-A97C-4268-84FF-E0BC477BADF5}"/>
    <cellStyle name="Currency 5 2 4 2 2 3" xfId="5066" xr:uid="{00000000-0005-0000-0000-0000290C0000}"/>
    <cellStyle name="Currency 5 2 4 2 2 3 2" xfId="13495" xr:uid="{53458610-5A6D-4A4D-A439-F2537085C573}"/>
    <cellStyle name="Currency 5 2 4 2 2 4" xfId="9277" xr:uid="{BE82F164-2B15-4611-B7DB-8716F5CC2405}"/>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BA57C276-9FA9-49D0-B25E-61E21DCAA002}"/>
    <cellStyle name="Currency 5 2 4 2 3 2 3" xfId="11835" xr:uid="{3B1458C5-2231-4048-9B18-D36DB942DF39}"/>
    <cellStyle name="Currency 5 2 4 2 3 3" xfId="5479" xr:uid="{00000000-0005-0000-0000-00002D0C0000}"/>
    <cellStyle name="Currency 5 2 4 2 3 3 2" xfId="13908" xr:uid="{F7FD32EB-6C07-41FA-A9E2-3ECE8B5C2A38}"/>
    <cellStyle name="Currency 5 2 4 2 3 4" xfId="9690" xr:uid="{EF9E5768-E362-4859-A7E6-B73C5BBD3238}"/>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FB4D222C-D21D-424C-9D32-A7FF2EF6AE2C}"/>
    <cellStyle name="Currency 5 2 4 2 4 2 3" xfId="12248" xr:uid="{90479D65-2793-42CE-8C7C-E9BF447ECFCA}"/>
    <cellStyle name="Currency 5 2 4 2 4 3" xfId="5892" xr:uid="{00000000-0005-0000-0000-0000310C0000}"/>
    <cellStyle name="Currency 5 2 4 2 4 3 2" xfId="14321" xr:uid="{325EB47F-B34F-4756-A1F0-38CDA3460988}"/>
    <cellStyle name="Currency 5 2 4 2 4 4" xfId="10103" xr:uid="{ABA6192F-0486-4C6D-B57D-69B83A70E317}"/>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DA27A4EC-B18E-47D5-8BD0-BCEE149F0CFC}"/>
    <cellStyle name="Currency 5 2 4 2 5 2 3" xfId="12661" xr:uid="{0E8F0BA8-8DBB-4B89-9A25-A54E0C06B954}"/>
    <cellStyle name="Currency 5 2 4 2 5 3" xfId="6305" xr:uid="{00000000-0005-0000-0000-0000350C0000}"/>
    <cellStyle name="Currency 5 2 4 2 5 3 2" xfId="14734" xr:uid="{4E4B6F7B-298A-429A-89E1-B026F2D67509}"/>
    <cellStyle name="Currency 5 2 4 2 5 4" xfId="10516" xr:uid="{1E769300-D816-411E-9C8C-921085B02A16}"/>
    <cellStyle name="Currency 5 2 4 2 6" xfId="2432" xr:uid="{00000000-0005-0000-0000-0000360C0000}"/>
    <cellStyle name="Currency 5 2 4 2 6 2" xfId="6718" xr:uid="{00000000-0005-0000-0000-0000370C0000}"/>
    <cellStyle name="Currency 5 2 4 2 6 2 2" xfId="15147" xr:uid="{429ED7AA-3145-4743-B5CA-B785EB8D7499}"/>
    <cellStyle name="Currency 5 2 4 2 6 3" xfId="10929" xr:uid="{660B1070-74D6-4D6C-A356-B3AB9ED9BE46}"/>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EA7FCAA5-245E-4927-AC4E-F9EFC98224DE}"/>
    <cellStyle name="Currency 5 2 4 2 8 3" xfId="11246" xr:uid="{79E2C736-FC8D-4D01-8046-D00959DA4192}"/>
    <cellStyle name="Currency 5 2 4 2 9" xfId="4652" xr:uid="{00000000-0005-0000-0000-00003B0C0000}"/>
    <cellStyle name="Currency 5 2 4 2 9 2" xfId="13081" xr:uid="{B820798B-EFB5-4D27-B1F3-F23E99064668}"/>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8165CF15-4BA9-46C6-86B9-542B5E2B9FE6}"/>
    <cellStyle name="Currency 5 2 4 3 2 3" xfId="11421" xr:uid="{D68F0A97-8E2F-48EC-A49D-7C0102F191C6}"/>
    <cellStyle name="Currency 5 2 4 3 3" xfId="5065" xr:uid="{00000000-0005-0000-0000-00003F0C0000}"/>
    <cellStyle name="Currency 5 2 4 3 3 2" xfId="13494" xr:uid="{0CA3FF28-2D2D-4B91-87BA-2B184004490B}"/>
    <cellStyle name="Currency 5 2 4 3 4" xfId="9276" xr:uid="{5F10EB8D-DBC7-497F-AAC8-1FB6A534572F}"/>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546D1CE0-A092-46CA-B083-4FD04811378F}"/>
    <cellStyle name="Currency 5 2 4 4 2 3" xfId="11834" xr:uid="{32351EEE-8E2A-4FB1-9F80-DAE037D24804}"/>
    <cellStyle name="Currency 5 2 4 4 3" xfId="5478" xr:uid="{00000000-0005-0000-0000-0000430C0000}"/>
    <cellStyle name="Currency 5 2 4 4 3 2" xfId="13907" xr:uid="{E2FCD5EA-CDE4-426A-9F1C-8AF48F910B08}"/>
    <cellStyle name="Currency 5 2 4 4 4" xfId="9689" xr:uid="{BD69B775-5E8E-45C0-B5E5-BC520D77EF3F}"/>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BD15AD0E-0A00-426A-BB2E-8D9AAD52DFA4}"/>
    <cellStyle name="Currency 5 2 4 5 2 3" xfId="12247" xr:uid="{32B4FC54-9232-4011-9EC1-D9431F7F9A65}"/>
    <cellStyle name="Currency 5 2 4 5 3" xfId="5891" xr:uid="{00000000-0005-0000-0000-0000470C0000}"/>
    <cellStyle name="Currency 5 2 4 5 3 2" xfId="14320" xr:uid="{AB2ACBD7-FB77-452A-A805-2A8029890C20}"/>
    <cellStyle name="Currency 5 2 4 5 4" xfId="10102" xr:uid="{6A73EFCE-91FE-4761-AA48-73631A436B63}"/>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BF7090D9-8514-4C25-B258-D871C4341878}"/>
    <cellStyle name="Currency 5 2 4 6 2 3" xfId="12660" xr:uid="{14411E2E-5C77-4CDB-B164-F895E60D1FA5}"/>
    <cellStyle name="Currency 5 2 4 6 3" xfId="6304" xr:uid="{00000000-0005-0000-0000-00004B0C0000}"/>
    <cellStyle name="Currency 5 2 4 6 3 2" xfId="14733" xr:uid="{D07D770C-C3EB-41FE-A99B-CB211550D232}"/>
    <cellStyle name="Currency 5 2 4 6 4" xfId="10515" xr:uid="{17734E2D-4671-4A3C-8E05-9C087B802E59}"/>
    <cellStyle name="Currency 5 2 4 7" xfId="2431" xr:uid="{00000000-0005-0000-0000-00004C0C0000}"/>
    <cellStyle name="Currency 5 2 4 7 2" xfId="6717" xr:uid="{00000000-0005-0000-0000-00004D0C0000}"/>
    <cellStyle name="Currency 5 2 4 7 2 2" xfId="15146" xr:uid="{57053FD7-0A5B-4DA5-977D-8B91400CBE5E}"/>
    <cellStyle name="Currency 5 2 4 7 3" xfId="10928" xr:uid="{2A9B011D-6D3F-4117-92C0-4D0B33CBB215}"/>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707CA7F1-1E95-4CB2-9339-6264FEF00DBD}"/>
    <cellStyle name="Currency 5 2 4 9 3" xfId="11245" xr:uid="{1E6D9CD5-4F46-4577-AE76-C3160697F4F5}"/>
    <cellStyle name="Currency 5 2 5" xfId="207" xr:uid="{00000000-0005-0000-0000-0000510C0000}"/>
    <cellStyle name="Currency 5 2 5 10" xfId="8864" xr:uid="{482893A8-CFC5-4070-B1C8-102E619AF8E3}"/>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CE8A4E57-4BC5-4744-9F81-2BAEE22C2FC3}"/>
    <cellStyle name="Currency 5 2 5 2 2 3" xfId="11423" xr:uid="{DDE2F1F8-EEF8-40F1-A490-F73835F2B3BD}"/>
    <cellStyle name="Currency 5 2 5 2 3" xfId="5067" xr:uid="{00000000-0005-0000-0000-0000550C0000}"/>
    <cellStyle name="Currency 5 2 5 2 3 2" xfId="13496" xr:uid="{88019A5A-DB79-4EFC-89FD-B2375AF96BFC}"/>
    <cellStyle name="Currency 5 2 5 2 4" xfId="9278" xr:uid="{A00B50ED-5409-4566-9A6C-B826720C65AE}"/>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1DA2CD22-AA4B-4B74-9181-9C156C954C28}"/>
    <cellStyle name="Currency 5 2 5 3 2 3" xfId="11836" xr:uid="{F7A57DCF-C8ED-4D24-B0C2-A12A23973F26}"/>
    <cellStyle name="Currency 5 2 5 3 3" xfId="5480" xr:uid="{00000000-0005-0000-0000-0000590C0000}"/>
    <cellStyle name="Currency 5 2 5 3 3 2" xfId="13909" xr:uid="{E198E7D7-AB1C-45B1-A9AA-B5B4A8789069}"/>
    <cellStyle name="Currency 5 2 5 3 4" xfId="9691" xr:uid="{8DAD1209-4B5C-4643-B5FD-6790789AC999}"/>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4C2F1EB4-9937-4359-88F5-CADBEA44BC11}"/>
    <cellStyle name="Currency 5 2 5 4 2 3" xfId="12249" xr:uid="{7880919D-AFBD-4D70-B939-8D73453ED11A}"/>
    <cellStyle name="Currency 5 2 5 4 3" xfId="5893" xr:uid="{00000000-0005-0000-0000-00005D0C0000}"/>
    <cellStyle name="Currency 5 2 5 4 3 2" xfId="14322" xr:uid="{3CA69F9E-4FA2-4E34-9C0F-0BA543299087}"/>
    <cellStyle name="Currency 5 2 5 4 4" xfId="10104" xr:uid="{38CD2DC2-9392-4656-B0CC-BF6539053028}"/>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22BB0352-129D-441F-A38D-FD7D708BA6BF}"/>
    <cellStyle name="Currency 5 2 5 5 2 3" xfId="12662" xr:uid="{07D51658-C72A-47AF-A93F-EE7E166123C7}"/>
    <cellStyle name="Currency 5 2 5 5 3" xfId="6306" xr:uid="{00000000-0005-0000-0000-0000610C0000}"/>
    <cellStyle name="Currency 5 2 5 5 3 2" xfId="14735" xr:uid="{62931986-F9B9-4AA3-B22E-FA5E5AFB6372}"/>
    <cellStyle name="Currency 5 2 5 5 4" xfId="10517" xr:uid="{28CC38CA-833E-4CDE-9D1D-FF8F9405D32E}"/>
    <cellStyle name="Currency 5 2 5 6" xfId="2433" xr:uid="{00000000-0005-0000-0000-0000620C0000}"/>
    <cellStyle name="Currency 5 2 5 6 2" xfId="6719" xr:uid="{00000000-0005-0000-0000-0000630C0000}"/>
    <cellStyle name="Currency 5 2 5 6 2 2" xfId="15148" xr:uid="{783C5AE7-4FF2-42D1-8FBB-D8799AF7654A}"/>
    <cellStyle name="Currency 5 2 5 6 3" xfId="10930" xr:uid="{908DF770-4F64-4653-B9C0-E4333420DA0E}"/>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04E8A471-3D3E-4751-B43F-89B14AB57FD7}"/>
    <cellStyle name="Currency 5 2 5 8 3" xfId="11247" xr:uid="{D330655A-ABE2-4F9C-BCE5-DBF3AFBB576E}"/>
    <cellStyle name="Currency 5 2 5 9" xfId="4653" xr:uid="{00000000-0005-0000-0000-0000670C0000}"/>
    <cellStyle name="Currency 5 2 5 9 2" xfId="13082" xr:uid="{F8736410-14FA-48BB-A1CE-5A0386222E9F}"/>
    <cellStyle name="Currency 5 2 6" xfId="208" xr:uid="{00000000-0005-0000-0000-0000680C0000}"/>
    <cellStyle name="Currency 5 2 6 10" xfId="8865" xr:uid="{C3C47C6B-411D-4ECD-B1F6-32792F5DA736}"/>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04020DC1-3DCE-49FA-87E7-921A6A77968F}"/>
    <cellStyle name="Currency 5 2 6 2 2 3" xfId="11424" xr:uid="{459D4C92-EC22-4BF4-AFBD-9DFDC6C0686B}"/>
    <cellStyle name="Currency 5 2 6 2 3" xfId="5068" xr:uid="{00000000-0005-0000-0000-00006C0C0000}"/>
    <cellStyle name="Currency 5 2 6 2 3 2" xfId="13497" xr:uid="{CBA66A07-7D6A-46BF-B115-57EBB3CC9093}"/>
    <cellStyle name="Currency 5 2 6 2 4" xfId="9279" xr:uid="{8226832A-F383-40D4-BE02-4C1D5D8AA5CA}"/>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1C27950B-D97C-4B1D-9938-0F74853F74B9}"/>
    <cellStyle name="Currency 5 2 6 3 2 3" xfId="11837" xr:uid="{14399A81-E642-4FC2-82B5-69F95A6357DD}"/>
    <cellStyle name="Currency 5 2 6 3 3" xfId="5481" xr:uid="{00000000-0005-0000-0000-0000700C0000}"/>
    <cellStyle name="Currency 5 2 6 3 3 2" xfId="13910" xr:uid="{85EBDA6B-DBE5-4E79-8482-BA9B3B02F771}"/>
    <cellStyle name="Currency 5 2 6 3 4" xfId="9692" xr:uid="{4803EE8A-C509-4AB7-9599-09B4DEDA81C2}"/>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D9F08BCB-A4B4-4302-921F-71E70862E38F}"/>
    <cellStyle name="Currency 5 2 6 4 2 3" xfId="12250" xr:uid="{683F4031-545A-4F88-AD7C-8644D5F0CB71}"/>
    <cellStyle name="Currency 5 2 6 4 3" xfId="5894" xr:uid="{00000000-0005-0000-0000-0000740C0000}"/>
    <cellStyle name="Currency 5 2 6 4 3 2" xfId="14323" xr:uid="{D67CC114-AFCF-4620-B31D-BD8BA4B7FFFC}"/>
    <cellStyle name="Currency 5 2 6 4 4" xfId="10105" xr:uid="{C07B7954-8653-4B59-AAF3-D92975A845B0}"/>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99DCA2A7-31DF-41F6-AAB5-702017E45622}"/>
    <cellStyle name="Currency 5 2 6 5 2 3" xfId="12663" xr:uid="{E338FE6C-DB5A-4FF8-A964-BF48B066E30D}"/>
    <cellStyle name="Currency 5 2 6 5 3" xfId="6307" xr:uid="{00000000-0005-0000-0000-0000780C0000}"/>
    <cellStyle name="Currency 5 2 6 5 3 2" xfId="14736" xr:uid="{3A855512-6C18-4E35-BAA6-67E0B81D8B66}"/>
    <cellStyle name="Currency 5 2 6 5 4" xfId="10518" xr:uid="{CE4461B5-A4E1-43A2-ADB4-0665899B4675}"/>
    <cellStyle name="Currency 5 2 6 6" xfId="2434" xr:uid="{00000000-0005-0000-0000-0000790C0000}"/>
    <cellStyle name="Currency 5 2 6 6 2" xfId="6720" xr:uid="{00000000-0005-0000-0000-00007A0C0000}"/>
    <cellStyle name="Currency 5 2 6 6 2 2" xfId="15149" xr:uid="{C3EBE9A1-8B04-4D5F-8A05-2ADBF45E6DE3}"/>
    <cellStyle name="Currency 5 2 6 6 3" xfId="10931" xr:uid="{C3993C7D-A268-4CA2-B5E5-ED4698BFB269}"/>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ABCB9FC2-156A-44DE-9C60-202B320C6F8D}"/>
    <cellStyle name="Currency 5 2 6 8 3" xfId="11248" xr:uid="{23160A84-D8FB-441C-A17C-4C9463550D45}"/>
    <cellStyle name="Currency 5 2 6 9" xfId="4654" xr:uid="{00000000-0005-0000-0000-00007E0C0000}"/>
    <cellStyle name="Currency 5 2 6 9 2" xfId="13083" xr:uid="{CC02A3A9-9C37-4BA8-8971-46003C1AA0F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5DF6243B-70C8-4461-B8FE-3801C8DF8CF6}"/>
    <cellStyle name="Currency 5 3 2 10 3" xfId="11249" xr:uid="{5A48C8B8-6643-47AF-A112-D3AF6FBCD178}"/>
    <cellStyle name="Currency 5 3 2 11" xfId="4655" xr:uid="{00000000-0005-0000-0000-0000840C0000}"/>
    <cellStyle name="Currency 5 3 2 11 2" xfId="13084" xr:uid="{1C75E903-A086-4B9D-9618-23B520B9A674}"/>
    <cellStyle name="Currency 5 3 2 12" xfId="8866" xr:uid="{258E40BD-813A-4CBC-8312-B18FFD1C83C8}"/>
    <cellStyle name="Currency 5 3 2 2" xfId="211" xr:uid="{00000000-0005-0000-0000-0000850C0000}"/>
    <cellStyle name="Currency 5 3 2 2 10" xfId="4656" xr:uid="{00000000-0005-0000-0000-0000860C0000}"/>
    <cellStyle name="Currency 5 3 2 2 10 2" xfId="13085" xr:uid="{CFB43396-0B60-40B8-9E09-802344D0B259}"/>
    <cellStyle name="Currency 5 3 2 2 11" xfId="8867" xr:uid="{F31D5EBC-67D4-4FF6-AD86-4057F2F2AC6A}"/>
    <cellStyle name="Currency 5 3 2 2 2" xfId="212" xr:uid="{00000000-0005-0000-0000-0000870C0000}"/>
    <cellStyle name="Currency 5 3 2 2 2 10" xfId="8868" xr:uid="{B7DBB9DA-22BF-44B1-9698-052ADE9AFD3C}"/>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ED0CE286-52A0-4A24-99AD-0BCDAD7CCE06}"/>
    <cellStyle name="Currency 5 3 2 2 2 2 2 3" xfId="11427" xr:uid="{4D7C8AAA-5473-4385-A45C-BDBEF595C662}"/>
    <cellStyle name="Currency 5 3 2 2 2 2 3" xfId="5071" xr:uid="{00000000-0005-0000-0000-00008B0C0000}"/>
    <cellStyle name="Currency 5 3 2 2 2 2 3 2" xfId="13500" xr:uid="{068CD1E1-B48F-4EF9-91AA-A7F5910FF7D7}"/>
    <cellStyle name="Currency 5 3 2 2 2 2 4" xfId="9282" xr:uid="{7DEE699A-7B08-4F19-8339-774393E7043F}"/>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FBE03130-3AAC-42D4-A8AD-95877F9826F5}"/>
    <cellStyle name="Currency 5 3 2 2 2 3 2 3" xfId="11840" xr:uid="{7CCA685F-26DE-4F1A-AF63-19349E9EFFF5}"/>
    <cellStyle name="Currency 5 3 2 2 2 3 3" xfId="5484" xr:uid="{00000000-0005-0000-0000-00008F0C0000}"/>
    <cellStyle name="Currency 5 3 2 2 2 3 3 2" xfId="13913" xr:uid="{A02BA63A-49D8-4C85-A13A-0EB614EDF565}"/>
    <cellStyle name="Currency 5 3 2 2 2 3 4" xfId="9695" xr:uid="{A0D4607A-79C4-4C8A-B479-125DE7AD0EC7}"/>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0A47A563-8FA9-41A3-BFFA-0DF63D4F5A3E}"/>
    <cellStyle name="Currency 5 3 2 2 2 4 2 3" xfId="12253" xr:uid="{B9CE9CBF-6A15-4E76-ACA3-688BFB73C57F}"/>
    <cellStyle name="Currency 5 3 2 2 2 4 3" xfId="5897" xr:uid="{00000000-0005-0000-0000-0000930C0000}"/>
    <cellStyle name="Currency 5 3 2 2 2 4 3 2" xfId="14326" xr:uid="{5FE55E77-85A4-410E-94E0-3A963DFBF0E3}"/>
    <cellStyle name="Currency 5 3 2 2 2 4 4" xfId="10108" xr:uid="{5B3A9052-8DAA-46B0-98EF-A25FB1E08AE7}"/>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5B5EAD92-D3C4-4C66-9A0B-23C22944B7D8}"/>
    <cellStyle name="Currency 5 3 2 2 2 5 2 3" xfId="12666" xr:uid="{B04D974C-DBAA-4CC9-876E-813E001AFAE3}"/>
    <cellStyle name="Currency 5 3 2 2 2 5 3" xfId="6310" xr:uid="{00000000-0005-0000-0000-0000970C0000}"/>
    <cellStyle name="Currency 5 3 2 2 2 5 3 2" xfId="14739" xr:uid="{35C03D2C-0F51-4012-9A5D-4AA487A3ED69}"/>
    <cellStyle name="Currency 5 3 2 2 2 5 4" xfId="10521" xr:uid="{79078234-F373-408B-AECC-96B3DD9DEE56}"/>
    <cellStyle name="Currency 5 3 2 2 2 6" xfId="2437" xr:uid="{00000000-0005-0000-0000-0000980C0000}"/>
    <cellStyle name="Currency 5 3 2 2 2 6 2" xfId="6723" xr:uid="{00000000-0005-0000-0000-0000990C0000}"/>
    <cellStyle name="Currency 5 3 2 2 2 6 2 2" xfId="15152" xr:uid="{995FCCF9-3D75-4935-8ACD-62325923E2CC}"/>
    <cellStyle name="Currency 5 3 2 2 2 6 3" xfId="10934" xr:uid="{22CB6A5E-25E5-4AAB-AB29-D29CC91CA9EF}"/>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8AD16912-9BB9-4D06-B74C-F546080F1383}"/>
    <cellStyle name="Currency 5 3 2 2 2 8 3" xfId="11251" xr:uid="{ACC1AC52-7991-43EC-815E-239088004D15}"/>
    <cellStyle name="Currency 5 3 2 2 2 9" xfId="4657" xr:uid="{00000000-0005-0000-0000-00009D0C0000}"/>
    <cellStyle name="Currency 5 3 2 2 2 9 2" xfId="13086" xr:uid="{1882D6AD-D389-4C2B-BF63-85FBBC3442A5}"/>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B2D9ADB2-3361-4BE9-97E8-246166712047}"/>
    <cellStyle name="Currency 5 3 2 2 3 2 3" xfId="11426" xr:uid="{5AB09CF5-1DBD-4B61-B617-4496C7CD9ABF}"/>
    <cellStyle name="Currency 5 3 2 2 3 3" xfId="5070" xr:uid="{00000000-0005-0000-0000-0000A10C0000}"/>
    <cellStyle name="Currency 5 3 2 2 3 3 2" xfId="13499" xr:uid="{4644F798-3B6A-4C76-9953-75836777A3D4}"/>
    <cellStyle name="Currency 5 3 2 2 3 4" xfId="9281" xr:uid="{A13A201A-51F8-4566-8DA0-8F4EC3B2C7C1}"/>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0907232D-D01D-4826-9C2D-AB1A4FBCA4AB}"/>
    <cellStyle name="Currency 5 3 2 2 4 2 3" xfId="11839" xr:uid="{9395C892-0C76-4023-AC80-3348022DA5C2}"/>
    <cellStyle name="Currency 5 3 2 2 4 3" xfId="5483" xr:uid="{00000000-0005-0000-0000-0000A50C0000}"/>
    <cellStyle name="Currency 5 3 2 2 4 3 2" xfId="13912" xr:uid="{0E4EA5B4-F90E-4640-A2D1-92BB8A0733FD}"/>
    <cellStyle name="Currency 5 3 2 2 4 4" xfId="9694" xr:uid="{A7BEE634-1B36-43A0-A94B-88D0CFBF716B}"/>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69BD312B-991F-4FEA-AE47-C1AD9397D167}"/>
    <cellStyle name="Currency 5 3 2 2 5 2 3" xfId="12252" xr:uid="{1E6078CE-09B3-48AC-BCB3-BC2DA7E48CA8}"/>
    <cellStyle name="Currency 5 3 2 2 5 3" xfId="5896" xr:uid="{00000000-0005-0000-0000-0000A90C0000}"/>
    <cellStyle name="Currency 5 3 2 2 5 3 2" xfId="14325" xr:uid="{F064667A-EA96-4596-A3EF-A2B06B692AD5}"/>
    <cellStyle name="Currency 5 3 2 2 5 4" xfId="10107" xr:uid="{1DE957C9-819A-458E-8F38-0E747C3F2DA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622F3D15-BED3-4DCC-A5D9-A6108B39B0AF}"/>
    <cellStyle name="Currency 5 3 2 2 6 2 3" xfId="12665" xr:uid="{B1518122-03B5-4236-956A-A0E3569F6E98}"/>
    <cellStyle name="Currency 5 3 2 2 6 3" xfId="6309" xr:uid="{00000000-0005-0000-0000-0000AD0C0000}"/>
    <cellStyle name="Currency 5 3 2 2 6 3 2" xfId="14738" xr:uid="{2C1DFB95-362F-466E-A61A-7468660D9E1F}"/>
    <cellStyle name="Currency 5 3 2 2 6 4" xfId="10520" xr:uid="{AB51AB5F-42CC-4055-8F79-BA6F99419A1A}"/>
    <cellStyle name="Currency 5 3 2 2 7" xfId="2436" xr:uid="{00000000-0005-0000-0000-0000AE0C0000}"/>
    <cellStyle name="Currency 5 3 2 2 7 2" xfId="6722" xr:uid="{00000000-0005-0000-0000-0000AF0C0000}"/>
    <cellStyle name="Currency 5 3 2 2 7 2 2" xfId="15151" xr:uid="{90E11404-C7BD-4BB0-91B9-C60FD25DBB64}"/>
    <cellStyle name="Currency 5 3 2 2 7 3" xfId="10933" xr:uid="{479687F1-8D42-4D2F-9742-1EDA185FBC02}"/>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4D2C54B7-532E-40D9-B4AE-A619F0C1D41F}"/>
    <cellStyle name="Currency 5 3 2 2 9 3" xfId="11250" xr:uid="{0EBAAE4C-EB7E-4BDA-8F84-48E86BC46CB1}"/>
    <cellStyle name="Currency 5 3 2 3" xfId="213" xr:uid="{00000000-0005-0000-0000-0000B30C0000}"/>
    <cellStyle name="Currency 5 3 2 3 10" xfId="8869" xr:uid="{5B49E68C-9EBF-4262-BB5E-9977AB32DE04}"/>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FBC0C27D-C668-4623-A5AE-328C6861BDB3}"/>
    <cellStyle name="Currency 5 3 2 3 2 2 3" xfId="11428" xr:uid="{BB96C690-2F09-4B69-952E-24F21C31865B}"/>
    <cellStyle name="Currency 5 3 2 3 2 3" xfId="5072" xr:uid="{00000000-0005-0000-0000-0000B70C0000}"/>
    <cellStyle name="Currency 5 3 2 3 2 3 2" xfId="13501" xr:uid="{B610CDC1-5D65-4D46-84C2-8784402408CA}"/>
    <cellStyle name="Currency 5 3 2 3 2 4" xfId="9283" xr:uid="{373F9514-FB2A-437E-B7F7-B04834C32327}"/>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878F39F5-2A81-48C3-AFB8-52496D555294}"/>
    <cellStyle name="Currency 5 3 2 3 3 2 3" xfId="11841" xr:uid="{BB4318DF-8120-4D13-BF51-2E07E3B62431}"/>
    <cellStyle name="Currency 5 3 2 3 3 3" xfId="5485" xr:uid="{00000000-0005-0000-0000-0000BB0C0000}"/>
    <cellStyle name="Currency 5 3 2 3 3 3 2" xfId="13914" xr:uid="{86F26040-50D4-4548-97FB-62FB51B63B67}"/>
    <cellStyle name="Currency 5 3 2 3 3 4" xfId="9696" xr:uid="{114879FB-1262-40C6-844E-FB37A4DD4222}"/>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5CE95B91-3647-4450-8ACF-3BC4585E5BFD}"/>
    <cellStyle name="Currency 5 3 2 3 4 2 3" xfId="12254" xr:uid="{05EDDC7E-29BD-4BDE-A1CF-F5460F454963}"/>
    <cellStyle name="Currency 5 3 2 3 4 3" xfId="5898" xr:uid="{00000000-0005-0000-0000-0000BF0C0000}"/>
    <cellStyle name="Currency 5 3 2 3 4 3 2" xfId="14327" xr:uid="{9F865AD1-0FCC-4A58-AD55-2DE0862C37CF}"/>
    <cellStyle name="Currency 5 3 2 3 4 4" xfId="10109" xr:uid="{3983800D-89A7-4E8F-BC7F-384506E1F804}"/>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D0A20E6C-AEAD-4D78-8382-7F2D88385519}"/>
    <cellStyle name="Currency 5 3 2 3 5 2 3" xfId="12667" xr:uid="{24470E90-349F-4130-803C-E3AC13479590}"/>
    <cellStyle name="Currency 5 3 2 3 5 3" xfId="6311" xr:uid="{00000000-0005-0000-0000-0000C30C0000}"/>
    <cellStyle name="Currency 5 3 2 3 5 3 2" xfId="14740" xr:uid="{DF42EE51-9D1A-4B08-81D7-3D7442699B2B}"/>
    <cellStyle name="Currency 5 3 2 3 5 4" xfId="10522" xr:uid="{42CAB30C-24C3-4AB6-8409-FC149592AA2F}"/>
    <cellStyle name="Currency 5 3 2 3 6" xfId="2438" xr:uid="{00000000-0005-0000-0000-0000C40C0000}"/>
    <cellStyle name="Currency 5 3 2 3 6 2" xfId="6724" xr:uid="{00000000-0005-0000-0000-0000C50C0000}"/>
    <cellStyle name="Currency 5 3 2 3 6 2 2" xfId="15153" xr:uid="{4AFDE032-E10D-4592-9913-2FCE78A9D8B4}"/>
    <cellStyle name="Currency 5 3 2 3 6 3" xfId="10935" xr:uid="{E1822A61-A589-41C2-9135-5E8F957585A7}"/>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BF166A3D-8CEE-465A-B95D-A770C7800805}"/>
    <cellStyle name="Currency 5 3 2 3 8 3" xfId="11252" xr:uid="{F2F24BB2-EE3E-4EE9-B28C-F7DA6E520178}"/>
    <cellStyle name="Currency 5 3 2 3 9" xfId="4658" xr:uid="{00000000-0005-0000-0000-0000C90C0000}"/>
    <cellStyle name="Currency 5 3 2 3 9 2" xfId="13087" xr:uid="{833B8788-54F5-4191-A140-65AE2B2A1F70}"/>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8EF0F39A-BFD1-4866-A4AF-5AA9277EEAEB}"/>
    <cellStyle name="Currency 5 3 2 4 2 3" xfId="11425" xr:uid="{DD869F27-9EBD-4289-AAEB-A77DACD7886A}"/>
    <cellStyle name="Currency 5 3 2 4 3" xfId="5069" xr:uid="{00000000-0005-0000-0000-0000CD0C0000}"/>
    <cellStyle name="Currency 5 3 2 4 3 2" xfId="13498" xr:uid="{466F3C02-81F9-4AB6-8D32-8F3B1AABD26A}"/>
    <cellStyle name="Currency 5 3 2 4 4" xfId="9280" xr:uid="{809E5000-781E-4CA9-8765-95776DFE392A}"/>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EC8CB315-C245-4F3A-AB7C-58A1F3727C37}"/>
    <cellStyle name="Currency 5 3 2 5 2 3" xfId="11838" xr:uid="{1B929477-AB85-4617-A60F-5C31F95F9F5A}"/>
    <cellStyle name="Currency 5 3 2 5 3" xfId="5482" xr:uid="{00000000-0005-0000-0000-0000D10C0000}"/>
    <cellStyle name="Currency 5 3 2 5 3 2" xfId="13911" xr:uid="{20566EFD-DABE-4FBA-B068-FD26D191F98D}"/>
    <cellStyle name="Currency 5 3 2 5 4" xfId="9693" xr:uid="{513F8ACB-3567-4948-80E4-2DEBF8638A1B}"/>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B05B3328-69C6-44F6-A4CA-83D39CA85438}"/>
    <cellStyle name="Currency 5 3 2 6 2 3" xfId="12251" xr:uid="{0F5D6F6E-E693-4621-9940-76E9CE5CB5F8}"/>
    <cellStyle name="Currency 5 3 2 6 3" xfId="5895" xr:uid="{00000000-0005-0000-0000-0000D50C0000}"/>
    <cellStyle name="Currency 5 3 2 6 3 2" xfId="14324" xr:uid="{342CDA97-7006-4A53-B51C-F4D553EA8C93}"/>
    <cellStyle name="Currency 5 3 2 6 4" xfId="10106" xr:uid="{97BD85D3-87B4-41E6-B2D3-36744F6DB885}"/>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66BC0580-8B64-4FE1-8D0B-99AEE25AB8CC}"/>
    <cellStyle name="Currency 5 3 2 7 2 3" xfId="12664" xr:uid="{EB270FA3-CFBF-4B6F-B088-4F18767EE3AC}"/>
    <cellStyle name="Currency 5 3 2 7 3" xfId="6308" xr:uid="{00000000-0005-0000-0000-0000D90C0000}"/>
    <cellStyle name="Currency 5 3 2 7 3 2" xfId="14737" xr:uid="{9ED63E6B-3312-4E1A-815D-527EF371DA66}"/>
    <cellStyle name="Currency 5 3 2 7 4" xfId="10519" xr:uid="{200ACB10-E423-45DE-9516-328AC4889847}"/>
    <cellStyle name="Currency 5 3 2 8" xfId="2435" xr:uid="{00000000-0005-0000-0000-0000DA0C0000}"/>
    <cellStyle name="Currency 5 3 2 8 2" xfId="6721" xr:uid="{00000000-0005-0000-0000-0000DB0C0000}"/>
    <cellStyle name="Currency 5 3 2 8 2 2" xfId="15150" xr:uid="{DBAB8106-4654-4885-8EF0-C154DA2EDDDC}"/>
    <cellStyle name="Currency 5 3 2 8 3" xfId="10932" xr:uid="{38BCD477-63D2-4FF3-B0F9-DB4A9C0D60F2}"/>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B61CE265-931A-4A73-BE90-81ED0A609CC8}"/>
    <cellStyle name="Currency 5 3 3 11" xfId="8870" xr:uid="{5D5C216C-B84F-4C93-8602-C4A308CE9100}"/>
    <cellStyle name="Currency 5 3 3 2" xfId="215" xr:uid="{00000000-0005-0000-0000-0000DF0C0000}"/>
    <cellStyle name="Currency 5 3 3 2 10" xfId="8871" xr:uid="{1D6A1061-0D21-43D9-A033-CF61D29B1851}"/>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3D42076A-414D-466D-9F3E-0BE6EA13C0F4}"/>
    <cellStyle name="Currency 5 3 3 2 2 2 3" xfId="11430" xr:uid="{538B841F-2C64-4142-81C9-E3FD38C652B5}"/>
    <cellStyle name="Currency 5 3 3 2 2 3" xfId="5074" xr:uid="{00000000-0005-0000-0000-0000E30C0000}"/>
    <cellStyle name="Currency 5 3 3 2 2 3 2" xfId="13503" xr:uid="{492FCF30-F44B-44B4-88AF-A33113962250}"/>
    <cellStyle name="Currency 5 3 3 2 2 4" xfId="9285" xr:uid="{1F22E497-A725-44BB-A3FF-3D14FDD88A16}"/>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4CC62E5C-FB5D-4D63-BA17-7C14228314B2}"/>
    <cellStyle name="Currency 5 3 3 2 3 2 3" xfId="11843" xr:uid="{8F4ECC62-C683-4474-82FD-A8999CBC9097}"/>
    <cellStyle name="Currency 5 3 3 2 3 3" xfId="5487" xr:uid="{00000000-0005-0000-0000-0000E70C0000}"/>
    <cellStyle name="Currency 5 3 3 2 3 3 2" xfId="13916" xr:uid="{1DF5879B-DF86-4B06-95D0-8F6683D0C8D5}"/>
    <cellStyle name="Currency 5 3 3 2 3 4" xfId="9698" xr:uid="{4776D6D3-948C-4713-937E-984B6074CD72}"/>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9E8951B2-3AF8-48D3-B44F-8ECBFB0B7B61}"/>
    <cellStyle name="Currency 5 3 3 2 4 2 3" xfId="12256" xr:uid="{C7E41D35-8815-4574-A47B-21BA6FB62C98}"/>
    <cellStyle name="Currency 5 3 3 2 4 3" xfId="5900" xr:uid="{00000000-0005-0000-0000-0000EB0C0000}"/>
    <cellStyle name="Currency 5 3 3 2 4 3 2" xfId="14329" xr:uid="{7F4A2170-3A98-4EE6-979C-9A04905D1D7F}"/>
    <cellStyle name="Currency 5 3 3 2 4 4" xfId="10111" xr:uid="{47AFDC32-1C91-4676-B7B2-BFBE2B084981}"/>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987FDE9D-6D1D-41C6-9DFE-2EC8D9F01BF1}"/>
    <cellStyle name="Currency 5 3 3 2 5 2 3" xfId="12669" xr:uid="{46ED357F-C255-45E6-8997-FA80C55D97EA}"/>
    <cellStyle name="Currency 5 3 3 2 5 3" xfId="6313" xr:uid="{00000000-0005-0000-0000-0000EF0C0000}"/>
    <cellStyle name="Currency 5 3 3 2 5 3 2" xfId="14742" xr:uid="{AB9DEF0B-3183-4561-9BDA-BAFEA3042468}"/>
    <cellStyle name="Currency 5 3 3 2 5 4" xfId="10524" xr:uid="{80454109-55EC-4D56-BB03-2389B3EC07B1}"/>
    <cellStyle name="Currency 5 3 3 2 6" xfId="2440" xr:uid="{00000000-0005-0000-0000-0000F00C0000}"/>
    <cellStyle name="Currency 5 3 3 2 6 2" xfId="6726" xr:uid="{00000000-0005-0000-0000-0000F10C0000}"/>
    <cellStyle name="Currency 5 3 3 2 6 2 2" xfId="15155" xr:uid="{4D7DEF42-232D-43C0-A860-E72604EAE69B}"/>
    <cellStyle name="Currency 5 3 3 2 6 3" xfId="10937" xr:uid="{0FAE0B32-B9C1-4E30-8C07-5F42B2A701F8}"/>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F3630527-E29B-467B-A7D9-88FEA8488C89}"/>
    <cellStyle name="Currency 5 3 3 2 8 3" xfId="11254" xr:uid="{ADFAF79B-BB60-49A9-BBEE-C356E8C05401}"/>
    <cellStyle name="Currency 5 3 3 2 9" xfId="4660" xr:uid="{00000000-0005-0000-0000-0000F50C0000}"/>
    <cellStyle name="Currency 5 3 3 2 9 2" xfId="13089" xr:uid="{A2B5FF96-998E-4DCC-91F5-254326DD287F}"/>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1D021FBA-FD30-4A90-ACD1-2A49763F45A1}"/>
    <cellStyle name="Currency 5 3 3 3 2 3" xfId="11429" xr:uid="{2EDB3463-DF49-4D96-BC12-7604CA62F0B0}"/>
    <cellStyle name="Currency 5 3 3 3 3" xfId="5073" xr:uid="{00000000-0005-0000-0000-0000F90C0000}"/>
    <cellStyle name="Currency 5 3 3 3 3 2" xfId="13502" xr:uid="{83B3F242-F214-4CCA-967D-492D1D10BAC4}"/>
    <cellStyle name="Currency 5 3 3 3 4" xfId="9284" xr:uid="{9762F5F8-0D16-4EB4-BC7C-90A42F8C77DD}"/>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61B0AA0C-4CB4-4E19-86ED-8FE17A87E3E1}"/>
    <cellStyle name="Currency 5 3 3 4 2 3" xfId="11842" xr:uid="{D28B93A0-97F3-4941-B1F2-9957331BB2C6}"/>
    <cellStyle name="Currency 5 3 3 4 3" xfId="5486" xr:uid="{00000000-0005-0000-0000-0000FD0C0000}"/>
    <cellStyle name="Currency 5 3 3 4 3 2" xfId="13915" xr:uid="{13EE7973-019C-4722-B322-FEADD5C4A1A1}"/>
    <cellStyle name="Currency 5 3 3 4 4" xfId="9697" xr:uid="{FC2C3C71-BFA8-45A0-935C-005A0385123B}"/>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7EB52650-1AF1-40ED-B4C3-44703C6E851A}"/>
    <cellStyle name="Currency 5 3 3 5 2 3" xfId="12255" xr:uid="{7EFFF8BE-D97A-46D5-AF22-EAB06D9B5334}"/>
    <cellStyle name="Currency 5 3 3 5 3" xfId="5899" xr:uid="{00000000-0005-0000-0000-0000010D0000}"/>
    <cellStyle name="Currency 5 3 3 5 3 2" xfId="14328" xr:uid="{DC73E9C3-3375-4B77-8B94-0DF8FDD613D9}"/>
    <cellStyle name="Currency 5 3 3 5 4" xfId="10110" xr:uid="{3FA1A811-A0A6-4F5F-B01A-D12E9D21FBAF}"/>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DF03510D-E143-4E98-9124-010CC925965B}"/>
    <cellStyle name="Currency 5 3 3 6 2 3" xfId="12668" xr:uid="{7CE8F415-0253-4B83-99DC-E24C3AEBC359}"/>
    <cellStyle name="Currency 5 3 3 6 3" xfId="6312" xr:uid="{00000000-0005-0000-0000-0000050D0000}"/>
    <cellStyle name="Currency 5 3 3 6 3 2" xfId="14741" xr:uid="{815646D4-DDDA-468D-9EA7-4DB95F7E2627}"/>
    <cellStyle name="Currency 5 3 3 6 4" xfId="10523" xr:uid="{D29CFAF6-8AA6-406E-A563-8EA5DE817DE7}"/>
    <cellStyle name="Currency 5 3 3 7" xfId="2439" xr:uid="{00000000-0005-0000-0000-0000060D0000}"/>
    <cellStyle name="Currency 5 3 3 7 2" xfId="6725" xr:uid="{00000000-0005-0000-0000-0000070D0000}"/>
    <cellStyle name="Currency 5 3 3 7 2 2" xfId="15154" xr:uid="{FC4F5295-E745-4B1A-B1BA-57C60AC1DB49}"/>
    <cellStyle name="Currency 5 3 3 7 3" xfId="10936" xr:uid="{6A3DBA5D-D8FE-4E17-A33C-1CE04E12A7B6}"/>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EA7CF295-16A5-4084-983B-B96083D31988}"/>
    <cellStyle name="Currency 5 3 3 9 3" xfId="11253" xr:uid="{9D809EAF-B1CD-4381-9C71-334D8AE5D66E}"/>
    <cellStyle name="Currency 5 3 4" xfId="216" xr:uid="{00000000-0005-0000-0000-00000B0D0000}"/>
    <cellStyle name="Currency 5 3 4 10" xfId="8872" xr:uid="{5CE25E45-8362-41EF-9B91-5DBE43E1BC89}"/>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FBA1CC02-1C3E-4833-8385-B39F6D1E6F6F}"/>
    <cellStyle name="Currency 5 3 4 2 2 3" xfId="11431" xr:uid="{366EC487-1831-4CF9-939B-C6AA9BBCC30C}"/>
    <cellStyle name="Currency 5 3 4 2 3" xfId="5075" xr:uid="{00000000-0005-0000-0000-00000F0D0000}"/>
    <cellStyle name="Currency 5 3 4 2 3 2" xfId="13504" xr:uid="{B3E5B616-AFE5-4645-959E-00858CFBB335}"/>
    <cellStyle name="Currency 5 3 4 2 4" xfId="9286" xr:uid="{2252A3C7-7115-47CC-9E40-0C8CF678D279}"/>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395A441D-FA1A-4875-B7B1-907B398F6BA6}"/>
    <cellStyle name="Currency 5 3 4 3 2 3" xfId="11844" xr:uid="{473A667F-0288-44EB-8996-37DD3901822C}"/>
    <cellStyle name="Currency 5 3 4 3 3" xfId="5488" xr:uid="{00000000-0005-0000-0000-0000130D0000}"/>
    <cellStyle name="Currency 5 3 4 3 3 2" xfId="13917" xr:uid="{7184EC42-3DD8-4E8F-A67E-A396C23BD3FB}"/>
    <cellStyle name="Currency 5 3 4 3 4" xfId="9699" xr:uid="{FFC84D77-7232-4A79-A6DA-3FAF2C053A5C}"/>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8DA1E755-5F55-4FAF-9718-A23D2A694863}"/>
    <cellStyle name="Currency 5 3 4 4 2 3" xfId="12257" xr:uid="{D2E1C722-C1EB-4802-8801-5A9B5A6B66BF}"/>
    <cellStyle name="Currency 5 3 4 4 3" xfId="5901" xr:uid="{00000000-0005-0000-0000-0000170D0000}"/>
    <cellStyle name="Currency 5 3 4 4 3 2" xfId="14330" xr:uid="{630AEB4C-1F44-4EAA-BD9A-A7C63940C587}"/>
    <cellStyle name="Currency 5 3 4 4 4" xfId="10112" xr:uid="{832A3A9B-9E83-4D46-9F5A-B63ABEA184F1}"/>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5432DFAC-DEE8-4617-8F5D-C32E38DA177E}"/>
    <cellStyle name="Currency 5 3 4 5 2 3" xfId="12670" xr:uid="{A056D9D8-F1AB-4249-991E-4B9D0CF832D4}"/>
    <cellStyle name="Currency 5 3 4 5 3" xfId="6314" xr:uid="{00000000-0005-0000-0000-00001B0D0000}"/>
    <cellStyle name="Currency 5 3 4 5 3 2" xfId="14743" xr:uid="{7CADF775-FEA3-41B6-9C6A-A53D00AF53B2}"/>
    <cellStyle name="Currency 5 3 4 5 4" xfId="10525" xr:uid="{F0CC4518-BE1F-4A17-B86B-2B112B599C90}"/>
    <cellStyle name="Currency 5 3 4 6" xfId="2441" xr:uid="{00000000-0005-0000-0000-00001C0D0000}"/>
    <cellStyle name="Currency 5 3 4 6 2" xfId="6727" xr:uid="{00000000-0005-0000-0000-00001D0D0000}"/>
    <cellStyle name="Currency 5 3 4 6 2 2" xfId="15156" xr:uid="{0B692103-4926-497E-B588-4700603D2954}"/>
    <cellStyle name="Currency 5 3 4 6 3" xfId="10938" xr:uid="{37A148CE-12B3-460A-B7F5-5A87A40FC464}"/>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0B73F4A2-6B9E-4144-B7EC-CFA37523C7B8}"/>
    <cellStyle name="Currency 5 3 4 8 3" xfId="11255" xr:uid="{602D0FE1-705D-40B4-A474-218D55D5B49E}"/>
    <cellStyle name="Currency 5 3 4 9" xfId="4661" xr:uid="{00000000-0005-0000-0000-0000210D0000}"/>
    <cellStyle name="Currency 5 3 4 9 2" xfId="13090" xr:uid="{D2CC4BD0-02CA-41AE-80E6-2CAAF6DC0C27}"/>
    <cellStyle name="Currency 5 3 5" xfId="217" xr:uid="{00000000-0005-0000-0000-0000220D0000}"/>
    <cellStyle name="Currency 5 3 5 10" xfId="8873" xr:uid="{C7409EFC-E06A-4B93-9F96-4C9148E1B342}"/>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76A277A4-5426-4D4A-9388-F851B9E53FF5}"/>
    <cellStyle name="Currency 5 3 5 2 2 3" xfId="11432" xr:uid="{5E0FD053-9222-415E-9BD2-DE86848DF952}"/>
    <cellStyle name="Currency 5 3 5 2 3" xfId="5076" xr:uid="{00000000-0005-0000-0000-0000260D0000}"/>
    <cellStyle name="Currency 5 3 5 2 3 2" xfId="13505" xr:uid="{236AC185-C0F4-42D4-A94C-D6E7AAD9211A}"/>
    <cellStyle name="Currency 5 3 5 2 4" xfId="9287" xr:uid="{FF22047D-51EC-4010-ACC5-F71DA09A8CC9}"/>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C1BFFB14-04E7-4AF7-B406-51FB9EA21DF0}"/>
    <cellStyle name="Currency 5 3 5 3 2 3" xfId="11845" xr:uid="{860856A7-C276-48AA-9D06-F9C7668E745F}"/>
    <cellStyle name="Currency 5 3 5 3 3" xfId="5489" xr:uid="{00000000-0005-0000-0000-00002A0D0000}"/>
    <cellStyle name="Currency 5 3 5 3 3 2" xfId="13918" xr:uid="{06CDAB49-104A-4702-B5C0-E85FD7775F0C}"/>
    <cellStyle name="Currency 5 3 5 3 4" xfId="9700" xr:uid="{F64D6E64-F7E9-48F3-B081-707F20E601CA}"/>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2377FB99-E879-4486-A0E3-CAB5C8071C3D}"/>
    <cellStyle name="Currency 5 3 5 4 2 3" xfId="12258" xr:uid="{3905BEED-F2B4-485A-9A9C-622EC3678E08}"/>
    <cellStyle name="Currency 5 3 5 4 3" xfId="5902" xr:uid="{00000000-0005-0000-0000-00002E0D0000}"/>
    <cellStyle name="Currency 5 3 5 4 3 2" xfId="14331" xr:uid="{92C42725-07A0-484C-9375-2DD80868AD05}"/>
    <cellStyle name="Currency 5 3 5 4 4" xfId="10113" xr:uid="{E383E3BB-ADB6-456C-AB50-F0EE3D5D1109}"/>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70C71D55-A3CE-430F-8D7A-CE17B3EC6783}"/>
    <cellStyle name="Currency 5 3 5 5 2 3" xfId="12671" xr:uid="{E15EE85A-DADB-4553-995E-CDF985C453B9}"/>
    <cellStyle name="Currency 5 3 5 5 3" xfId="6315" xr:uid="{00000000-0005-0000-0000-0000320D0000}"/>
    <cellStyle name="Currency 5 3 5 5 3 2" xfId="14744" xr:uid="{A7BAE457-287C-415E-A5A2-4A460849BB5F}"/>
    <cellStyle name="Currency 5 3 5 5 4" xfId="10526" xr:uid="{48791BAE-E494-4C3B-B160-6386BD9428B3}"/>
    <cellStyle name="Currency 5 3 5 6" xfId="2442" xr:uid="{00000000-0005-0000-0000-0000330D0000}"/>
    <cellStyle name="Currency 5 3 5 6 2" xfId="6728" xr:uid="{00000000-0005-0000-0000-0000340D0000}"/>
    <cellStyle name="Currency 5 3 5 6 2 2" xfId="15157" xr:uid="{0BA4586B-FA28-4332-8EC6-675F9874F1BB}"/>
    <cellStyle name="Currency 5 3 5 6 3" xfId="10939" xr:uid="{2B650DDC-749C-4B1C-A8B2-6EA1B9A722B4}"/>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888C58C7-A8DA-4378-952F-B75E93AFF213}"/>
    <cellStyle name="Currency 5 3 5 8 3" xfId="11256" xr:uid="{66378195-0F0D-4BAB-84E6-0871527466BF}"/>
    <cellStyle name="Currency 5 3 5 9" xfId="4662" xr:uid="{00000000-0005-0000-0000-0000380D0000}"/>
    <cellStyle name="Currency 5 3 5 9 2" xfId="13091" xr:uid="{0F6C13EE-9F57-47AB-9764-171DF5C84A0A}"/>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8D194288-1437-4829-B599-859ACABF2A90}"/>
    <cellStyle name="Currency 5 5 11" xfId="8874" xr:uid="{6E1F9860-A065-4180-BD08-7E9A9E2BA09D}"/>
    <cellStyle name="Currency 5 5 2" xfId="220" xr:uid="{00000000-0005-0000-0000-00003D0D0000}"/>
    <cellStyle name="Currency 5 5 2 10" xfId="8875" xr:uid="{CC5C953E-BDAF-4893-A1E3-8E630942B6EA}"/>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42EE144C-9CE9-4109-9635-BBE98AA61F39}"/>
    <cellStyle name="Currency 5 5 2 2 2 3" xfId="11434" xr:uid="{ABCBD155-BF84-4767-A200-38A7758CEFB3}"/>
    <cellStyle name="Currency 5 5 2 2 3" xfId="5078" xr:uid="{00000000-0005-0000-0000-0000410D0000}"/>
    <cellStyle name="Currency 5 5 2 2 3 2" xfId="13507" xr:uid="{4659EA90-CCD8-4A49-B0C7-A3A704A348EC}"/>
    <cellStyle name="Currency 5 5 2 2 4" xfId="9289" xr:uid="{9CC742AA-599F-44AB-B7F8-8952EC1F62A0}"/>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D156DF25-65BA-40E3-8029-6E4609425759}"/>
    <cellStyle name="Currency 5 5 2 3 2 3" xfId="11847" xr:uid="{1BBACCAB-4957-4D82-B82A-7B7854C1D05A}"/>
    <cellStyle name="Currency 5 5 2 3 3" xfId="5491" xr:uid="{00000000-0005-0000-0000-0000450D0000}"/>
    <cellStyle name="Currency 5 5 2 3 3 2" xfId="13920" xr:uid="{3F8EC2AB-BBD6-4913-809E-9456ED926B85}"/>
    <cellStyle name="Currency 5 5 2 3 4" xfId="9702" xr:uid="{17FC40E1-1440-45BD-9C2F-1D2453AC2231}"/>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07ED0CEA-65EA-4138-8997-D6A7EB03BFA2}"/>
    <cellStyle name="Currency 5 5 2 4 2 3" xfId="12260" xr:uid="{3A097B72-7214-4A5D-AEB7-0EC4C3FF84C6}"/>
    <cellStyle name="Currency 5 5 2 4 3" xfId="5904" xr:uid="{00000000-0005-0000-0000-0000490D0000}"/>
    <cellStyle name="Currency 5 5 2 4 3 2" xfId="14333" xr:uid="{947A4B3C-7C6C-4649-ABFD-7AC05750B562}"/>
    <cellStyle name="Currency 5 5 2 4 4" xfId="10115" xr:uid="{47CB63C1-300A-42D2-8FB9-2B9F395A98AA}"/>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25CE42B6-136B-4CF5-A195-AD4B98C30C9D}"/>
    <cellStyle name="Currency 5 5 2 5 2 3" xfId="12673" xr:uid="{144A4EF4-AE03-42D8-834D-FC8A62F35969}"/>
    <cellStyle name="Currency 5 5 2 5 3" xfId="6317" xr:uid="{00000000-0005-0000-0000-00004D0D0000}"/>
    <cellStyle name="Currency 5 5 2 5 3 2" xfId="14746" xr:uid="{CDA59FB7-EABD-4362-8AA3-CBAC426E6FE5}"/>
    <cellStyle name="Currency 5 5 2 5 4" xfId="10528" xr:uid="{62977542-ED43-412A-9FAA-F63A8C2B3A10}"/>
    <cellStyle name="Currency 5 5 2 6" xfId="2444" xr:uid="{00000000-0005-0000-0000-00004E0D0000}"/>
    <cellStyle name="Currency 5 5 2 6 2" xfId="6730" xr:uid="{00000000-0005-0000-0000-00004F0D0000}"/>
    <cellStyle name="Currency 5 5 2 6 2 2" xfId="15159" xr:uid="{03FEA550-01D4-43BE-91D8-02940B33FD87}"/>
    <cellStyle name="Currency 5 5 2 6 3" xfId="10941" xr:uid="{0E3FC3D0-81E4-4378-B839-70ECCBEA586D}"/>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7E051B6F-0C45-4B54-A58F-F0D5162AB4B6}"/>
    <cellStyle name="Currency 5 5 2 8 3" xfId="11258" xr:uid="{3AEB4056-CA21-497F-8872-B70B1DCCC99B}"/>
    <cellStyle name="Currency 5 5 2 9" xfId="4664" xr:uid="{00000000-0005-0000-0000-0000530D0000}"/>
    <cellStyle name="Currency 5 5 2 9 2" xfId="13093" xr:uid="{A0C5CF21-62CE-42C5-9815-954A82862F75}"/>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DB84CEF6-2E44-4F5A-B2BF-98E9595DC9EA}"/>
    <cellStyle name="Currency 5 5 3 2 3" xfId="11433" xr:uid="{DE9A771F-8227-4042-A99A-6CCED27E7BAB}"/>
    <cellStyle name="Currency 5 5 3 3" xfId="5077" xr:uid="{00000000-0005-0000-0000-0000570D0000}"/>
    <cellStyle name="Currency 5 5 3 3 2" xfId="13506" xr:uid="{E7078FEE-784C-400F-8CC0-C68A0199D28F}"/>
    <cellStyle name="Currency 5 5 3 4" xfId="9288" xr:uid="{14B8A16A-F22D-4FB8-833B-F133ACE581CE}"/>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955190E3-2B71-44AC-9C91-EDF6DBCC84F9}"/>
    <cellStyle name="Currency 5 5 4 2 3" xfId="11846" xr:uid="{79E614D1-B54C-46B1-8769-67F38D0D82FF}"/>
    <cellStyle name="Currency 5 5 4 3" xfId="5490" xr:uid="{00000000-0005-0000-0000-00005B0D0000}"/>
    <cellStyle name="Currency 5 5 4 3 2" xfId="13919" xr:uid="{4D9967D0-2F98-4494-8F92-CEEAA33D77E4}"/>
    <cellStyle name="Currency 5 5 4 4" xfId="9701" xr:uid="{B2FB1E52-3C8A-4B33-BD6C-E32F991152DE}"/>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70B1DC2B-8917-4281-AA69-6E7AA29ACEAA}"/>
    <cellStyle name="Currency 5 5 5 2 3" xfId="12259" xr:uid="{C362260A-CFDF-4E0C-BD69-A42D9BA40FD3}"/>
    <cellStyle name="Currency 5 5 5 3" xfId="5903" xr:uid="{00000000-0005-0000-0000-00005F0D0000}"/>
    <cellStyle name="Currency 5 5 5 3 2" xfId="14332" xr:uid="{F5B17301-395B-4325-9E3E-EF36C296EE22}"/>
    <cellStyle name="Currency 5 5 5 4" xfId="10114" xr:uid="{B3D5CCA3-1500-46B7-BEE4-6164E9DE981C}"/>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0C1AA93B-170D-4295-ADD5-50E1B8CE0249}"/>
    <cellStyle name="Currency 5 5 6 2 3" xfId="12672" xr:uid="{01491070-2E2A-4CA4-8AC9-89B589C7756C}"/>
    <cellStyle name="Currency 5 5 6 3" xfId="6316" xr:uid="{00000000-0005-0000-0000-0000630D0000}"/>
    <cellStyle name="Currency 5 5 6 3 2" xfId="14745" xr:uid="{B922186E-27A5-4EF8-B428-40EC1A3C6DD4}"/>
    <cellStyle name="Currency 5 5 6 4" xfId="10527" xr:uid="{0D9C4CDF-E3F4-48C6-BB85-B477D7DB545F}"/>
    <cellStyle name="Currency 5 5 7" xfId="2443" xr:uid="{00000000-0005-0000-0000-0000640D0000}"/>
    <cellStyle name="Currency 5 5 7 2" xfId="6729" xr:uid="{00000000-0005-0000-0000-0000650D0000}"/>
    <cellStyle name="Currency 5 5 7 2 2" xfId="15158" xr:uid="{BC3580EF-4440-42D5-8CD4-2D89A07E46EE}"/>
    <cellStyle name="Currency 5 5 7 3" xfId="10940" xr:uid="{13D89440-BC1C-4B03-A4E1-24E22AE0AC04}"/>
    <cellStyle name="Currency 5 5 8" xfId="2740" xr:uid="{00000000-0005-0000-0000-0000660D0000}"/>
    <cellStyle name="Currency 5 5 9" xfId="2821" xr:uid="{00000000-0005-0000-0000-0000670D0000}"/>
    <cellStyle name="Currency 5 5 9 2" xfId="7046" xr:uid="{00000000-0005-0000-0000-0000680D0000}"/>
    <cellStyle name="Currency 5 5 9 2 2" xfId="15475" xr:uid="{E2218257-0933-4E08-A531-032E0B1A48DC}"/>
    <cellStyle name="Currency 5 5 9 3" xfId="11257" xr:uid="{A0D7C461-B003-4578-9F25-9837617EBFEA}"/>
    <cellStyle name="Currency 5 6" xfId="221" xr:uid="{00000000-0005-0000-0000-0000690D0000}"/>
    <cellStyle name="Currency 5 6 10" xfId="8876" xr:uid="{1BD26791-B032-4F95-AFF7-A4CA2459C992}"/>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AA35125B-3EAE-4ED9-9612-2EDEC5C134EB}"/>
    <cellStyle name="Currency 5 6 2 2 3" xfId="11435" xr:uid="{1BC07832-5A95-4BCE-B351-2EE0D8803548}"/>
    <cellStyle name="Currency 5 6 2 3" xfId="5079" xr:uid="{00000000-0005-0000-0000-00006D0D0000}"/>
    <cellStyle name="Currency 5 6 2 3 2" xfId="13508" xr:uid="{737150B1-1AE2-4777-B83E-B61F94E2D332}"/>
    <cellStyle name="Currency 5 6 2 4" xfId="9290" xr:uid="{7D2BF680-8613-4894-8E67-53345CFFC65E}"/>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121A779E-EE7A-4D97-958E-AB6CCA3F08A3}"/>
    <cellStyle name="Currency 5 6 3 2 3" xfId="11848" xr:uid="{9E0E0D22-A84D-405C-8DC3-E905222BDC3F}"/>
    <cellStyle name="Currency 5 6 3 3" xfId="5492" xr:uid="{00000000-0005-0000-0000-0000710D0000}"/>
    <cellStyle name="Currency 5 6 3 3 2" xfId="13921" xr:uid="{B853B449-1968-4DCD-A5A1-B3478F2379B9}"/>
    <cellStyle name="Currency 5 6 3 4" xfId="9703" xr:uid="{6AF003B7-F57A-400A-B757-DCF156FB7303}"/>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E0381150-01C1-43D9-9C0F-3C222C538956}"/>
    <cellStyle name="Currency 5 6 4 2 3" xfId="12261" xr:uid="{A4FA12D9-78DC-4A7A-ADA0-4C17ED830D46}"/>
    <cellStyle name="Currency 5 6 4 3" xfId="5905" xr:uid="{00000000-0005-0000-0000-0000750D0000}"/>
    <cellStyle name="Currency 5 6 4 3 2" xfId="14334" xr:uid="{887BA9E9-23FA-400E-95A8-D69452D5270D}"/>
    <cellStyle name="Currency 5 6 4 4" xfId="10116" xr:uid="{77B2C0D8-F481-4CCB-B2F7-63BDDDBE3C44}"/>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79997622-1F32-48D0-9F7D-8E3D7AF9ADD1}"/>
    <cellStyle name="Currency 5 6 5 2 3" xfId="12674" xr:uid="{3A3895DF-31B8-4215-A82A-8343B2088DDF}"/>
    <cellStyle name="Currency 5 6 5 3" xfId="6318" xr:uid="{00000000-0005-0000-0000-0000790D0000}"/>
    <cellStyle name="Currency 5 6 5 3 2" xfId="14747" xr:uid="{06D92107-9F3D-44D9-971D-664154A6B5EC}"/>
    <cellStyle name="Currency 5 6 5 4" xfId="10529" xr:uid="{AA661F8D-4F80-4043-9E7E-EAAFA7B98867}"/>
    <cellStyle name="Currency 5 6 6" xfId="2445" xr:uid="{00000000-0005-0000-0000-00007A0D0000}"/>
    <cellStyle name="Currency 5 6 6 2" xfId="6731" xr:uid="{00000000-0005-0000-0000-00007B0D0000}"/>
    <cellStyle name="Currency 5 6 6 2 2" xfId="15160" xr:uid="{828C5625-B68A-44C0-B301-3B5B7B009959}"/>
    <cellStyle name="Currency 5 6 6 3" xfId="10942" xr:uid="{AC6BA8EC-3316-4136-8540-8AA0796949B2}"/>
    <cellStyle name="Currency 5 6 7" xfId="2742" xr:uid="{00000000-0005-0000-0000-00007C0D0000}"/>
    <cellStyle name="Currency 5 6 8" xfId="2823" xr:uid="{00000000-0005-0000-0000-00007D0D0000}"/>
    <cellStyle name="Currency 5 6 8 2" xfId="7048" xr:uid="{00000000-0005-0000-0000-00007E0D0000}"/>
    <cellStyle name="Currency 5 6 8 2 2" xfId="15477" xr:uid="{A49C9A58-55F9-4A8C-B21D-AB9C2F41DB35}"/>
    <cellStyle name="Currency 5 6 8 3" xfId="11259" xr:uid="{0080A5BA-E04B-4CDB-97B7-36F1FD58BC07}"/>
    <cellStyle name="Currency 5 6 9" xfId="4665" xr:uid="{00000000-0005-0000-0000-00007F0D0000}"/>
    <cellStyle name="Currency 5 6 9 2" xfId="13094" xr:uid="{F23226D9-030D-40C7-8DE8-F7BA0A33278E}"/>
    <cellStyle name="Currency 5 7" xfId="222" xr:uid="{00000000-0005-0000-0000-0000800D0000}"/>
    <cellStyle name="Currency 5 7 10" xfId="8877" xr:uid="{718E1F07-9B5F-47F0-80C2-AA0A0AE9033F}"/>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CF2AF13A-8B54-4137-AA9D-2B68859A1421}"/>
    <cellStyle name="Currency 5 7 2 2 3" xfId="11436" xr:uid="{6F9ECD6C-7533-4D86-B862-EF7FB7B8B879}"/>
    <cellStyle name="Currency 5 7 2 3" xfId="5080" xr:uid="{00000000-0005-0000-0000-0000840D0000}"/>
    <cellStyle name="Currency 5 7 2 3 2" xfId="13509" xr:uid="{47B454A7-1F15-49D3-BF03-E613F7302A7C}"/>
    <cellStyle name="Currency 5 7 2 4" xfId="9291" xr:uid="{28FD55C1-2B77-4B54-8913-0E411378B8AC}"/>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A1A8AD2C-75B3-4DA9-80A0-0C91BC2ECE03}"/>
    <cellStyle name="Currency 5 7 3 2 3" xfId="11849" xr:uid="{2F95E280-6C1F-461F-AFE4-F5C785575CFE}"/>
    <cellStyle name="Currency 5 7 3 3" xfId="5493" xr:uid="{00000000-0005-0000-0000-0000880D0000}"/>
    <cellStyle name="Currency 5 7 3 3 2" xfId="13922" xr:uid="{26D617B2-AF1A-4E78-A5A8-77A7E1725F13}"/>
    <cellStyle name="Currency 5 7 3 4" xfId="9704" xr:uid="{78B4B855-5562-451B-A815-F18344201AA9}"/>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510CC640-45AB-42C8-BBB7-40DE5E197FB0}"/>
    <cellStyle name="Currency 5 7 4 2 3" xfId="12262" xr:uid="{CB163B95-2067-44FB-9BC8-56CCE385A90C}"/>
    <cellStyle name="Currency 5 7 4 3" xfId="5906" xr:uid="{00000000-0005-0000-0000-00008C0D0000}"/>
    <cellStyle name="Currency 5 7 4 3 2" xfId="14335" xr:uid="{7216D214-7B54-46F0-B857-FDD8431FA19B}"/>
    <cellStyle name="Currency 5 7 4 4" xfId="10117" xr:uid="{956A0C81-E7F5-4F9C-8A59-1AE488547DC6}"/>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B4A710E8-E8D1-445B-A2A1-47987ABEF033}"/>
    <cellStyle name="Currency 5 7 5 2 3" xfId="12675" xr:uid="{A137B41E-9F7A-4B49-8096-FA05E9CCAD4C}"/>
    <cellStyle name="Currency 5 7 5 3" xfId="6319" xr:uid="{00000000-0005-0000-0000-0000900D0000}"/>
    <cellStyle name="Currency 5 7 5 3 2" xfId="14748" xr:uid="{574A4AE5-E961-4FC3-A504-46C6A0313622}"/>
    <cellStyle name="Currency 5 7 5 4" xfId="10530" xr:uid="{83703FBA-B01E-4D68-A9ED-2DE151FAA1F3}"/>
    <cellStyle name="Currency 5 7 6" xfId="2446" xr:uid="{00000000-0005-0000-0000-0000910D0000}"/>
    <cellStyle name="Currency 5 7 6 2" xfId="6732" xr:uid="{00000000-0005-0000-0000-0000920D0000}"/>
    <cellStyle name="Currency 5 7 6 2 2" xfId="15161" xr:uid="{D97AF5BF-519C-4E7F-BAFA-CB117D9509C5}"/>
    <cellStyle name="Currency 5 7 6 3" xfId="10943" xr:uid="{2DEFF990-886C-422B-BDD3-B36BF70C1921}"/>
    <cellStyle name="Currency 5 7 7" xfId="2743" xr:uid="{00000000-0005-0000-0000-0000930D0000}"/>
    <cellStyle name="Currency 5 7 8" xfId="2824" xr:uid="{00000000-0005-0000-0000-0000940D0000}"/>
    <cellStyle name="Currency 5 7 8 2" xfId="7049" xr:uid="{00000000-0005-0000-0000-0000950D0000}"/>
    <cellStyle name="Currency 5 7 8 2 2" xfId="15478" xr:uid="{7D40E7C5-AE5C-4850-9DB0-BE98D224A414}"/>
    <cellStyle name="Currency 5 7 8 3" xfId="11260" xr:uid="{F865048C-03A7-41C6-9D01-801A030601ED}"/>
    <cellStyle name="Currency 5 7 9" xfId="4666" xr:uid="{00000000-0005-0000-0000-0000960D0000}"/>
    <cellStyle name="Currency 5 7 9 2" xfId="13095" xr:uid="{5859AF65-6C45-4744-ABC6-2A9FD8509234}"/>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D276CB1B-B9B4-4134-B718-A27AEDBCE47A}"/>
    <cellStyle name="Normal 12 10 3" xfId="10944" xr:uid="{25B52AEB-90A5-4666-8AF7-A81BD2A151DE}"/>
    <cellStyle name="Normal 12 11" xfId="4667" xr:uid="{00000000-0005-0000-0000-0000CC0D0000}"/>
    <cellStyle name="Normal 12 11 2" xfId="13096" xr:uid="{DD7D81A6-4C98-4099-8BB3-1977595252DD}"/>
    <cellStyle name="Normal 12 12" xfId="8878" xr:uid="{00F1BAB2-2E9C-451A-B444-3D0B2461C616}"/>
    <cellStyle name="Normal 12 2" xfId="260" xr:uid="{00000000-0005-0000-0000-0000CD0D0000}"/>
    <cellStyle name="Normal 12 2 10" xfId="8879" xr:uid="{B44B09B7-9B8E-4A67-BCD3-6B4FB49370B9}"/>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C7F4E55F-E70A-46A0-BF55-08A5ACFAC60A}"/>
    <cellStyle name="Normal 12 2 2 2 2 2 3" xfId="11440" xr:uid="{C50A0475-5EAD-4F5C-A444-79575AE81A29}"/>
    <cellStyle name="Normal 12 2 2 2 2 3" xfId="5084" xr:uid="{00000000-0005-0000-0000-0000D30D0000}"/>
    <cellStyle name="Normal 12 2 2 2 2 3 2" xfId="13513" xr:uid="{8E94BE5A-2145-4A24-B451-CFA43AA8588D}"/>
    <cellStyle name="Normal 12 2 2 2 2 4" xfId="9295" xr:uid="{605772EF-9F98-47FE-9DBD-5ADE13CEEAEA}"/>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FB324870-F802-4C16-86F6-6C4E5847CD73}"/>
    <cellStyle name="Normal 12 2 2 2 3 2 3" xfId="11853" xr:uid="{CFE52818-20F2-41E0-92DE-F7CF4D83B2D1}"/>
    <cellStyle name="Normal 12 2 2 2 3 3" xfId="5497" xr:uid="{00000000-0005-0000-0000-0000D70D0000}"/>
    <cellStyle name="Normal 12 2 2 2 3 3 2" xfId="13926" xr:uid="{F25A0D1B-6088-4BFD-920D-B0239063AE36}"/>
    <cellStyle name="Normal 12 2 2 2 3 4" xfId="9708" xr:uid="{DBF68386-E6C5-48CA-92C7-43EEC50AC0ED}"/>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9DC50E81-0D04-42BE-80C3-BB60FA161BF6}"/>
    <cellStyle name="Normal 12 2 2 2 4 2 3" xfId="12266" xr:uid="{72BFC8B5-3C1D-4A01-BEC9-E92763584A10}"/>
    <cellStyle name="Normal 12 2 2 2 4 3" xfId="5910" xr:uid="{00000000-0005-0000-0000-0000DB0D0000}"/>
    <cellStyle name="Normal 12 2 2 2 4 3 2" xfId="14339" xr:uid="{D728AFEF-49AC-4699-BD7E-21CD6B5540FE}"/>
    <cellStyle name="Normal 12 2 2 2 4 4" xfId="10121" xr:uid="{8E476442-EA16-4F23-981D-16650292D41A}"/>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6264C699-B5EB-43DA-8E05-D4B44B5372EB}"/>
    <cellStyle name="Normal 12 2 2 2 5 2 3" xfId="12679" xr:uid="{436C3606-9094-46A9-87B2-DC7ED93F1F37}"/>
    <cellStyle name="Normal 12 2 2 2 5 3" xfId="6323" xr:uid="{00000000-0005-0000-0000-0000DF0D0000}"/>
    <cellStyle name="Normal 12 2 2 2 5 3 2" xfId="14752" xr:uid="{F6694EC1-2844-47BE-AE07-95F9A83788A4}"/>
    <cellStyle name="Normal 12 2 2 2 5 4" xfId="10534" xr:uid="{178FFC4E-11B1-4E83-A975-3B682C3B2DB3}"/>
    <cellStyle name="Normal 12 2 2 2 6" xfId="2451" xr:uid="{00000000-0005-0000-0000-0000E00D0000}"/>
    <cellStyle name="Normal 12 2 2 2 6 2" xfId="6736" xr:uid="{00000000-0005-0000-0000-0000E10D0000}"/>
    <cellStyle name="Normal 12 2 2 2 6 2 2" xfId="15165" xr:uid="{048C5D5D-19C1-4536-9438-ED476C6404EF}"/>
    <cellStyle name="Normal 12 2 2 2 6 3" xfId="10947" xr:uid="{6F48D317-ECA6-4BA9-AA35-BB3F81761625}"/>
    <cellStyle name="Normal 12 2 2 2 7" xfId="4670" xr:uid="{00000000-0005-0000-0000-0000E20D0000}"/>
    <cellStyle name="Normal 12 2 2 2 7 2" xfId="13099" xr:uid="{503DB594-1370-4415-A500-DB65A6E9C08B}"/>
    <cellStyle name="Normal 12 2 2 2 8" xfId="8881" xr:uid="{79B28A8F-E2DF-466E-AD4C-488E69721E29}"/>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35D143F0-EB54-47B4-B0DE-E829ED05A0A9}"/>
    <cellStyle name="Normal 12 2 2 3 2 3" xfId="11439" xr:uid="{1943ACCA-6655-4D85-AA7D-10A9D9E87D02}"/>
    <cellStyle name="Normal 12 2 2 3 3" xfId="5083" xr:uid="{00000000-0005-0000-0000-0000E60D0000}"/>
    <cellStyle name="Normal 12 2 2 3 3 2" xfId="13512" xr:uid="{5A4AC566-93B9-4C00-979A-3D65FA25BDB5}"/>
    <cellStyle name="Normal 12 2 2 3 4" xfId="9294" xr:uid="{F669EE98-32BC-4F48-8831-BFB5E5FACCB2}"/>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551DAD8B-22DE-450D-8436-932BD56CD055}"/>
    <cellStyle name="Normal 12 2 2 4 2 3" xfId="11852" xr:uid="{FB8770D3-3205-4925-BBE9-BACDA4092A4B}"/>
    <cellStyle name="Normal 12 2 2 4 3" xfId="5496" xr:uid="{00000000-0005-0000-0000-0000EA0D0000}"/>
    <cellStyle name="Normal 12 2 2 4 3 2" xfId="13925" xr:uid="{9C16D057-EFF1-4950-9213-609FBB495D5A}"/>
    <cellStyle name="Normal 12 2 2 4 4" xfId="9707" xr:uid="{A84378B8-E651-4796-B986-5A19665D4368}"/>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F81CA8EE-F782-4330-9475-7D242E5985F9}"/>
    <cellStyle name="Normal 12 2 2 5 2 3" xfId="12265" xr:uid="{DC5A3BB4-11F0-4EAD-B509-E6FB235ADD54}"/>
    <cellStyle name="Normal 12 2 2 5 3" xfId="5909" xr:uid="{00000000-0005-0000-0000-0000EE0D0000}"/>
    <cellStyle name="Normal 12 2 2 5 3 2" xfId="14338" xr:uid="{C0881F74-7809-40A4-9C84-E42F72EDCE51}"/>
    <cellStyle name="Normal 12 2 2 5 4" xfId="10120" xr:uid="{0FE2149C-31D8-4920-B704-CA90E57A1F2C}"/>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D03BC3B4-386D-4056-8F67-8F61C17D6B19}"/>
    <cellStyle name="Normal 12 2 2 6 2 3" xfId="12678" xr:uid="{D063CA57-9B72-4E7E-947B-EFA77A6AD172}"/>
    <cellStyle name="Normal 12 2 2 6 3" xfId="6322" xr:uid="{00000000-0005-0000-0000-0000F20D0000}"/>
    <cellStyle name="Normal 12 2 2 6 3 2" xfId="14751" xr:uid="{BE5FC1F8-8439-4833-A9C1-D462F965AC5D}"/>
    <cellStyle name="Normal 12 2 2 6 4" xfId="10533" xr:uid="{DBE070CE-9C04-4AD8-8482-C71DB66078D3}"/>
    <cellStyle name="Normal 12 2 2 7" xfId="2450" xr:uid="{00000000-0005-0000-0000-0000F30D0000}"/>
    <cellStyle name="Normal 12 2 2 7 2" xfId="6735" xr:uid="{00000000-0005-0000-0000-0000F40D0000}"/>
    <cellStyle name="Normal 12 2 2 7 2 2" xfId="15164" xr:uid="{12F3D5A2-2B21-4F25-BEFF-711C0A57E0D0}"/>
    <cellStyle name="Normal 12 2 2 7 3" xfId="10946" xr:uid="{B34CAA9F-972B-4296-847E-FFBDDAD8A98F}"/>
    <cellStyle name="Normal 12 2 2 8" xfId="4669" xr:uid="{00000000-0005-0000-0000-0000F50D0000}"/>
    <cellStyle name="Normal 12 2 2 8 2" xfId="13098" xr:uid="{C48B5985-FBA4-415B-A4F6-8B96685C317A}"/>
    <cellStyle name="Normal 12 2 2 9" xfId="8880" xr:uid="{753E7D0D-C5FC-4F66-B983-CC137BC5E454}"/>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23F3788F-505D-4964-955E-48270B037E28}"/>
    <cellStyle name="Normal 12 2 3 2 2 3" xfId="11441" xr:uid="{16542025-4D21-44EF-A27E-044D593497E5}"/>
    <cellStyle name="Normal 12 2 3 2 3" xfId="5085" xr:uid="{00000000-0005-0000-0000-0000FA0D0000}"/>
    <cellStyle name="Normal 12 2 3 2 3 2" xfId="13514" xr:uid="{4E3BF52E-749D-4B3E-9D0A-86459E851981}"/>
    <cellStyle name="Normal 12 2 3 2 4" xfId="9296" xr:uid="{D49D0726-783C-44D1-919B-EAA7E3463898}"/>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0D6513C2-B127-4B39-8400-AC0906A79B3A}"/>
    <cellStyle name="Normal 12 2 3 3 2 3" xfId="11854" xr:uid="{E53B065F-C3F1-48FF-8F85-81AEC166240B}"/>
    <cellStyle name="Normal 12 2 3 3 3" xfId="5498" xr:uid="{00000000-0005-0000-0000-0000FE0D0000}"/>
    <cellStyle name="Normal 12 2 3 3 3 2" xfId="13927" xr:uid="{22087474-6205-4E95-B91A-B0F118C4583B}"/>
    <cellStyle name="Normal 12 2 3 3 4" xfId="9709" xr:uid="{4012B9D6-2619-4D5D-AA02-88E561F20A61}"/>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D733E2D3-D876-49F4-AE04-6096063466D1}"/>
    <cellStyle name="Normal 12 2 3 4 2 3" xfId="12267" xr:uid="{CCA75A2F-771E-4EA7-B19B-E4FE24618D25}"/>
    <cellStyle name="Normal 12 2 3 4 3" xfId="5911" xr:uid="{00000000-0005-0000-0000-0000020E0000}"/>
    <cellStyle name="Normal 12 2 3 4 3 2" xfId="14340" xr:uid="{2DC20A4D-B586-4F4D-8D77-8ACE5C1346B9}"/>
    <cellStyle name="Normal 12 2 3 4 4" xfId="10122" xr:uid="{1E9DBD92-33E7-4CB3-A4DC-F90A34C2C13D}"/>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B98834C1-96BA-4A79-A4C3-A73BB9944066}"/>
    <cellStyle name="Normal 12 2 3 5 2 3" xfId="12680" xr:uid="{7E768F19-83A4-4321-9374-57B1DBCBE2FD}"/>
    <cellStyle name="Normal 12 2 3 5 3" xfId="6324" xr:uid="{00000000-0005-0000-0000-0000060E0000}"/>
    <cellStyle name="Normal 12 2 3 5 3 2" xfId="14753" xr:uid="{9EC012CF-1874-43B1-8831-803CA970AFB8}"/>
    <cellStyle name="Normal 12 2 3 5 4" xfId="10535" xr:uid="{E1559889-5C1D-45D0-965F-21F3DD759276}"/>
    <cellStyle name="Normal 12 2 3 6" xfId="2452" xr:uid="{00000000-0005-0000-0000-0000070E0000}"/>
    <cellStyle name="Normal 12 2 3 6 2" xfId="6737" xr:uid="{00000000-0005-0000-0000-0000080E0000}"/>
    <cellStyle name="Normal 12 2 3 6 2 2" xfId="15166" xr:uid="{C9F79E55-7B3A-4660-A40F-079D30FACDFF}"/>
    <cellStyle name="Normal 12 2 3 6 3" xfId="10948" xr:uid="{14215585-6241-43CF-A8C1-7CEE8EE1088D}"/>
    <cellStyle name="Normal 12 2 3 7" xfId="4671" xr:uid="{00000000-0005-0000-0000-0000090E0000}"/>
    <cellStyle name="Normal 12 2 3 7 2" xfId="13100" xr:uid="{93BE0991-83C4-4868-AFB9-5522ECE00282}"/>
    <cellStyle name="Normal 12 2 3 8" xfId="8882" xr:uid="{73B40E84-1ADF-4CD6-B4C3-713A43EFAE42}"/>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B806BF4B-2E42-4BFF-A11C-CC36DAA66037}"/>
    <cellStyle name="Normal 12 2 4 2 3" xfId="11438" xr:uid="{960F7052-07C3-4841-9B52-71D1340D6A1C}"/>
    <cellStyle name="Normal 12 2 4 3" xfId="5082" xr:uid="{00000000-0005-0000-0000-00000D0E0000}"/>
    <cellStyle name="Normal 12 2 4 3 2" xfId="13511" xr:uid="{A34C5016-C8F9-4724-99EA-3A283CA7AD67}"/>
    <cellStyle name="Normal 12 2 4 4" xfId="9293" xr:uid="{0DE18257-4272-4798-85B5-D452BB027BF9}"/>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D66151AD-DE00-446E-91BE-8AEADD9D7482}"/>
    <cellStyle name="Normal 12 2 5 2 3" xfId="11851" xr:uid="{D9C1FC3A-A759-41DA-902D-C2DA741F809A}"/>
    <cellStyle name="Normal 12 2 5 3" xfId="5495" xr:uid="{00000000-0005-0000-0000-0000110E0000}"/>
    <cellStyle name="Normal 12 2 5 3 2" xfId="13924" xr:uid="{FEB715EA-548B-4F49-AB2C-A13D5696403E}"/>
    <cellStyle name="Normal 12 2 5 4" xfId="9706" xr:uid="{E53ADD17-F3D0-48C6-A18F-5DBC3CD6D26E}"/>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177043BA-E094-42C2-ADC5-3C6D5D8E75A9}"/>
    <cellStyle name="Normal 12 2 6 2 3" xfId="12264" xr:uid="{EBC7072A-934D-466E-8F98-3878F43CA262}"/>
    <cellStyle name="Normal 12 2 6 3" xfId="5908" xr:uid="{00000000-0005-0000-0000-0000150E0000}"/>
    <cellStyle name="Normal 12 2 6 3 2" xfId="14337" xr:uid="{771EF26E-DC5B-4647-9630-20080D9C5438}"/>
    <cellStyle name="Normal 12 2 6 4" xfId="10119" xr:uid="{EF1917D2-E6E3-452E-A8A4-A7AEA1995A24}"/>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B8F985FC-8E2D-404A-9C77-EB9C9E73BEEA}"/>
    <cellStyle name="Normal 12 2 7 2 3" xfId="12677" xr:uid="{72C5FC6F-7034-46FB-88E4-9189596DE107}"/>
    <cellStyle name="Normal 12 2 7 3" xfId="6321" xr:uid="{00000000-0005-0000-0000-0000190E0000}"/>
    <cellStyle name="Normal 12 2 7 3 2" xfId="14750" xr:uid="{989284EF-2ECB-400A-803B-A99EA365B614}"/>
    <cellStyle name="Normal 12 2 7 4" xfId="10532" xr:uid="{733EDD48-5D97-4D8B-802B-C9677D0AD10F}"/>
    <cellStyle name="Normal 12 2 8" xfId="2449" xr:uid="{00000000-0005-0000-0000-00001A0E0000}"/>
    <cellStyle name="Normal 12 2 8 2" xfId="6734" xr:uid="{00000000-0005-0000-0000-00001B0E0000}"/>
    <cellStyle name="Normal 12 2 8 2 2" xfId="15163" xr:uid="{9B244007-AFA5-43A1-8D77-24EA8D78757D}"/>
    <cellStyle name="Normal 12 2 8 3" xfId="10945" xr:uid="{A9223CB8-DD00-446B-A611-C8D7F7977740}"/>
    <cellStyle name="Normal 12 2 9" xfId="4668" xr:uid="{00000000-0005-0000-0000-00001C0E0000}"/>
    <cellStyle name="Normal 12 2 9 2" xfId="13097" xr:uid="{1FE12C97-57DE-47E0-B822-A153D2D26D82}"/>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AB20F705-AFFF-4533-A534-0949E1BB5A62}"/>
    <cellStyle name="Normal 12 3 2 2 2 3" xfId="11443" xr:uid="{FD62F83C-219E-4996-8EB4-238E08114EC5}"/>
    <cellStyle name="Normal 12 3 2 2 3" xfId="5087" xr:uid="{00000000-0005-0000-0000-0000220E0000}"/>
    <cellStyle name="Normal 12 3 2 2 3 2" xfId="13516" xr:uid="{219ED8DE-3E88-4AA2-A77A-4994C40655BA}"/>
    <cellStyle name="Normal 12 3 2 2 4" xfId="9298" xr:uid="{27F98C68-BD61-4A33-967F-A6734537CA49}"/>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20BC4659-A550-4A3E-B5AD-662DA4324AF6}"/>
    <cellStyle name="Normal 12 3 2 3 2 3" xfId="11856" xr:uid="{5DBFE8B4-3657-4C63-B259-87A12FC99590}"/>
    <cellStyle name="Normal 12 3 2 3 3" xfId="5500" xr:uid="{00000000-0005-0000-0000-0000260E0000}"/>
    <cellStyle name="Normal 12 3 2 3 3 2" xfId="13929" xr:uid="{C056C2E2-F0B4-4796-BEB8-F6AD74D99C95}"/>
    <cellStyle name="Normal 12 3 2 3 4" xfId="9711" xr:uid="{6B65019B-AAE2-4513-8002-B2371ECBF550}"/>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D85494E4-5D1C-47D7-BF99-0A59764032BB}"/>
    <cellStyle name="Normal 12 3 2 4 2 3" xfId="12269" xr:uid="{DCD03DE8-E9BC-450E-86A0-D512B335D7D0}"/>
    <cellStyle name="Normal 12 3 2 4 3" xfId="5913" xr:uid="{00000000-0005-0000-0000-00002A0E0000}"/>
    <cellStyle name="Normal 12 3 2 4 3 2" xfId="14342" xr:uid="{B6B828A3-7508-44F9-B33F-748F1420B9A0}"/>
    <cellStyle name="Normal 12 3 2 4 4" xfId="10124" xr:uid="{C7E608D0-01C1-4E00-9A49-EEDCBC0D5BDD}"/>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5E0D49C3-CBD1-4215-A4BD-0E6A8C7C8EA9}"/>
    <cellStyle name="Normal 12 3 2 5 2 3" xfId="12682" xr:uid="{F9E92135-C548-4438-A104-BEBAA957369C}"/>
    <cellStyle name="Normal 12 3 2 5 3" xfId="6326" xr:uid="{00000000-0005-0000-0000-00002E0E0000}"/>
    <cellStyle name="Normal 12 3 2 5 3 2" xfId="14755" xr:uid="{97AA5293-ADC7-4734-B1E0-ADA1819C700E}"/>
    <cellStyle name="Normal 12 3 2 5 4" xfId="10537" xr:uid="{956124B7-14BC-4811-B84F-643F906A6C72}"/>
    <cellStyle name="Normal 12 3 2 6" xfId="2454" xr:uid="{00000000-0005-0000-0000-00002F0E0000}"/>
    <cellStyle name="Normal 12 3 2 6 2" xfId="6739" xr:uid="{00000000-0005-0000-0000-0000300E0000}"/>
    <cellStyle name="Normal 12 3 2 6 2 2" xfId="15168" xr:uid="{9AFDFF8B-549A-447C-BD38-B2CCB70AA1AC}"/>
    <cellStyle name="Normal 12 3 2 6 3" xfId="10950" xr:uid="{20AE72F8-50E2-4176-BC63-72971F4695B6}"/>
    <cellStyle name="Normal 12 3 2 7" xfId="4673" xr:uid="{00000000-0005-0000-0000-0000310E0000}"/>
    <cellStyle name="Normal 12 3 2 7 2" xfId="13102" xr:uid="{535E57D7-FF85-4572-B913-F468B5821BDD}"/>
    <cellStyle name="Normal 12 3 2 8" xfId="8884" xr:uid="{B3EC97C9-188C-432A-A7D4-892E889B0541}"/>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D334EE8D-A069-498F-93CB-84980C130217}"/>
    <cellStyle name="Normal 12 3 3 2 3" xfId="11442" xr:uid="{AD0E5C4F-68A0-4B67-B88F-35CC18EE8876}"/>
    <cellStyle name="Normal 12 3 3 3" xfId="5086" xr:uid="{00000000-0005-0000-0000-0000350E0000}"/>
    <cellStyle name="Normal 12 3 3 3 2" xfId="13515" xr:uid="{A53083B6-8CB2-4098-A1C3-93B9102AB89E}"/>
    <cellStyle name="Normal 12 3 3 4" xfId="9297" xr:uid="{F93B61A6-9D0A-433D-8654-F75F53B34EFE}"/>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4B3D9F04-08D8-44E4-9C93-2576088D44AD}"/>
    <cellStyle name="Normal 12 3 4 2 3" xfId="11855" xr:uid="{4D600BBC-6B9F-41AA-A18A-7430FB442608}"/>
    <cellStyle name="Normal 12 3 4 3" xfId="5499" xr:uid="{00000000-0005-0000-0000-0000390E0000}"/>
    <cellStyle name="Normal 12 3 4 3 2" xfId="13928" xr:uid="{77A4A6B5-7417-468B-A0BC-3F3525AE7AD4}"/>
    <cellStyle name="Normal 12 3 4 4" xfId="9710" xr:uid="{B284C6B4-7FAA-4514-84C1-45F9E3B39FBE}"/>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7981E8AA-8C3B-4E45-98AC-46DA6CAEE663}"/>
    <cellStyle name="Normal 12 3 5 2 3" xfId="12268" xr:uid="{E5F13C21-A287-4E73-BC3E-3F050CAB2FC1}"/>
    <cellStyle name="Normal 12 3 5 3" xfId="5912" xr:uid="{00000000-0005-0000-0000-00003D0E0000}"/>
    <cellStyle name="Normal 12 3 5 3 2" xfId="14341" xr:uid="{8023321A-8511-4E8B-B0AB-641CB1458CFC}"/>
    <cellStyle name="Normal 12 3 5 4" xfId="10123" xr:uid="{99475DE8-C4F3-413A-BB51-8157972273FD}"/>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EDC90F3E-36DA-47CF-B96C-3A078BDDB358}"/>
    <cellStyle name="Normal 12 3 6 2 3" xfId="12681" xr:uid="{736A8E9E-7260-4F5E-9225-ED26B71E355D}"/>
    <cellStyle name="Normal 12 3 6 3" xfId="6325" xr:uid="{00000000-0005-0000-0000-0000410E0000}"/>
    <cellStyle name="Normal 12 3 6 3 2" xfId="14754" xr:uid="{F50C86A0-11F8-47E6-9427-9D3B8621D655}"/>
    <cellStyle name="Normal 12 3 6 4" xfId="10536" xr:uid="{206BB9D8-1BCC-4508-BCC8-64AB57486816}"/>
    <cellStyle name="Normal 12 3 7" xfId="2453" xr:uid="{00000000-0005-0000-0000-0000420E0000}"/>
    <cellStyle name="Normal 12 3 7 2" xfId="6738" xr:uid="{00000000-0005-0000-0000-0000430E0000}"/>
    <cellStyle name="Normal 12 3 7 2 2" xfId="15167" xr:uid="{1BC41002-0910-4F0A-B6CE-CE6EE0DBF5C3}"/>
    <cellStyle name="Normal 12 3 7 3" xfId="10949" xr:uid="{4DF7D584-60DB-46DD-8A70-859251680405}"/>
    <cellStyle name="Normal 12 3 8" xfId="4672" xr:uid="{00000000-0005-0000-0000-0000440E0000}"/>
    <cellStyle name="Normal 12 3 8 2" xfId="13101" xr:uid="{2A9E0652-A92A-40D8-A048-2E6BEEA3A2DF}"/>
    <cellStyle name="Normal 12 3 9" xfId="8883" xr:uid="{94C13D6F-F6BA-4788-8E2E-72187B8C9D7F}"/>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FE930077-AA4C-46B5-8927-58445E4DE4F3}"/>
    <cellStyle name="Normal 12 4 2 2 3" xfId="11444" xr:uid="{AFB222F0-CFCD-4A8D-8179-5868039BA113}"/>
    <cellStyle name="Normal 12 4 2 3" xfId="5088" xr:uid="{00000000-0005-0000-0000-0000490E0000}"/>
    <cellStyle name="Normal 12 4 2 3 2" xfId="13517" xr:uid="{3FD84C12-7123-4554-ABD8-5925D5BB4D21}"/>
    <cellStyle name="Normal 12 4 2 4" xfId="9299" xr:uid="{2D5C3254-C2D5-4280-8417-958CD2A3AD3A}"/>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CEEABB97-32FF-468E-B8CF-83D28A56AAFD}"/>
    <cellStyle name="Normal 12 4 3 2 3" xfId="11857" xr:uid="{26990181-1EEB-4721-B7FF-DEF9600ABA5B}"/>
    <cellStyle name="Normal 12 4 3 3" xfId="5501" xr:uid="{00000000-0005-0000-0000-00004D0E0000}"/>
    <cellStyle name="Normal 12 4 3 3 2" xfId="13930" xr:uid="{6F0B08C2-9BF7-4C89-B16F-21965FCE008E}"/>
    <cellStyle name="Normal 12 4 3 4" xfId="9712" xr:uid="{8F195F40-55E9-4452-A052-207A1C077648}"/>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236AD957-F4A4-486B-B785-F1EBCBE986AD}"/>
    <cellStyle name="Normal 12 4 4 2 3" xfId="12270" xr:uid="{E03115C9-4472-4CBD-9804-1C7F7106F6A2}"/>
    <cellStyle name="Normal 12 4 4 3" xfId="5914" xr:uid="{00000000-0005-0000-0000-0000510E0000}"/>
    <cellStyle name="Normal 12 4 4 3 2" xfId="14343" xr:uid="{C2775461-6757-451F-8DCD-F7117100BF80}"/>
    <cellStyle name="Normal 12 4 4 4" xfId="10125" xr:uid="{C3FDB6A8-75C8-400B-BC0E-753B44183357}"/>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68302531-A596-42D1-9405-4638FBE7281C}"/>
    <cellStyle name="Normal 12 4 5 2 3" xfId="12683" xr:uid="{29C26313-986A-4DBC-A623-000D7C22EE92}"/>
    <cellStyle name="Normal 12 4 5 3" xfId="6327" xr:uid="{00000000-0005-0000-0000-0000550E0000}"/>
    <cellStyle name="Normal 12 4 5 3 2" xfId="14756" xr:uid="{BF684D54-CEB9-49D0-B677-1FCEE22C7A09}"/>
    <cellStyle name="Normal 12 4 5 4" xfId="10538" xr:uid="{BE29BAEC-FB0E-468E-998A-38BF34A26ED8}"/>
    <cellStyle name="Normal 12 4 6" xfId="2455" xr:uid="{00000000-0005-0000-0000-0000560E0000}"/>
    <cellStyle name="Normal 12 4 6 2" xfId="6740" xr:uid="{00000000-0005-0000-0000-0000570E0000}"/>
    <cellStyle name="Normal 12 4 6 2 2" xfId="15169" xr:uid="{DAB79B0D-021C-48C3-8B42-819000E1D91B}"/>
    <cellStyle name="Normal 12 4 6 3" xfId="10951" xr:uid="{87A3F4A9-1F66-48A2-B3C4-A8597A2B0F23}"/>
    <cellStyle name="Normal 12 4 7" xfId="4674" xr:uid="{00000000-0005-0000-0000-0000580E0000}"/>
    <cellStyle name="Normal 12 4 7 2" xfId="13103" xr:uid="{10D16539-81BE-4C9C-8786-977A72602C57}"/>
    <cellStyle name="Normal 12 4 8" xfId="8885" xr:uid="{2DA3D714-D4E1-4843-B84D-2DEC6225FB05}"/>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6B8A265F-B9A8-4CC6-ADEF-D87FE6E0C02E}"/>
    <cellStyle name="Normal 12 6 2 3" xfId="11437" xr:uid="{7584E1B2-CBDD-49DE-AE4C-55CEC4EDDC93}"/>
    <cellStyle name="Normal 12 6 3" xfId="5081" xr:uid="{00000000-0005-0000-0000-00005D0E0000}"/>
    <cellStyle name="Normal 12 6 3 2" xfId="13510" xr:uid="{1FA2D333-384C-425F-BDDF-87653F443253}"/>
    <cellStyle name="Normal 12 6 4" xfId="9292" xr:uid="{E58A4806-E518-4C0F-B691-EB9665687C27}"/>
    <cellStyle name="Normal 12 7" xfId="1184" xr:uid="{00000000-0005-0000-0000-00005E0E0000}"/>
    <cellStyle name="Normal 12 7 2" xfId="3415" xr:uid="{00000000-0005-0000-0000-00005F0E0000}"/>
    <cellStyle name="Normal 12 7 2 2" xfId="7639" xr:uid="{00000000-0005-0000-0000-0000600E0000}"/>
    <cellStyle name="Normal 12 7 2 2 2" xfId="16068" xr:uid="{E39D81E9-04E2-4F17-AEB5-0CB61C0F8204}"/>
    <cellStyle name="Normal 12 7 2 3" xfId="11850" xr:uid="{D2CC452D-EDD7-4E2D-BB6F-E06687CC4A89}"/>
    <cellStyle name="Normal 12 7 3" xfId="5494" xr:uid="{00000000-0005-0000-0000-0000610E0000}"/>
    <cellStyle name="Normal 12 7 3 2" xfId="13923" xr:uid="{C7FDE1B6-D30C-4026-B426-CBFEF1DEFBA3}"/>
    <cellStyle name="Normal 12 7 4" xfId="9705" xr:uid="{185F6421-B7FD-428B-863D-8A9C117F2D2B}"/>
    <cellStyle name="Normal 12 8" xfId="1598" xr:uid="{00000000-0005-0000-0000-0000620E0000}"/>
    <cellStyle name="Normal 12 8 2" xfId="3828" xr:uid="{00000000-0005-0000-0000-0000630E0000}"/>
    <cellStyle name="Normal 12 8 2 2" xfId="8052" xr:uid="{00000000-0005-0000-0000-0000640E0000}"/>
    <cellStyle name="Normal 12 8 2 2 2" xfId="16481" xr:uid="{3FFD43A4-10CB-4D64-B15E-DEABCD592A2D}"/>
    <cellStyle name="Normal 12 8 2 3" xfId="12263" xr:uid="{30012356-9D35-4079-B518-B6A795179BDE}"/>
    <cellStyle name="Normal 12 8 3" xfId="5907" xr:uid="{00000000-0005-0000-0000-0000650E0000}"/>
    <cellStyle name="Normal 12 8 3 2" xfId="14336" xr:uid="{0F39A210-34FF-4E3D-82F1-3A9032F618F1}"/>
    <cellStyle name="Normal 12 8 4" xfId="10118" xr:uid="{98B16247-1109-4EA0-A842-AAD7D5CE1D27}"/>
    <cellStyle name="Normal 12 9" xfId="2012" xr:uid="{00000000-0005-0000-0000-0000660E0000}"/>
    <cellStyle name="Normal 12 9 2" xfId="4241" xr:uid="{00000000-0005-0000-0000-0000670E0000}"/>
    <cellStyle name="Normal 12 9 2 2" xfId="8465" xr:uid="{00000000-0005-0000-0000-0000680E0000}"/>
    <cellStyle name="Normal 12 9 2 2 2" xfId="16894" xr:uid="{99AEAB82-D5A4-4AF0-800A-D4A8A688906C}"/>
    <cellStyle name="Normal 12 9 2 3" xfId="12676" xr:uid="{75BBC32E-5A2E-40D9-9226-9F577F403688}"/>
    <cellStyle name="Normal 12 9 3" xfId="6320" xr:uid="{00000000-0005-0000-0000-0000690E0000}"/>
    <cellStyle name="Normal 12 9 3 2" xfId="14749" xr:uid="{6533B613-01C8-4E6B-B6F6-217343EF6A5C}"/>
    <cellStyle name="Normal 12 9 4" xfId="10531" xr:uid="{15D0A5DE-707D-41F3-9E5C-F554495C8CEE}"/>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3FE260C1-1983-4FEA-B154-ECB5F02A07EE}"/>
    <cellStyle name="Normal 14 2 2 3" xfId="11445" xr:uid="{38A8A676-4AA6-4271-BB85-F9CE26895FF0}"/>
    <cellStyle name="Normal 14 2 3" xfId="5089" xr:uid="{00000000-0005-0000-0000-0000700E0000}"/>
    <cellStyle name="Normal 14 2 3 2" xfId="13518" xr:uid="{FC806075-34FD-487A-83BF-27C0C0391865}"/>
    <cellStyle name="Normal 14 2 4" xfId="9300" xr:uid="{DECABDFF-3362-4F89-995C-1E7B71906056}"/>
    <cellStyle name="Normal 14 3" xfId="1192" xr:uid="{00000000-0005-0000-0000-0000710E0000}"/>
    <cellStyle name="Normal 14 3 2" xfId="3423" xr:uid="{00000000-0005-0000-0000-0000720E0000}"/>
    <cellStyle name="Normal 14 3 2 2" xfId="7647" xr:uid="{00000000-0005-0000-0000-0000730E0000}"/>
    <cellStyle name="Normal 14 3 2 2 2" xfId="16076" xr:uid="{EE01AC82-C208-4437-A437-089FEBE9798F}"/>
    <cellStyle name="Normal 14 3 2 3" xfId="11858" xr:uid="{96AD66FC-3F3E-4821-B33A-E371F2A87D4A}"/>
    <cellStyle name="Normal 14 3 3" xfId="5502" xr:uid="{00000000-0005-0000-0000-0000740E0000}"/>
    <cellStyle name="Normal 14 3 3 2" xfId="13931" xr:uid="{1D8C014C-A5DF-42DE-8C4A-6AA447C16E4C}"/>
    <cellStyle name="Normal 14 3 4" xfId="9713" xr:uid="{547940CC-6359-41BB-8412-0BF73A10B6AF}"/>
    <cellStyle name="Normal 14 4" xfId="1606" xr:uid="{00000000-0005-0000-0000-0000750E0000}"/>
    <cellStyle name="Normal 14 4 2" xfId="3836" xr:uid="{00000000-0005-0000-0000-0000760E0000}"/>
    <cellStyle name="Normal 14 4 2 2" xfId="8060" xr:uid="{00000000-0005-0000-0000-0000770E0000}"/>
    <cellStyle name="Normal 14 4 2 2 2" xfId="16489" xr:uid="{5E19635D-BAD7-4B88-9043-B2FC2AA958C3}"/>
    <cellStyle name="Normal 14 4 2 3" xfId="12271" xr:uid="{16C8D5E1-A344-4C03-8E56-40E9F10DAD62}"/>
    <cellStyle name="Normal 14 4 3" xfId="5915" xr:uid="{00000000-0005-0000-0000-0000780E0000}"/>
    <cellStyle name="Normal 14 4 3 2" xfId="14344" xr:uid="{094BC3E9-EA56-406E-B394-A9AFE3EAC03A}"/>
    <cellStyle name="Normal 14 4 4" xfId="10126" xr:uid="{3774690D-C82E-4403-96F4-F248E1551756}"/>
    <cellStyle name="Normal 14 5" xfId="2020" xr:uid="{00000000-0005-0000-0000-0000790E0000}"/>
    <cellStyle name="Normal 14 5 2" xfId="4249" xr:uid="{00000000-0005-0000-0000-00007A0E0000}"/>
    <cellStyle name="Normal 14 5 2 2" xfId="8473" xr:uid="{00000000-0005-0000-0000-00007B0E0000}"/>
    <cellStyle name="Normal 14 5 2 2 2" xfId="16902" xr:uid="{34E6DE3D-D7ED-4D32-BD64-FACFEE47FB36}"/>
    <cellStyle name="Normal 14 5 2 3" xfId="12684" xr:uid="{C278DFED-FA20-441D-BBBD-804BC83D167E}"/>
    <cellStyle name="Normal 14 5 3" xfId="6328" xr:uid="{00000000-0005-0000-0000-00007C0E0000}"/>
    <cellStyle name="Normal 14 5 3 2" xfId="14757" xr:uid="{F8D5D5F3-1AF4-4FF2-88A1-9FC538E4BC13}"/>
    <cellStyle name="Normal 14 5 4" xfId="10539" xr:uid="{834E6DEB-2E1D-46E6-9C66-B4D5FFE5A73E}"/>
    <cellStyle name="Normal 14 6" xfId="2456" xr:uid="{00000000-0005-0000-0000-00007D0E0000}"/>
    <cellStyle name="Normal 14 6 2" xfId="6741" xr:uid="{00000000-0005-0000-0000-00007E0E0000}"/>
    <cellStyle name="Normal 14 6 2 2" xfId="15170" xr:uid="{CC917B5C-2C0B-4985-A42C-AECFD1CF3924}"/>
    <cellStyle name="Normal 14 6 3" xfId="10952" xr:uid="{9545929D-8135-4BD9-8AEF-31475CA7BEB2}"/>
    <cellStyle name="Normal 14 7" xfId="4675" xr:uid="{00000000-0005-0000-0000-00007F0E0000}"/>
    <cellStyle name="Normal 14 7 2" xfId="13104" xr:uid="{0B56A6A5-367F-4245-9482-00B17FA5F31B}"/>
    <cellStyle name="Normal 14 8" xfId="8886" xr:uid="{6A46C378-4B35-4BFC-90E5-5D39D3139478}"/>
    <cellStyle name="Normal 15" xfId="4497" xr:uid="{00000000-0005-0000-0000-0000800E0000}"/>
    <cellStyle name="Normal 15 2" xfId="12930" xr:uid="{230BB519-4A28-4E3F-AF3E-9810A32176BE}"/>
    <cellStyle name="Normal 16" xfId="4501" xr:uid="{00000000-0005-0000-0000-0000810E0000}"/>
    <cellStyle name="Normal 16 2" xfId="12933" xr:uid="{1641DB4D-F97E-409A-933A-AF63670B0041}"/>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F2E90FD1-3C39-418A-B5BF-7C2031A7A584}"/>
    <cellStyle name="Normal 2 4 2 10 2 3" xfId="12685" xr:uid="{9F67BD67-D18E-47DB-A754-01E568656D62}"/>
    <cellStyle name="Normal 2 4 2 10 3" xfId="6329" xr:uid="{00000000-0005-0000-0000-0000900E0000}"/>
    <cellStyle name="Normal 2 4 2 10 3 2" xfId="14758" xr:uid="{10B19DE7-05E4-4483-9866-3A420D5DAFA9}"/>
    <cellStyle name="Normal 2 4 2 10 4" xfId="10540" xr:uid="{35F06CC6-E88C-4F00-A04C-B390D3A54B05}"/>
    <cellStyle name="Normal 2 4 2 11" xfId="2457" xr:uid="{00000000-0005-0000-0000-0000910E0000}"/>
    <cellStyle name="Normal 2 4 2 11 2" xfId="6742" xr:uid="{00000000-0005-0000-0000-0000920E0000}"/>
    <cellStyle name="Normal 2 4 2 11 2 2" xfId="15171" xr:uid="{4BCBE35C-7F9D-4168-AF0E-51D2CCA7DB53}"/>
    <cellStyle name="Normal 2 4 2 11 3" xfId="10953" xr:uid="{60038A7B-2C50-4C50-9A8E-177D0CEFC3F3}"/>
    <cellStyle name="Normal 2 4 2 12" xfId="4676" xr:uid="{00000000-0005-0000-0000-0000930E0000}"/>
    <cellStyle name="Normal 2 4 2 12 2" xfId="13105" xr:uid="{BAB75900-E7AC-4C94-A28B-B537319ECBDE}"/>
    <cellStyle name="Normal 2 4 2 13" xfId="8887" xr:uid="{DFCB158E-6DA2-4B0F-B42F-CD502543694C}"/>
    <cellStyle name="Normal 2 4 2 2" xfId="280" xr:uid="{00000000-0005-0000-0000-0000940E0000}"/>
    <cellStyle name="Normal 2 4 2 3" xfId="281" xr:uid="{00000000-0005-0000-0000-0000950E0000}"/>
    <cellStyle name="Normal 2 4 2 3 10" xfId="4677" xr:uid="{00000000-0005-0000-0000-0000960E0000}"/>
    <cellStyle name="Normal 2 4 2 3 10 2" xfId="13106" xr:uid="{B3AE1E7A-DDB8-4510-9114-9A916896BABA}"/>
    <cellStyle name="Normal 2 4 2 3 11" xfId="8888" xr:uid="{939C01A2-564C-46DD-9326-55156E453FD7}"/>
    <cellStyle name="Normal 2 4 2 3 2" xfId="282" xr:uid="{00000000-0005-0000-0000-0000970E0000}"/>
    <cellStyle name="Normal 2 4 2 3 2 10" xfId="8889" xr:uid="{1A4DCDC4-540E-4BA9-8335-4D4183917B55}"/>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BCABBCEA-3E63-49D6-A8F0-B97BA80A5472}"/>
    <cellStyle name="Normal 2 4 2 3 2 2 2 2 2 3" xfId="11450" xr:uid="{F6853A0A-9A50-4F68-8E19-98CAB6C6C3C2}"/>
    <cellStyle name="Normal 2 4 2 3 2 2 2 2 3" xfId="5094" xr:uid="{00000000-0005-0000-0000-00009D0E0000}"/>
    <cellStyle name="Normal 2 4 2 3 2 2 2 2 3 2" xfId="13523" xr:uid="{CCB13D3F-2629-4535-A500-00F9BE39630C}"/>
    <cellStyle name="Normal 2 4 2 3 2 2 2 2 4" xfId="9305" xr:uid="{7D599551-936B-495B-9204-BBCEB747A995}"/>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5359FAE2-5EEB-4F8E-9B16-03D82E8593B5}"/>
    <cellStyle name="Normal 2 4 2 3 2 2 2 3 2 3" xfId="11863" xr:uid="{34207E52-91F7-4F56-BF0F-A3E7D82DD800}"/>
    <cellStyle name="Normal 2 4 2 3 2 2 2 3 3" xfId="5507" xr:uid="{00000000-0005-0000-0000-0000A10E0000}"/>
    <cellStyle name="Normal 2 4 2 3 2 2 2 3 3 2" xfId="13936" xr:uid="{C3D41CAC-E7BE-4268-B830-0550BA610C3F}"/>
    <cellStyle name="Normal 2 4 2 3 2 2 2 3 4" xfId="9718" xr:uid="{A50D6459-C63E-4C78-B66C-1D61145BB7D1}"/>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018B0815-AA34-487C-911F-BEA93EC6B2A5}"/>
    <cellStyle name="Normal 2 4 2 3 2 2 2 4 2 3" xfId="12276" xr:uid="{5A313DF3-0583-4698-9B82-253A50873145}"/>
    <cellStyle name="Normal 2 4 2 3 2 2 2 4 3" xfId="5920" xr:uid="{00000000-0005-0000-0000-0000A50E0000}"/>
    <cellStyle name="Normal 2 4 2 3 2 2 2 4 3 2" xfId="14349" xr:uid="{57DAF360-8CBE-4E26-8CF8-829127B0641A}"/>
    <cellStyle name="Normal 2 4 2 3 2 2 2 4 4" xfId="10131" xr:uid="{21520F24-7DCD-4272-9232-922033ECDFC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8663DC8B-AC6A-4BE3-B258-BDE7A9B16BFB}"/>
    <cellStyle name="Normal 2 4 2 3 2 2 2 5 2 3" xfId="12689" xr:uid="{4FE3E0F9-46CA-4490-B76D-483136F94141}"/>
    <cellStyle name="Normal 2 4 2 3 2 2 2 5 3" xfId="6333" xr:uid="{00000000-0005-0000-0000-0000A90E0000}"/>
    <cellStyle name="Normal 2 4 2 3 2 2 2 5 3 2" xfId="14762" xr:uid="{3E5EDFE9-EBF9-4793-A992-039C554567AB}"/>
    <cellStyle name="Normal 2 4 2 3 2 2 2 5 4" xfId="10544" xr:uid="{2153E86E-7E8F-4DF8-BD65-D6C5AFC16521}"/>
    <cellStyle name="Normal 2 4 2 3 2 2 2 6" xfId="2461" xr:uid="{00000000-0005-0000-0000-0000AA0E0000}"/>
    <cellStyle name="Normal 2 4 2 3 2 2 2 6 2" xfId="6746" xr:uid="{00000000-0005-0000-0000-0000AB0E0000}"/>
    <cellStyle name="Normal 2 4 2 3 2 2 2 6 2 2" xfId="15175" xr:uid="{9E0D9609-427E-4E31-B555-3E7D755E42AE}"/>
    <cellStyle name="Normal 2 4 2 3 2 2 2 6 3" xfId="10957" xr:uid="{56EB3969-2E22-45A5-A67D-3AB1522EF900}"/>
    <cellStyle name="Normal 2 4 2 3 2 2 2 7" xfId="4680" xr:uid="{00000000-0005-0000-0000-0000AC0E0000}"/>
    <cellStyle name="Normal 2 4 2 3 2 2 2 7 2" xfId="13109" xr:uid="{06428283-3F86-4628-9056-CC16E7B9101E}"/>
    <cellStyle name="Normal 2 4 2 3 2 2 2 8" xfId="8891" xr:uid="{FBC65CE1-49F2-4EB4-8D2E-378475B6EFCD}"/>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7839CE94-7526-42FD-AF17-E7F5393E6BAB}"/>
    <cellStyle name="Normal 2 4 2 3 2 2 3 2 3" xfId="11449" xr:uid="{CBFDD546-12F2-4AFD-8BEF-623BB68B5F49}"/>
    <cellStyle name="Normal 2 4 2 3 2 2 3 3" xfId="5093" xr:uid="{00000000-0005-0000-0000-0000B00E0000}"/>
    <cellStyle name="Normal 2 4 2 3 2 2 3 3 2" xfId="13522" xr:uid="{34D9EEA0-EF6F-4957-BE13-9DFE1E11A27D}"/>
    <cellStyle name="Normal 2 4 2 3 2 2 3 4" xfId="9304" xr:uid="{5B6CC238-74B3-4E83-A171-FDECA9B8DD11}"/>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BFA6FAE5-023B-4B05-9ED6-542E0004C9CB}"/>
    <cellStyle name="Normal 2 4 2 3 2 2 4 2 3" xfId="11862" xr:uid="{1F1C690D-8023-4516-A99F-F28E0AF40086}"/>
    <cellStyle name="Normal 2 4 2 3 2 2 4 3" xfId="5506" xr:uid="{00000000-0005-0000-0000-0000B40E0000}"/>
    <cellStyle name="Normal 2 4 2 3 2 2 4 3 2" xfId="13935" xr:uid="{EBA22EDC-CE27-424B-A4FF-71CF756BE92E}"/>
    <cellStyle name="Normal 2 4 2 3 2 2 4 4" xfId="9717" xr:uid="{804C84AF-2C64-448E-BACA-9D47AD185722}"/>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E80552B9-0A9B-4A5C-931D-45FFFBE13123}"/>
    <cellStyle name="Normal 2 4 2 3 2 2 5 2 3" xfId="12275" xr:uid="{3146AFA0-54E6-421B-B1F1-2EE360DF9709}"/>
    <cellStyle name="Normal 2 4 2 3 2 2 5 3" xfId="5919" xr:uid="{00000000-0005-0000-0000-0000B80E0000}"/>
    <cellStyle name="Normal 2 4 2 3 2 2 5 3 2" xfId="14348" xr:uid="{1E55E80B-B231-411C-92E1-1AE24450A182}"/>
    <cellStyle name="Normal 2 4 2 3 2 2 5 4" xfId="10130" xr:uid="{2D6C3119-2CCF-4D20-AAAA-6E609FF34E79}"/>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C8A2C821-F2EA-4C44-82DD-FA0ADCA79BAF}"/>
    <cellStyle name="Normal 2 4 2 3 2 2 6 2 3" xfId="12688" xr:uid="{CB763702-8926-48D1-8FFB-E1DE946171FD}"/>
    <cellStyle name="Normal 2 4 2 3 2 2 6 3" xfId="6332" xr:uid="{00000000-0005-0000-0000-0000BC0E0000}"/>
    <cellStyle name="Normal 2 4 2 3 2 2 6 3 2" xfId="14761" xr:uid="{F46ABD78-D43F-495F-B8A4-3D00C6748757}"/>
    <cellStyle name="Normal 2 4 2 3 2 2 6 4" xfId="10543" xr:uid="{E5ADF9F2-E6E7-4BCB-999C-44B99A94B0D2}"/>
    <cellStyle name="Normal 2 4 2 3 2 2 7" xfId="2460" xr:uid="{00000000-0005-0000-0000-0000BD0E0000}"/>
    <cellStyle name="Normal 2 4 2 3 2 2 7 2" xfId="6745" xr:uid="{00000000-0005-0000-0000-0000BE0E0000}"/>
    <cellStyle name="Normal 2 4 2 3 2 2 7 2 2" xfId="15174" xr:uid="{A7261BA3-2182-47F5-B1AA-680C0E087649}"/>
    <cellStyle name="Normal 2 4 2 3 2 2 7 3" xfId="10956" xr:uid="{9B089BB8-BE61-4E4C-862D-C5F4FCA95A48}"/>
    <cellStyle name="Normal 2 4 2 3 2 2 8" xfId="4679" xr:uid="{00000000-0005-0000-0000-0000BF0E0000}"/>
    <cellStyle name="Normal 2 4 2 3 2 2 8 2" xfId="13108" xr:uid="{52FFAED1-5A8F-42C2-831A-5441A45C72DC}"/>
    <cellStyle name="Normal 2 4 2 3 2 2 9" xfId="8890" xr:uid="{568D434C-774D-489B-B77D-C2DCEFA7859B}"/>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6BE83AA2-E4ED-4184-A6DE-9DC10AD24D6D}"/>
    <cellStyle name="Normal 2 4 2 3 2 3 2 2 3" xfId="11451" xr:uid="{77ED6AC8-7C5A-4AB9-9FA5-55A4BDEF8BC4}"/>
    <cellStyle name="Normal 2 4 2 3 2 3 2 3" xfId="5095" xr:uid="{00000000-0005-0000-0000-0000C40E0000}"/>
    <cellStyle name="Normal 2 4 2 3 2 3 2 3 2" xfId="13524" xr:uid="{27F46D10-6829-43AD-8D7D-FDFAB0495249}"/>
    <cellStyle name="Normal 2 4 2 3 2 3 2 4" xfId="9306" xr:uid="{4F677C82-82DF-454E-AB10-8FFA1332C548}"/>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E906BF1A-C324-43AA-A3AB-6B8C95B5740F}"/>
    <cellStyle name="Normal 2 4 2 3 2 3 3 2 3" xfId="11864" xr:uid="{101178FA-FBB8-4DF6-A940-BC6CC824ADE4}"/>
    <cellStyle name="Normal 2 4 2 3 2 3 3 3" xfId="5508" xr:uid="{00000000-0005-0000-0000-0000C80E0000}"/>
    <cellStyle name="Normal 2 4 2 3 2 3 3 3 2" xfId="13937" xr:uid="{E17D8BFB-5B09-4CE4-926B-72B0E02DF939}"/>
    <cellStyle name="Normal 2 4 2 3 2 3 3 4" xfId="9719" xr:uid="{D1E9FD85-8057-455C-BB78-BB091845E6FA}"/>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9C12CF48-E85E-4794-8740-121D5417DE2F}"/>
    <cellStyle name="Normal 2 4 2 3 2 3 4 2 3" xfId="12277" xr:uid="{4E880F59-84D4-4E72-A5D0-8439F3088A95}"/>
    <cellStyle name="Normal 2 4 2 3 2 3 4 3" xfId="5921" xr:uid="{00000000-0005-0000-0000-0000CC0E0000}"/>
    <cellStyle name="Normal 2 4 2 3 2 3 4 3 2" xfId="14350" xr:uid="{3448BC48-3E7A-454D-883C-F257A80548A9}"/>
    <cellStyle name="Normal 2 4 2 3 2 3 4 4" xfId="10132" xr:uid="{841EE8DC-76EF-4907-81F9-1CC24BFE1B79}"/>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44B10689-848C-46CE-AE0E-E7DC793BD67D}"/>
    <cellStyle name="Normal 2 4 2 3 2 3 5 2 3" xfId="12690" xr:uid="{A6B7B6F2-5C22-4A02-A8AC-E2ED713A6511}"/>
    <cellStyle name="Normal 2 4 2 3 2 3 5 3" xfId="6334" xr:uid="{00000000-0005-0000-0000-0000D00E0000}"/>
    <cellStyle name="Normal 2 4 2 3 2 3 5 3 2" xfId="14763" xr:uid="{7C53C75C-1531-45CC-8000-34C77CA441E3}"/>
    <cellStyle name="Normal 2 4 2 3 2 3 5 4" xfId="10545" xr:uid="{80B7D477-0901-4C59-B0B9-F0BCA17C785D}"/>
    <cellStyle name="Normal 2 4 2 3 2 3 6" xfId="2462" xr:uid="{00000000-0005-0000-0000-0000D10E0000}"/>
    <cellStyle name="Normal 2 4 2 3 2 3 6 2" xfId="6747" xr:uid="{00000000-0005-0000-0000-0000D20E0000}"/>
    <cellStyle name="Normal 2 4 2 3 2 3 6 2 2" xfId="15176" xr:uid="{99FFF9B0-9599-4593-9E98-C4BAE36AE59E}"/>
    <cellStyle name="Normal 2 4 2 3 2 3 6 3" xfId="10958" xr:uid="{6A0AA277-4C43-4DA6-A015-53F2F6DC459C}"/>
    <cellStyle name="Normal 2 4 2 3 2 3 7" xfId="4681" xr:uid="{00000000-0005-0000-0000-0000D30E0000}"/>
    <cellStyle name="Normal 2 4 2 3 2 3 7 2" xfId="13110" xr:uid="{C8FE503B-FEB9-4F2E-9415-D77A5B2ADBE7}"/>
    <cellStyle name="Normal 2 4 2 3 2 3 8" xfId="8892" xr:uid="{6C1775B2-2173-4423-A265-516DBAA9CFFC}"/>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AFA8EDF6-4091-4C99-BD76-8989CD5210F0}"/>
    <cellStyle name="Normal 2 4 2 3 2 4 2 3" xfId="11448" xr:uid="{48DFF43A-4849-4C29-82A4-2D8F2E840200}"/>
    <cellStyle name="Normal 2 4 2 3 2 4 3" xfId="5092" xr:uid="{00000000-0005-0000-0000-0000D70E0000}"/>
    <cellStyle name="Normal 2 4 2 3 2 4 3 2" xfId="13521" xr:uid="{C3DF8ECE-703E-4366-82D6-B6CF185C16E2}"/>
    <cellStyle name="Normal 2 4 2 3 2 4 4" xfId="9303" xr:uid="{7C5E671B-E1DB-407B-BDBA-0189C362B294}"/>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53B75C68-51CE-432D-9418-0DC03FCEF05D}"/>
    <cellStyle name="Normal 2 4 2 3 2 5 2 3" xfId="11861" xr:uid="{CCBD22B7-AC01-439C-B1A5-182910BD5081}"/>
    <cellStyle name="Normal 2 4 2 3 2 5 3" xfId="5505" xr:uid="{00000000-0005-0000-0000-0000DB0E0000}"/>
    <cellStyle name="Normal 2 4 2 3 2 5 3 2" xfId="13934" xr:uid="{BB504598-D487-42EB-9138-61D34C4A9874}"/>
    <cellStyle name="Normal 2 4 2 3 2 5 4" xfId="9716" xr:uid="{B86A0632-A42B-43E6-A282-6C42AE73810E}"/>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43C2B05C-97FC-4F46-AF3A-FB3E1FD829E5}"/>
    <cellStyle name="Normal 2 4 2 3 2 6 2 3" xfId="12274" xr:uid="{9818E46D-97E4-42F9-B28E-70E31D64CB63}"/>
    <cellStyle name="Normal 2 4 2 3 2 6 3" xfId="5918" xr:uid="{00000000-0005-0000-0000-0000DF0E0000}"/>
    <cellStyle name="Normal 2 4 2 3 2 6 3 2" xfId="14347" xr:uid="{5ABC11DE-6A27-4A57-93B7-91725F44E4E5}"/>
    <cellStyle name="Normal 2 4 2 3 2 6 4" xfId="10129" xr:uid="{A981563F-F2BD-449F-857B-BDB098148438}"/>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F31B30FA-9FF4-472A-8CAE-93F87CAEED8E}"/>
    <cellStyle name="Normal 2 4 2 3 2 7 2 3" xfId="12687" xr:uid="{37506133-79AA-4F0A-B346-3465325EAA47}"/>
    <cellStyle name="Normal 2 4 2 3 2 7 3" xfId="6331" xr:uid="{00000000-0005-0000-0000-0000E30E0000}"/>
    <cellStyle name="Normal 2 4 2 3 2 7 3 2" xfId="14760" xr:uid="{23B56A3A-8A0D-467D-83B1-93B289946B08}"/>
    <cellStyle name="Normal 2 4 2 3 2 7 4" xfId="10542" xr:uid="{3D22C5D3-AA08-4595-B30B-AB09CCAE9387}"/>
    <cellStyle name="Normal 2 4 2 3 2 8" xfId="2459" xr:uid="{00000000-0005-0000-0000-0000E40E0000}"/>
    <cellStyle name="Normal 2 4 2 3 2 8 2" xfId="6744" xr:uid="{00000000-0005-0000-0000-0000E50E0000}"/>
    <cellStyle name="Normal 2 4 2 3 2 8 2 2" xfId="15173" xr:uid="{A6F151BB-34FF-4C65-AFA3-9A7D451A6418}"/>
    <cellStyle name="Normal 2 4 2 3 2 8 3" xfId="10955" xr:uid="{1C98CFFC-4AF3-4CFC-829F-5BFF38A977BE}"/>
    <cellStyle name="Normal 2 4 2 3 2 9" xfId="4678" xr:uid="{00000000-0005-0000-0000-0000E60E0000}"/>
    <cellStyle name="Normal 2 4 2 3 2 9 2" xfId="13107" xr:uid="{8043ED37-89C5-4A42-AAA5-AAA80093733F}"/>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1A333C99-689F-4065-81F1-745807330320}"/>
    <cellStyle name="Normal 2 4 2 3 3 2 2 2 3" xfId="11453" xr:uid="{8294EF1C-9800-4A76-BEC4-DDE16E549D68}"/>
    <cellStyle name="Normal 2 4 2 3 3 2 2 3" xfId="5097" xr:uid="{00000000-0005-0000-0000-0000EC0E0000}"/>
    <cellStyle name="Normal 2 4 2 3 3 2 2 3 2" xfId="13526" xr:uid="{E801A913-B4F6-4A72-A194-861711352FE6}"/>
    <cellStyle name="Normal 2 4 2 3 3 2 2 4" xfId="9308" xr:uid="{FDDDC8B2-1E78-4551-A178-D42BA8F9C17E}"/>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D83D603C-DD05-472E-B99E-A6794B27B652}"/>
    <cellStyle name="Normal 2 4 2 3 3 2 3 2 3" xfId="11866" xr:uid="{9D311DDB-1C62-449B-8329-E68A449F6CE0}"/>
    <cellStyle name="Normal 2 4 2 3 3 2 3 3" xfId="5510" xr:uid="{00000000-0005-0000-0000-0000F00E0000}"/>
    <cellStyle name="Normal 2 4 2 3 3 2 3 3 2" xfId="13939" xr:uid="{E194F23C-3E41-4DF7-807B-DBA8F44F1302}"/>
    <cellStyle name="Normal 2 4 2 3 3 2 3 4" xfId="9721" xr:uid="{98C67FEE-9650-4EC1-BCFA-39EC6C51EE66}"/>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790B5AEA-83C1-44FC-86A4-A897281C621F}"/>
    <cellStyle name="Normal 2 4 2 3 3 2 4 2 3" xfId="12279" xr:uid="{2355B277-0838-4D6A-A48E-6246C8BBBF49}"/>
    <cellStyle name="Normal 2 4 2 3 3 2 4 3" xfId="5923" xr:uid="{00000000-0005-0000-0000-0000F40E0000}"/>
    <cellStyle name="Normal 2 4 2 3 3 2 4 3 2" xfId="14352" xr:uid="{F4FB6C0B-7188-4A10-99CF-6F1E86A34AD2}"/>
    <cellStyle name="Normal 2 4 2 3 3 2 4 4" xfId="10134" xr:uid="{EBD7FEB6-93F0-4BAD-8107-8612160D3AE9}"/>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B93CCB59-CF03-4EC4-8F6A-B6FB43E3F713}"/>
    <cellStyle name="Normal 2 4 2 3 3 2 5 2 3" xfId="12692" xr:uid="{49DFD61B-3857-43C9-8C9A-D1683E4ED023}"/>
    <cellStyle name="Normal 2 4 2 3 3 2 5 3" xfId="6336" xr:uid="{00000000-0005-0000-0000-0000F80E0000}"/>
    <cellStyle name="Normal 2 4 2 3 3 2 5 3 2" xfId="14765" xr:uid="{4A775AB1-C7E3-4F4C-8134-C2005E454DAF}"/>
    <cellStyle name="Normal 2 4 2 3 3 2 5 4" xfId="10547" xr:uid="{0671AF84-38E8-48C1-B112-A21534014AE6}"/>
    <cellStyle name="Normal 2 4 2 3 3 2 6" xfId="2464" xr:uid="{00000000-0005-0000-0000-0000F90E0000}"/>
    <cellStyle name="Normal 2 4 2 3 3 2 6 2" xfId="6749" xr:uid="{00000000-0005-0000-0000-0000FA0E0000}"/>
    <cellStyle name="Normal 2 4 2 3 3 2 6 2 2" xfId="15178" xr:uid="{FBC8798C-3C36-45F1-9C75-D16D996B6DFD}"/>
    <cellStyle name="Normal 2 4 2 3 3 2 6 3" xfId="10960" xr:uid="{41112B30-D264-4C00-91A9-96CFD0494CBF}"/>
    <cellStyle name="Normal 2 4 2 3 3 2 7" xfId="4683" xr:uid="{00000000-0005-0000-0000-0000FB0E0000}"/>
    <cellStyle name="Normal 2 4 2 3 3 2 7 2" xfId="13112" xr:uid="{DC8158B3-FB73-41D7-B373-0AACCA02BFEC}"/>
    <cellStyle name="Normal 2 4 2 3 3 2 8" xfId="8894" xr:uid="{BF1DC41D-05E3-4876-A0BF-9D3EF28B34B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11FB3CF6-F1C7-4BF1-A4EA-B34CD0E395F6}"/>
    <cellStyle name="Normal 2 4 2 3 3 3 2 3" xfId="11452" xr:uid="{0DBA9033-E7AE-4045-90F6-134D0241659C}"/>
    <cellStyle name="Normal 2 4 2 3 3 3 3" xfId="5096" xr:uid="{00000000-0005-0000-0000-0000FF0E0000}"/>
    <cellStyle name="Normal 2 4 2 3 3 3 3 2" xfId="13525" xr:uid="{787F97E5-CA75-4A7F-BF91-A290A0D7C2D4}"/>
    <cellStyle name="Normal 2 4 2 3 3 3 4" xfId="9307" xr:uid="{15E7C6F1-A18F-4CC2-8B72-BAC095FA32E4}"/>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047A9F8F-CFD3-4094-9C62-F4873F0F4084}"/>
    <cellStyle name="Normal 2 4 2 3 3 4 2 3" xfId="11865" xr:uid="{BC86D777-6BA5-463C-A208-BE2BCD8EAB86}"/>
    <cellStyle name="Normal 2 4 2 3 3 4 3" xfId="5509" xr:uid="{00000000-0005-0000-0000-0000030F0000}"/>
    <cellStyle name="Normal 2 4 2 3 3 4 3 2" xfId="13938" xr:uid="{2C204761-DAA8-4EB1-B6C6-B73D20C60C79}"/>
    <cellStyle name="Normal 2 4 2 3 3 4 4" xfId="9720" xr:uid="{7C029AC9-CEFD-4F39-8A5B-FC31D6BABF3D}"/>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F4DC75E7-932D-4BAC-8343-22945C724FAB}"/>
    <cellStyle name="Normal 2 4 2 3 3 5 2 3" xfId="12278" xr:uid="{0D5AF36B-0559-49B5-B6BC-0E088C5E323C}"/>
    <cellStyle name="Normal 2 4 2 3 3 5 3" xfId="5922" xr:uid="{00000000-0005-0000-0000-0000070F0000}"/>
    <cellStyle name="Normal 2 4 2 3 3 5 3 2" xfId="14351" xr:uid="{47B38B18-D55B-4C4F-A650-01E7DDCBCAEC}"/>
    <cellStyle name="Normal 2 4 2 3 3 5 4" xfId="10133" xr:uid="{AFB818EB-3CDC-4996-B93E-AA3FEC2DFF5D}"/>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CDC90C54-2436-4C65-B7BA-4D8DB06A0841}"/>
    <cellStyle name="Normal 2 4 2 3 3 6 2 3" xfId="12691" xr:uid="{3124D1C7-2684-4E68-8C1E-9DC1C51A4CC0}"/>
    <cellStyle name="Normal 2 4 2 3 3 6 3" xfId="6335" xr:uid="{00000000-0005-0000-0000-00000B0F0000}"/>
    <cellStyle name="Normal 2 4 2 3 3 6 3 2" xfId="14764" xr:uid="{9832FB04-013B-4623-85E6-88AAA6D29451}"/>
    <cellStyle name="Normal 2 4 2 3 3 6 4" xfId="10546" xr:uid="{74540753-88AA-4FDB-AB70-D2FA4163FC9D}"/>
    <cellStyle name="Normal 2 4 2 3 3 7" xfId="2463" xr:uid="{00000000-0005-0000-0000-00000C0F0000}"/>
    <cellStyle name="Normal 2 4 2 3 3 7 2" xfId="6748" xr:uid="{00000000-0005-0000-0000-00000D0F0000}"/>
    <cellStyle name="Normal 2 4 2 3 3 7 2 2" xfId="15177" xr:uid="{25DBD0A5-6426-4D9C-AAD3-4F0DBA2E052D}"/>
    <cellStyle name="Normal 2 4 2 3 3 7 3" xfId="10959" xr:uid="{206F5AB1-A6CE-46E1-AE3D-1CAF952DC949}"/>
    <cellStyle name="Normal 2 4 2 3 3 8" xfId="4682" xr:uid="{00000000-0005-0000-0000-00000E0F0000}"/>
    <cellStyle name="Normal 2 4 2 3 3 8 2" xfId="13111" xr:uid="{177F482C-7901-487C-B376-171B5D88FEEE}"/>
    <cellStyle name="Normal 2 4 2 3 3 9" xfId="8893" xr:uid="{19738CC2-F79A-44E5-BCDD-2DC768D8E109}"/>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C432DECE-B7FA-4B20-BB69-3E3DDDEE94E4}"/>
    <cellStyle name="Normal 2 4 2 3 4 2 2 3" xfId="11454" xr:uid="{010E435E-EBDD-4D62-BD45-2D8264F58EB3}"/>
    <cellStyle name="Normal 2 4 2 3 4 2 3" xfId="5098" xr:uid="{00000000-0005-0000-0000-0000130F0000}"/>
    <cellStyle name="Normal 2 4 2 3 4 2 3 2" xfId="13527" xr:uid="{9CAE2309-73B6-4BB5-80D4-71097CCD8472}"/>
    <cellStyle name="Normal 2 4 2 3 4 2 4" xfId="9309" xr:uid="{457EFD5C-5275-45DA-A66D-D17AA6A8778E}"/>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552D7C7B-0CC2-40E7-849D-DFC06EA56CF8}"/>
    <cellStyle name="Normal 2 4 2 3 4 3 2 3" xfId="11867" xr:uid="{C8607FD0-3B01-4774-B618-3BEB4D4C9446}"/>
    <cellStyle name="Normal 2 4 2 3 4 3 3" xfId="5511" xr:uid="{00000000-0005-0000-0000-0000170F0000}"/>
    <cellStyle name="Normal 2 4 2 3 4 3 3 2" xfId="13940" xr:uid="{20E280B0-8F14-4158-A2D1-D8426447EA77}"/>
    <cellStyle name="Normal 2 4 2 3 4 3 4" xfId="9722" xr:uid="{BF9CA620-AEEA-411C-952C-FA9017C48887}"/>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0EE3BF59-809D-4D9A-B212-C203BB5FF1CF}"/>
    <cellStyle name="Normal 2 4 2 3 4 4 2 3" xfId="12280" xr:uid="{3C056A3D-7C84-4DDF-94C4-FDD266754EDB}"/>
    <cellStyle name="Normal 2 4 2 3 4 4 3" xfId="5924" xr:uid="{00000000-0005-0000-0000-00001B0F0000}"/>
    <cellStyle name="Normal 2 4 2 3 4 4 3 2" xfId="14353" xr:uid="{50708D50-6A32-4264-AFB4-31800057F546}"/>
    <cellStyle name="Normal 2 4 2 3 4 4 4" xfId="10135" xr:uid="{73E6B576-66B3-4C49-8D41-00353339A75F}"/>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35FBD23A-B3A8-4194-8D67-1D8704B2BB59}"/>
    <cellStyle name="Normal 2 4 2 3 4 5 2 3" xfId="12693" xr:uid="{69E2B3E4-8C4F-4CC5-BF5A-D9CB277550DB}"/>
    <cellStyle name="Normal 2 4 2 3 4 5 3" xfId="6337" xr:uid="{00000000-0005-0000-0000-00001F0F0000}"/>
    <cellStyle name="Normal 2 4 2 3 4 5 3 2" xfId="14766" xr:uid="{632D6BAE-45F8-4D74-8042-4D78521A1AA2}"/>
    <cellStyle name="Normal 2 4 2 3 4 5 4" xfId="10548" xr:uid="{834CB0FC-13ED-4C6F-9FFD-7E37186C4A0F}"/>
    <cellStyle name="Normal 2 4 2 3 4 6" xfId="2465" xr:uid="{00000000-0005-0000-0000-0000200F0000}"/>
    <cellStyle name="Normal 2 4 2 3 4 6 2" xfId="6750" xr:uid="{00000000-0005-0000-0000-0000210F0000}"/>
    <cellStyle name="Normal 2 4 2 3 4 6 2 2" xfId="15179" xr:uid="{A62F1F82-D2B8-46E5-9155-D3BBC8541573}"/>
    <cellStyle name="Normal 2 4 2 3 4 6 3" xfId="10961" xr:uid="{FDA63AFB-83FF-4862-8C13-97A946C943EE}"/>
    <cellStyle name="Normal 2 4 2 3 4 7" xfId="4684" xr:uid="{00000000-0005-0000-0000-0000220F0000}"/>
    <cellStyle name="Normal 2 4 2 3 4 7 2" xfId="13113" xr:uid="{8847EEC5-FFBD-423D-8508-3D6461883FAA}"/>
    <cellStyle name="Normal 2 4 2 3 4 8" xfId="8895" xr:uid="{7753CDCF-F84C-473A-8C1F-F2A97FC6D353}"/>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84AFFF72-CB6B-4C56-8A1F-817CA72E7C70}"/>
    <cellStyle name="Normal 2 4 2 3 5 2 3" xfId="11447" xr:uid="{71F8AB7B-CE35-4E94-8BB3-7C0B12CC01AF}"/>
    <cellStyle name="Normal 2 4 2 3 5 3" xfId="5091" xr:uid="{00000000-0005-0000-0000-0000260F0000}"/>
    <cellStyle name="Normal 2 4 2 3 5 3 2" xfId="13520" xr:uid="{A0AA6190-7363-41B0-AA4F-A0ED08A899AB}"/>
    <cellStyle name="Normal 2 4 2 3 5 4" xfId="9302" xr:uid="{33969E8F-8760-42DC-8170-A6FEFBC0E9AE}"/>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6104E1C2-833A-4042-9041-98584CF5B51D}"/>
    <cellStyle name="Normal 2 4 2 3 6 2 3" xfId="11860" xr:uid="{0A79B3BC-8BA1-45F8-ABF5-0F6176352C8B}"/>
    <cellStyle name="Normal 2 4 2 3 6 3" xfId="5504" xr:uid="{00000000-0005-0000-0000-00002A0F0000}"/>
    <cellStyle name="Normal 2 4 2 3 6 3 2" xfId="13933" xr:uid="{961A0DCB-4E6D-4544-92F8-6B34CB00893C}"/>
    <cellStyle name="Normal 2 4 2 3 6 4" xfId="9715" xr:uid="{DFA37D97-7D94-45B0-8A1D-CF37021C9A0F}"/>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C2C17058-F776-4A5E-97E2-50B7BDE9A60C}"/>
    <cellStyle name="Normal 2 4 2 3 7 2 3" xfId="12273" xr:uid="{6D098F0B-A328-452A-AD3E-EC0FF62FE30F}"/>
    <cellStyle name="Normal 2 4 2 3 7 3" xfId="5917" xr:uid="{00000000-0005-0000-0000-00002E0F0000}"/>
    <cellStyle name="Normal 2 4 2 3 7 3 2" xfId="14346" xr:uid="{64D9EAB3-1849-45C6-A8C1-43D1C4C1A38B}"/>
    <cellStyle name="Normal 2 4 2 3 7 4" xfId="10128" xr:uid="{36138412-1991-4EE7-BF72-2DAB2C0398B9}"/>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ABAD4F58-892E-4ADA-909E-E6D7573B990F}"/>
    <cellStyle name="Normal 2 4 2 3 8 2 3" xfId="12686" xr:uid="{7E9BBFB0-E9CD-4C3A-9AD8-A39961C3B4E0}"/>
    <cellStyle name="Normal 2 4 2 3 8 3" xfId="6330" xr:uid="{00000000-0005-0000-0000-0000320F0000}"/>
    <cellStyle name="Normal 2 4 2 3 8 3 2" xfId="14759" xr:uid="{76222336-B0EA-4700-A12E-B5BBEBFEE4A2}"/>
    <cellStyle name="Normal 2 4 2 3 8 4" xfId="10541" xr:uid="{19EBBC7F-B9BD-45D6-B20E-BB9A50C7D00A}"/>
    <cellStyle name="Normal 2 4 2 3 9" xfId="2458" xr:uid="{00000000-0005-0000-0000-0000330F0000}"/>
    <cellStyle name="Normal 2 4 2 3 9 2" xfId="6743" xr:uid="{00000000-0005-0000-0000-0000340F0000}"/>
    <cellStyle name="Normal 2 4 2 3 9 2 2" xfId="15172" xr:uid="{CA836DA5-E643-480F-BE14-84DD60B92FAD}"/>
    <cellStyle name="Normal 2 4 2 3 9 3" xfId="10954" xr:uid="{54FCDC11-977A-4FA2-9612-A1E11A5E837C}"/>
    <cellStyle name="Normal 2 4 2 4" xfId="289" xr:uid="{00000000-0005-0000-0000-0000350F0000}"/>
    <cellStyle name="Normal 2 4 2 4 10" xfId="8896" xr:uid="{5D7F63C3-556A-4704-AE79-6938FBEFE71D}"/>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B3D8D5C6-7627-4B73-BEDB-E9E7CF60E4F8}"/>
    <cellStyle name="Normal 2 4 2 4 2 2 2 2 3" xfId="11457" xr:uid="{5D88372E-4F60-469B-B8A2-34E403350DBB}"/>
    <cellStyle name="Normal 2 4 2 4 2 2 2 3" xfId="5101" xr:uid="{00000000-0005-0000-0000-00003B0F0000}"/>
    <cellStyle name="Normal 2 4 2 4 2 2 2 3 2" xfId="13530" xr:uid="{3823D12D-4DBA-419C-8F48-A69875CBCE09}"/>
    <cellStyle name="Normal 2 4 2 4 2 2 2 4" xfId="9312" xr:uid="{F04D80F0-CFF2-4EE0-80BD-DDF299F8A54F}"/>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374526CB-AB3E-4D14-BEB5-ABFB5AF80321}"/>
    <cellStyle name="Normal 2 4 2 4 2 2 3 2 3" xfId="11870" xr:uid="{F8E07DE8-ED8A-4F65-8007-D87B0B4B47F0}"/>
    <cellStyle name="Normal 2 4 2 4 2 2 3 3" xfId="5514" xr:uid="{00000000-0005-0000-0000-00003F0F0000}"/>
    <cellStyle name="Normal 2 4 2 4 2 2 3 3 2" xfId="13943" xr:uid="{E63CCAD8-4831-41E5-8E04-9CE128872B99}"/>
    <cellStyle name="Normal 2 4 2 4 2 2 3 4" xfId="9725" xr:uid="{D4AA25CE-C849-4726-83CA-9179D977C9D9}"/>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F7DA5287-A4B1-4896-AE8E-8C9F16DA09E1}"/>
    <cellStyle name="Normal 2 4 2 4 2 2 4 2 3" xfId="12283" xr:uid="{F4E82043-B01C-4F7C-B2B3-E301BE8EC6BB}"/>
    <cellStyle name="Normal 2 4 2 4 2 2 4 3" xfId="5927" xr:uid="{00000000-0005-0000-0000-0000430F0000}"/>
    <cellStyle name="Normal 2 4 2 4 2 2 4 3 2" xfId="14356" xr:uid="{7611F3EE-7792-4EC1-B500-AC4AB42126C9}"/>
    <cellStyle name="Normal 2 4 2 4 2 2 4 4" xfId="10138" xr:uid="{6EA7ED31-429E-4049-8182-DA2E2A9E9066}"/>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BA9DBADE-CBA1-4FC5-86CF-7A6132A04BDF}"/>
    <cellStyle name="Normal 2 4 2 4 2 2 5 2 3" xfId="12696" xr:uid="{1C5890A4-8C92-4381-9A47-CB48DA8D2372}"/>
    <cellStyle name="Normal 2 4 2 4 2 2 5 3" xfId="6340" xr:uid="{00000000-0005-0000-0000-0000470F0000}"/>
    <cellStyle name="Normal 2 4 2 4 2 2 5 3 2" xfId="14769" xr:uid="{7E4F4F6F-832A-4FA1-AA90-3A2D4122F194}"/>
    <cellStyle name="Normal 2 4 2 4 2 2 5 4" xfId="10551" xr:uid="{BA90CFD3-F171-4637-B7A4-769322DA2753}"/>
    <cellStyle name="Normal 2 4 2 4 2 2 6" xfId="2468" xr:uid="{00000000-0005-0000-0000-0000480F0000}"/>
    <cellStyle name="Normal 2 4 2 4 2 2 6 2" xfId="6753" xr:uid="{00000000-0005-0000-0000-0000490F0000}"/>
    <cellStyle name="Normal 2 4 2 4 2 2 6 2 2" xfId="15182" xr:uid="{6B6D58E8-AB53-4684-9B1C-CF9751589675}"/>
    <cellStyle name="Normal 2 4 2 4 2 2 6 3" xfId="10964" xr:uid="{828AD7B0-E50A-4FF4-A506-5D0CACB5486B}"/>
    <cellStyle name="Normal 2 4 2 4 2 2 7" xfId="4687" xr:uid="{00000000-0005-0000-0000-00004A0F0000}"/>
    <cellStyle name="Normal 2 4 2 4 2 2 7 2" xfId="13116" xr:uid="{1BF7C182-356A-45BE-8B85-2BF6A486C15B}"/>
    <cellStyle name="Normal 2 4 2 4 2 2 8" xfId="8898" xr:uid="{0DE09FDD-0777-4F8A-A6B0-1651410BE1B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151E33B8-201D-498B-9C42-A97FD13EDF84}"/>
    <cellStyle name="Normal 2 4 2 4 2 3 2 3" xfId="11456" xr:uid="{23BFFEAA-0736-4B97-9F37-1D061AC8C606}"/>
    <cellStyle name="Normal 2 4 2 4 2 3 3" xfId="5100" xr:uid="{00000000-0005-0000-0000-00004E0F0000}"/>
    <cellStyle name="Normal 2 4 2 4 2 3 3 2" xfId="13529" xr:uid="{F5C54F54-D543-4D70-A681-4116E6FB3538}"/>
    <cellStyle name="Normal 2 4 2 4 2 3 4" xfId="9311" xr:uid="{8A02B7EA-2727-4C59-99FE-F92C0DE51681}"/>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8D2D1C5B-79C3-43E1-A06A-A08C8AA1091A}"/>
    <cellStyle name="Normal 2 4 2 4 2 4 2 3" xfId="11869" xr:uid="{6AC07834-A84B-4571-907B-A24F9FF4B32B}"/>
    <cellStyle name="Normal 2 4 2 4 2 4 3" xfId="5513" xr:uid="{00000000-0005-0000-0000-0000520F0000}"/>
    <cellStyle name="Normal 2 4 2 4 2 4 3 2" xfId="13942" xr:uid="{9E8E3E5A-E542-4470-BC81-3E8EDF20A12B}"/>
    <cellStyle name="Normal 2 4 2 4 2 4 4" xfId="9724" xr:uid="{44AAAA11-D09B-45A1-B9E8-B81C09F0B60B}"/>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790B4964-749E-4BC0-BB21-D170AD0CEB0D}"/>
    <cellStyle name="Normal 2 4 2 4 2 5 2 3" xfId="12282" xr:uid="{163FCB4F-2A72-4D7A-9769-5CA359C6C718}"/>
    <cellStyle name="Normal 2 4 2 4 2 5 3" xfId="5926" xr:uid="{00000000-0005-0000-0000-0000560F0000}"/>
    <cellStyle name="Normal 2 4 2 4 2 5 3 2" xfId="14355" xr:uid="{D17391E7-A6BA-4780-B339-BA5A15E37CF3}"/>
    <cellStyle name="Normal 2 4 2 4 2 5 4" xfId="10137" xr:uid="{B64BFCFB-ACC4-4AB3-977A-2799FCA5EB8E}"/>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77B0140C-ADC0-46C2-AC54-4D2D86C8F1EA}"/>
    <cellStyle name="Normal 2 4 2 4 2 6 2 3" xfId="12695" xr:uid="{7B1371AF-5D81-4B38-85AD-EBC55E634663}"/>
    <cellStyle name="Normal 2 4 2 4 2 6 3" xfId="6339" xr:uid="{00000000-0005-0000-0000-00005A0F0000}"/>
    <cellStyle name="Normal 2 4 2 4 2 6 3 2" xfId="14768" xr:uid="{E89F3AB7-F517-472D-9A29-5558717CFC7A}"/>
    <cellStyle name="Normal 2 4 2 4 2 6 4" xfId="10550" xr:uid="{2854F9A9-BE40-46F1-92F5-6F6FBA521EF7}"/>
    <cellStyle name="Normal 2 4 2 4 2 7" xfId="2467" xr:uid="{00000000-0005-0000-0000-00005B0F0000}"/>
    <cellStyle name="Normal 2 4 2 4 2 7 2" xfId="6752" xr:uid="{00000000-0005-0000-0000-00005C0F0000}"/>
    <cellStyle name="Normal 2 4 2 4 2 7 2 2" xfId="15181" xr:uid="{6EDFDB63-E2CD-4F75-BFB7-165E6E6315D5}"/>
    <cellStyle name="Normal 2 4 2 4 2 7 3" xfId="10963" xr:uid="{4E53780A-47A0-4348-A60C-6A0FFD7B1853}"/>
    <cellStyle name="Normal 2 4 2 4 2 8" xfId="4686" xr:uid="{00000000-0005-0000-0000-00005D0F0000}"/>
    <cellStyle name="Normal 2 4 2 4 2 8 2" xfId="13115" xr:uid="{849637B0-4508-4C8C-8A58-B9D68D0EDE1A}"/>
    <cellStyle name="Normal 2 4 2 4 2 9" xfId="8897" xr:uid="{5116A997-169F-4DF5-B8C0-582374A8F874}"/>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FC0C50DB-0EBC-439E-AEF6-34FD7295F1ED}"/>
    <cellStyle name="Normal 2 4 2 4 3 2 2 3" xfId="11458" xr:uid="{A263AEEC-EF14-4774-91A7-FAEC81DCD743}"/>
    <cellStyle name="Normal 2 4 2 4 3 2 3" xfId="5102" xr:uid="{00000000-0005-0000-0000-0000620F0000}"/>
    <cellStyle name="Normal 2 4 2 4 3 2 3 2" xfId="13531" xr:uid="{60DC2FA7-F914-4CDB-B653-5DF420F1A4DD}"/>
    <cellStyle name="Normal 2 4 2 4 3 2 4" xfId="9313" xr:uid="{10ABD49D-4F38-4CC4-A3F9-B5DD059FA0EC}"/>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A4AADFB9-C224-4D97-ACA0-D3A9E6943FEC}"/>
    <cellStyle name="Normal 2 4 2 4 3 3 2 3" xfId="11871" xr:uid="{8B02E248-4AE2-4238-A59C-3FA32FDD35AE}"/>
    <cellStyle name="Normal 2 4 2 4 3 3 3" xfId="5515" xr:uid="{00000000-0005-0000-0000-0000660F0000}"/>
    <cellStyle name="Normal 2 4 2 4 3 3 3 2" xfId="13944" xr:uid="{C4D62F1E-2DC9-45A8-AE7D-8FB032A65D91}"/>
    <cellStyle name="Normal 2 4 2 4 3 3 4" xfId="9726" xr:uid="{78A6C020-2647-48D2-9C7F-7BE879B2103F}"/>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2A6062D9-CC4F-4ACC-800B-58A22F5A395D}"/>
    <cellStyle name="Normal 2 4 2 4 3 4 2 3" xfId="12284" xr:uid="{4310E367-E0CA-44C0-84BE-B38730A9F38B}"/>
    <cellStyle name="Normal 2 4 2 4 3 4 3" xfId="5928" xr:uid="{00000000-0005-0000-0000-00006A0F0000}"/>
    <cellStyle name="Normal 2 4 2 4 3 4 3 2" xfId="14357" xr:uid="{1CC8EC92-F5D0-459B-9C97-D0959A3A83EF}"/>
    <cellStyle name="Normal 2 4 2 4 3 4 4" xfId="10139" xr:uid="{3CC8F9D8-D106-4BAF-BDA6-E6014E6A6ECD}"/>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45827870-45EC-4EF2-9C2D-6F450A1D4D7F}"/>
    <cellStyle name="Normal 2 4 2 4 3 5 2 3" xfId="12697" xr:uid="{8181F356-A95A-4E5A-8D5F-FC56784FBE17}"/>
    <cellStyle name="Normal 2 4 2 4 3 5 3" xfId="6341" xr:uid="{00000000-0005-0000-0000-00006E0F0000}"/>
    <cellStyle name="Normal 2 4 2 4 3 5 3 2" xfId="14770" xr:uid="{5883BD5E-175D-42F1-864B-591802D56F47}"/>
    <cellStyle name="Normal 2 4 2 4 3 5 4" xfId="10552" xr:uid="{EECBDA8F-3FED-4D8B-8E34-CF27212299F4}"/>
    <cellStyle name="Normal 2 4 2 4 3 6" xfId="2469" xr:uid="{00000000-0005-0000-0000-00006F0F0000}"/>
    <cellStyle name="Normal 2 4 2 4 3 6 2" xfId="6754" xr:uid="{00000000-0005-0000-0000-0000700F0000}"/>
    <cellStyle name="Normal 2 4 2 4 3 6 2 2" xfId="15183" xr:uid="{BA158F52-10BF-4311-9DD3-45C2694C0238}"/>
    <cellStyle name="Normal 2 4 2 4 3 6 3" xfId="10965" xr:uid="{3834E0F7-7AFC-49D9-AEF7-A275618AA97D}"/>
    <cellStyle name="Normal 2 4 2 4 3 7" xfId="4688" xr:uid="{00000000-0005-0000-0000-0000710F0000}"/>
    <cellStyle name="Normal 2 4 2 4 3 7 2" xfId="13117" xr:uid="{F32E35E9-FAD5-471F-9B09-3288F986703B}"/>
    <cellStyle name="Normal 2 4 2 4 3 8" xfId="8899" xr:uid="{90DC2FC5-703F-472E-B2E8-2E45C6138543}"/>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F5B41A57-9807-4696-805E-720268303F16}"/>
    <cellStyle name="Normal 2 4 2 4 4 2 3" xfId="11455" xr:uid="{C993F8EF-22D9-45C4-B28B-351E0586DC3D}"/>
    <cellStyle name="Normal 2 4 2 4 4 3" xfId="5099" xr:uid="{00000000-0005-0000-0000-0000750F0000}"/>
    <cellStyle name="Normal 2 4 2 4 4 3 2" xfId="13528" xr:uid="{1A9D0E1D-28D3-4510-BD4E-BCC7BEBE83B3}"/>
    <cellStyle name="Normal 2 4 2 4 4 4" xfId="9310" xr:uid="{2277F8CD-355C-4D0B-9A73-101865913612}"/>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6E806BA8-3057-4DC3-B5AC-85F54FB6652D}"/>
    <cellStyle name="Normal 2 4 2 4 5 2 3" xfId="11868" xr:uid="{C5C9C405-B955-41C2-9177-630526B6E6C9}"/>
    <cellStyle name="Normal 2 4 2 4 5 3" xfId="5512" xr:uid="{00000000-0005-0000-0000-0000790F0000}"/>
    <cellStyle name="Normal 2 4 2 4 5 3 2" xfId="13941" xr:uid="{CBA1C808-27DA-4CDF-B68B-40EEBE3BB785}"/>
    <cellStyle name="Normal 2 4 2 4 5 4" xfId="9723" xr:uid="{CAF6B9AA-58C3-41FC-BD25-652553867D10}"/>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69CADFBE-622A-4248-B1CE-E0738B66B5CF}"/>
    <cellStyle name="Normal 2 4 2 4 6 2 3" xfId="12281" xr:uid="{B9662236-A318-4DBE-966D-FD28CA439882}"/>
    <cellStyle name="Normal 2 4 2 4 6 3" xfId="5925" xr:uid="{00000000-0005-0000-0000-00007D0F0000}"/>
    <cellStyle name="Normal 2 4 2 4 6 3 2" xfId="14354" xr:uid="{84F50D01-DE85-4CE6-BBEE-8A3402E99232}"/>
    <cellStyle name="Normal 2 4 2 4 6 4" xfId="10136" xr:uid="{B9A69573-668C-4B9A-9993-3670AD6620D1}"/>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0E010A41-4938-4D3D-A745-51A6A419341C}"/>
    <cellStyle name="Normal 2 4 2 4 7 2 3" xfId="12694" xr:uid="{D60DC688-6924-459C-9799-A58847DA69AD}"/>
    <cellStyle name="Normal 2 4 2 4 7 3" xfId="6338" xr:uid="{00000000-0005-0000-0000-0000810F0000}"/>
    <cellStyle name="Normal 2 4 2 4 7 3 2" xfId="14767" xr:uid="{86400F5E-3F68-4E26-A06A-0A79D982CD40}"/>
    <cellStyle name="Normal 2 4 2 4 7 4" xfId="10549" xr:uid="{6EB5DD51-2334-4613-8062-CF3F9F1873A3}"/>
    <cellStyle name="Normal 2 4 2 4 8" xfId="2466" xr:uid="{00000000-0005-0000-0000-0000820F0000}"/>
    <cellStyle name="Normal 2 4 2 4 8 2" xfId="6751" xr:uid="{00000000-0005-0000-0000-0000830F0000}"/>
    <cellStyle name="Normal 2 4 2 4 8 2 2" xfId="15180" xr:uid="{50808082-421D-499D-A416-CA2A1B9F93DD}"/>
    <cellStyle name="Normal 2 4 2 4 8 3" xfId="10962" xr:uid="{BE1C1DDE-C182-414F-8181-482547376E2C}"/>
    <cellStyle name="Normal 2 4 2 4 9" xfId="4685" xr:uid="{00000000-0005-0000-0000-0000840F0000}"/>
    <cellStyle name="Normal 2 4 2 4 9 2" xfId="13114" xr:uid="{3CBA3704-11B2-413E-8EB1-A6F559224359}"/>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C081E3EE-639D-4ED4-BC9D-C46DB19EF307}"/>
    <cellStyle name="Normal 2 4 2 5 2 2 2 3" xfId="11460" xr:uid="{C33B35FD-356F-4009-8C86-A3B55C9352E6}"/>
    <cellStyle name="Normal 2 4 2 5 2 2 3" xfId="5104" xr:uid="{00000000-0005-0000-0000-00008A0F0000}"/>
    <cellStyle name="Normal 2 4 2 5 2 2 3 2" xfId="13533" xr:uid="{EE9AF94D-566F-4D9F-8753-F19C0792384B}"/>
    <cellStyle name="Normal 2 4 2 5 2 2 4" xfId="9315" xr:uid="{84B97F6F-22E6-454B-BD8F-1A2EE3D3E332}"/>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0539D064-0E1B-450D-B4EE-C6DE07434528}"/>
    <cellStyle name="Normal 2 4 2 5 2 3 2 3" xfId="11873" xr:uid="{591E1050-5340-4252-A1ED-DF2DC4E304FD}"/>
    <cellStyle name="Normal 2 4 2 5 2 3 3" xfId="5517" xr:uid="{00000000-0005-0000-0000-00008E0F0000}"/>
    <cellStyle name="Normal 2 4 2 5 2 3 3 2" xfId="13946" xr:uid="{7C97D14C-BC6B-4D9D-AF54-479F21EBA78A}"/>
    <cellStyle name="Normal 2 4 2 5 2 3 4" xfId="9728" xr:uid="{8732F533-12A5-428C-A103-C3DD162B0CA1}"/>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C54496AD-F16F-4F9F-BCD8-AD85207EC946}"/>
    <cellStyle name="Normal 2 4 2 5 2 4 2 3" xfId="12286" xr:uid="{EACEEB8B-E6B2-40AD-9FB7-50C763865649}"/>
    <cellStyle name="Normal 2 4 2 5 2 4 3" xfId="5930" xr:uid="{00000000-0005-0000-0000-0000920F0000}"/>
    <cellStyle name="Normal 2 4 2 5 2 4 3 2" xfId="14359" xr:uid="{AB112277-4591-4798-A3C9-0057F0F14B6E}"/>
    <cellStyle name="Normal 2 4 2 5 2 4 4" xfId="10141" xr:uid="{CED3068A-B82C-4F0C-B166-E7D4262FCC73}"/>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42358B8B-A50E-4A41-ADBD-B8876F85E102}"/>
    <cellStyle name="Normal 2 4 2 5 2 5 2 3" xfId="12699" xr:uid="{1DC29B80-86C3-41BB-9417-DF33E2D37F59}"/>
    <cellStyle name="Normal 2 4 2 5 2 5 3" xfId="6343" xr:uid="{00000000-0005-0000-0000-0000960F0000}"/>
    <cellStyle name="Normal 2 4 2 5 2 5 3 2" xfId="14772" xr:uid="{509881D8-F2F6-416C-A355-C772567C2E8A}"/>
    <cellStyle name="Normal 2 4 2 5 2 5 4" xfId="10554" xr:uid="{EF640C27-9B05-44EC-88C0-6DE431C79E24}"/>
    <cellStyle name="Normal 2 4 2 5 2 6" xfId="2471" xr:uid="{00000000-0005-0000-0000-0000970F0000}"/>
    <cellStyle name="Normal 2 4 2 5 2 6 2" xfId="6756" xr:uid="{00000000-0005-0000-0000-0000980F0000}"/>
    <cellStyle name="Normal 2 4 2 5 2 6 2 2" xfId="15185" xr:uid="{E63ADA34-2CC4-4734-BCD5-44E6A38BD700}"/>
    <cellStyle name="Normal 2 4 2 5 2 6 3" xfId="10967" xr:uid="{71AE0E74-1072-4500-B28E-23CD9589DCCE}"/>
    <cellStyle name="Normal 2 4 2 5 2 7" xfId="4690" xr:uid="{00000000-0005-0000-0000-0000990F0000}"/>
    <cellStyle name="Normal 2 4 2 5 2 7 2" xfId="13119" xr:uid="{E49D6A12-E1C1-482C-ACB5-DE7FA2F8B3A7}"/>
    <cellStyle name="Normal 2 4 2 5 2 8" xfId="8901" xr:uid="{06E0D465-EA43-4CA8-8E84-4C3FCCF8AF43}"/>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9E7A41B7-BFEC-456E-A4C9-73CBC83F4F5E}"/>
    <cellStyle name="Normal 2 4 2 5 3 2 3" xfId="11459" xr:uid="{EEF76A44-83B0-4A9A-9F37-E41087A250FC}"/>
    <cellStyle name="Normal 2 4 2 5 3 3" xfId="5103" xr:uid="{00000000-0005-0000-0000-00009D0F0000}"/>
    <cellStyle name="Normal 2 4 2 5 3 3 2" xfId="13532" xr:uid="{8E8AC62B-01BB-4C6D-94EE-50F5567E6E86}"/>
    <cellStyle name="Normal 2 4 2 5 3 4" xfId="9314" xr:uid="{73F84EF2-D3AD-486E-AF8F-42CF8125BEEE}"/>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01C2A2D0-B36F-4F92-BD2F-2FE1F97212C5}"/>
    <cellStyle name="Normal 2 4 2 5 4 2 3" xfId="11872" xr:uid="{33471776-6BAD-405C-8A23-FBBEB02208A4}"/>
    <cellStyle name="Normal 2 4 2 5 4 3" xfId="5516" xr:uid="{00000000-0005-0000-0000-0000A10F0000}"/>
    <cellStyle name="Normal 2 4 2 5 4 3 2" xfId="13945" xr:uid="{21C87D9D-DE04-4570-A82C-2F4012BFB091}"/>
    <cellStyle name="Normal 2 4 2 5 4 4" xfId="9727" xr:uid="{DF488C29-72AB-4FAE-9157-8E828EFAA53A}"/>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D9C1359B-C460-4CA0-9D6F-DCF926EEFEB6}"/>
    <cellStyle name="Normal 2 4 2 5 5 2 3" xfId="12285" xr:uid="{FE050BC6-A0ED-420B-A4F4-05A4C6F85160}"/>
    <cellStyle name="Normal 2 4 2 5 5 3" xfId="5929" xr:uid="{00000000-0005-0000-0000-0000A50F0000}"/>
    <cellStyle name="Normal 2 4 2 5 5 3 2" xfId="14358" xr:uid="{C6A6D44A-269D-4FAF-A946-768F0C6EB4F4}"/>
    <cellStyle name="Normal 2 4 2 5 5 4" xfId="10140" xr:uid="{F960AD54-EB2D-4CEF-9CAF-69DB5072EEF3}"/>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810CFF19-F9D7-4D7D-AD40-6B552341DBB3}"/>
    <cellStyle name="Normal 2 4 2 5 6 2 3" xfId="12698" xr:uid="{67D40F9E-6975-4C9E-A5EF-AEB5510C8C1D}"/>
    <cellStyle name="Normal 2 4 2 5 6 3" xfId="6342" xr:uid="{00000000-0005-0000-0000-0000A90F0000}"/>
    <cellStyle name="Normal 2 4 2 5 6 3 2" xfId="14771" xr:uid="{D1275849-2A9F-4B48-8DDF-B0F8EF136180}"/>
    <cellStyle name="Normal 2 4 2 5 6 4" xfId="10553" xr:uid="{2C2F73A0-A13F-4C5C-936B-B44E86E014E1}"/>
    <cellStyle name="Normal 2 4 2 5 7" xfId="2470" xr:uid="{00000000-0005-0000-0000-0000AA0F0000}"/>
    <cellStyle name="Normal 2 4 2 5 7 2" xfId="6755" xr:uid="{00000000-0005-0000-0000-0000AB0F0000}"/>
    <cellStyle name="Normal 2 4 2 5 7 2 2" xfId="15184" xr:uid="{5231671B-F5B4-4086-BB91-9DCB9C136E65}"/>
    <cellStyle name="Normal 2 4 2 5 7 3" xfId="10966" xr:uid="{B574AE8E-5825-4FB4-BFC4-8E28F532E3B7}"/>
    <cellStyle name="Normal 2 4 2 5 8" xfId="4689" xr:uid="{00000000-0005-0000-0000-0000AC0F0000}"/>
    <cellStyle name="Normal 2 4 2 5 8 2" xfId="13118" xr:uid="{A435BD3C-0FC9-4A4B-8CEF-FFF6B28BF630}"/>
    <cellStyle name="Normal 2 4 2 5 9" xfId="8900" xr:uid="{65165F64-48A4-4C72-B853-18EB79C6E928}"/>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EBEFADDC-C7C4-469B-B91A-BE69413246EB}"/>
    <cellStyle name="Normal 2 4 2 6 2 2 3" xfId="11461" xr:uid="{187216DB-7468-4531-8659-2162725C7DDE}"/>
    <cellStyle name="Normal 2 4 2 6 2 3" xfId="5105" xr:uid="{00000000-0005-0000-0000-0000B10F0000}"/>
    <cellStyle name="Normal 2 4 2 6 2 3 2" xfId="13534" xr:uid="{DDABB861-0626-41CD-A944-AD83B7A636FC}"/>
    <cellStyle name="Normal 2 4 2 6 2 4" xfId="9316" xr:uid="{31B29874-245F-4FEA-9D2A-748257576CB0}"/>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1C6DB23B-8D2A-4BAE-821B-97A235A4624B}"/>
    <cellStyle name="Normal 2 4 2 6 3 2 3" xfId="11874" xr:uid="{BCE47A4A-3991-45A3-9146-B23EF824C545}"/>
    <cellStyle name="Normal 2 4 2 6 3 3" xfId="5518" xr:uid="{00000000-0005-0000-0000-0000B50F0000}"/>
    <cellStyle name="Normal 2 4 2 6 3 3 2" xfId="13947" xr:uid="{C5A5D304-A2E2-47AC-8ABC-9D8B19E77B0C}"/>
    <cellStyle name="Normal 2 4 2 6 3 4" xfId="9729" xr:uid="{7663B6EE-D6F0-4C86-9092-37DA649D3954}"/>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D462FED8-13CA-401B-92EC-0D762D6E520F}"/>
    <cellStyle name="Normal 2 4 2 6 4 2 3" xfId="12287" xr:uid="{17D452B2-1AB7-4BB7-9E5F-6470BBFBD1CC}"/>
    <cellStyle name="Normal 2 4 2 6 4 3" xfId="5931" xr:uid="{00000000-0005-0000-0000-0000B90F0000}"/>
    <cellStyle name="Normal 2 4 2 6 4 3 2" xfId="14360" xr:uid="{01474518-41FB-49E4-92D2-B73CE10EB424}"/>
    <cellStyle name="Normal 2 4 2 6 4 4" xfId="10142" xr:uid="{F527F3BA-9992-4966-B65B-8DA7DD5017CC}"/>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2DB76D2A-7ABD-44A9-BB8E-985353A7B857}"/>
    <cellStyle name="Normal 2 4 2 6 5 2 3" xfId="12700" xr:uid="{599604F6-3E2E-4AB1-AFB4-7E5318218E5C}"/>
    <cellStyle name="Normal 2 4 2 6 5 3" xfId="6344" xr:uid="{00000000-0005-0000-0000-0000BD0F0000}"/>
    <cellStyle name="Normal 2 4 2 6 5 3 2" xfId="14773" xr:uid="{1509F3C0-A5E0-46D9-9F5A-501732283C74}"/>
    <cellStyle name="Normal 2 4 2 6 5 4" xfId="10555" xr:uid="{B5962585-DA12-41E9-9CCE-36E7FF34E1AA}"/>
    <cellStyle name="Normal 2 4 2 6 6" xfId="2472" xr:uid="{00000000-0005-0000-0000-0000BE0F0000}"/>
    <cellStyle name="Normal 2 4 2 6 6 2" xfId="6757" xr:uid="{00000000-0005-0000-0000-0000BF0F0000}"/>
    <cellStyle name="Normal 2 4 2 6 6 2 2" xfId="15186" xr:uid="{2E96EB3F-EC07-44C7-B101-FA2A0157A470}"/>
    <cellStyle name="Normal 2 4 2 6 6 3" xfId="10968" xr:uid="{B8B720A9-6D68-48BA-A6CA-A94E852A0866}"/>
    <cellStyle name="Normal 2 4 2 6 7" xfId="4691" xr:uid="{00000000-0005-0000-0000-0000C00F0000}"/>
    <cellStyle name="Normal 2 4 2 6 7 2" xfId="13120" xr:uid="{EB5D2C14-CCA5-4B18-AE27-315CD422186C}"/>
    <cellStyle name="Normal 2 4 2 6 8" xfId="8902" xr:uid="{C72B1B5A-D161-4B86-8BA3-D366151CC9BA}"/>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43058F65-E249-4CFA-A715-67456666AFE5}"/>
    <cellStyle name="Normal 2 4 2 7 2 3" xfId="11446" xr:uid="{9171A9A6-5F55-4A5D-88B1-302E116189EB}"/>
    <cellStyle name="Normal 2 4 2 7 3" xfId="5090" xr:uid="{00000000-0005-0000-0000-0000C40F0000}"/>
    <cellStyle name="Normal 2 4 2 7 3 2" xfId="13519" xr:uid="{06F9C319-3D80-4D18-BA43-B48246186FE4}"/>
    <cellStyle name="Normal 2 4 2 7 4" xfId="9301" xr:uid="{CF98C8A5-CD8F-4F21-808C-FF0FFB705503}"/>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7C36D192-C89A-4C4D-A95A-E321E795A6F6}"/>
    <cellStyle name="Normal 2 4 2 8 2 3" xfId="11859" xr:uid="{FC2B1294-7BF5-4B39-81C4-D3E8843A611A}"/>
    <cellStyle name="Normal 2 4 2 8 3" xfId="5503" xr:uid="{00000000-0005-0000-0000-0000C80F0000}"/>
    <cellStyle name="Normal 2 4 2 8 3 2" xfId="13932" xr:uid="{BDD05902-779F-4E89-B653-94C88E6CA348}"/>
    <cellStyle name="Normal 2 4 2 8 4" xfId="9714" xr:uid="{BD6BB31D-6087-423B-95E8-3FB9DEF27AD0}"/>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D544F5DE-B8A1-429F-8BDF-46F66CC89601}"/>
    <cellStyle name="Normal 2 4 2 9 2 3" xfId="12272" xr:uid="{DBD3D569-5FE2-4DE4-B911-A5B37804721F}"/>
    <cellStyle name="Normal 2 4 2 9 3" xfId="5916" xr:uid="{00000000-0005-0000-0000-0000CC0F0000}"/>
    <cellStyle name="Normal 2 4 2 9 3 2" xfId="14345" xr:uid="{154CBA8D-7FA2-4E3A-8CF2-9BD162E7B241}"/>
    <cellStyle name="Normal 2 4 2 9 4" xfId="10127" xr:uid="{4ABEC10E-FF08-45AE-9B0C-D77DE2D45705}"/>
    <cellStyle name="Normal 2 4 3" xfId="296" xr:uid="{00000000-0005-0000-0000-0000CD0F0000}"/>
    <cellStyle name="Normal 2 4 3 10" xfId="8903" xr:uid="{CE930929-2FB3-417D-8695-0BEEFE5576E3}"/>
    <cellStyle name="Normal 2 4 3 2" xfId="297" xr:uid="{00000000-0005-0000-0000-0000CE0F0000}"/>
    <cellStyle name="Normal 2 4 3 3" xfId="298" xr:uid="{00000000-0005-0000-0000-0000CF0F0000}"/>
    <cellStyle name="Normal 2 4 3 3 10" xfId="8904" xr:uid="{2A168F82-5874-41FA-8B02-9772E4ED8633}"/>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006F8D98-615C-4B21-9FD4-3E1328319E4A}"/>
    <cellStyle name="Normal 2 4 3 3 2 2 2 2 3" xfId="11465" xr:uid="{DEFBFFC6-40C3-490D-89C2-F8EC97EB6D93}"/>
    <cellStyle name="Normal 2 4 3 3 2 2 2 3" xfId="5109" xr:uid="{00000000-0005-0000-0000-0000D50F0000}"/>
    <cellStyle name="Normal 2 4 3 3 2 2 2 3 2" xfId="13538" xr:uid="{43C80B18-52AB-4A7F-8847-7E54B8721091}"/>
    <cellStyle name="Normal 2 4 3 3 2 2 2 4" xfId="9320" xr:uid="{305AB739-E8B0-4972-838F-57426FED789D}"/>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8EC3486C-ADA8-4B7D-A06A-93C7549E2259}"/>
    <cellStyle name="Normal 2 4 3 3 2 2 3 2 3" xfId="11878" xr:uid="{301E243F-DD3B-485F-B387-A1E5047744B1}"/>
    <cellStyle name="Normal 2 4 3 3 2 2 3 3" xfId="5522" xr:uid="{00000000-0005-0000-0000-0000D90F0000}"/>
    <cellStyle name="Normal 2 4 3 3 2 2 3 3 2" xfId="13951" xr:uid="{67A35094-2295-4139-A0EC-4EADAD336754}"/>
    <cellStyle name="Normal 2 4 3 3 2 2 3 4" xfId="9733" xr:uid="{C19DEDE1-1015-499C-9AFE-A0D94DC428DC}"/>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5B15897E-5AB0-487F-A465-41F9EAE75106}"/>
    <cellStyle name="Normal 2 4 3 3 2 2 4 2 3" xfId="12291" xr:uid="{CEA1F90F-554E-4D68-919F-552087918A27}"/>
    <cellStyle name="Normal 2 4 3 3 2 2 4 3" xfId="5935" xr:uid="{00000000-0005-0000-0000-0000DD0F0000}"/>
    <cellStyle name="Normal 2 4 3 3 2 2 4 3 2" xfId="14364" xr:uid="{4B1B6D5A-C5C0-4746-A525-EDABBE2D91A7}"/>
    <cellStyle name="Normal 2 4 3 3 2 2 4 4" xfId="10146" xr:uid="{6C504E1A-BB98-41AF-B143-B72C14DB7C32}"/>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61F3B81D-392A-4022-BAF9-61962F75A1DD}"/>
    <cellStyle name="Normal 2 4 3 3 2 2 5 2 3" xfId="12704" xr:uid="{06049088-3508-4700-B529-75FB3BBF7265}"/>
    <cellStyle name="Normal 2 4 3 3 2 2 5 3" xfId="6348" xr:uid="{00000000-0005-0000-0000-0000E10F0000}"/>
    <cellStyle name="Normal 2 4 3 3 2 2 5 3 2" xfId="14777" xr:uid="{CB222D10-1D8C-41CF-B445-8B016A6DD1DC}"/>
    <cellStyle name="Normal 2 4 3 3 2 2 5 4" xfId="10559" xr:uid="{4659AAC4-7DA9-48DF-A22B-5D2B014938AC}"/>
    <cellStyle name="Normal 2 4 3 3 2 2 6" xfId="2476" xr:uid="{00000000-0005-0000-0000-0000E20F0000}"/>
    <cellStyle name="Normal 2 4 3 3 2 2 6 2" xfId="6761" xr:uid="{00000000-0005-0000-0000-0000E30F0000}"/>
    <cellStyle name="Normal 2 4 3 3 2 2 6 2 2" xfId="15190" xr:uid="{A805C939-CA63-43BE-8361-85730C0585DC}"/>
    <cellStyle name="Normal 2 4 3 3 2 2 6 3" xfId="10972" xr:uid="{53E1C803-8998-46A2-8796-4B67AB48EF36}"/>
    <cellStyle name="Normal 2 4 3 3 2 2 7" xfId="4695" xr:uid="{00000000-0005-0000-0000-0000E40F0000}"/>
    <cellStyle name="Normal 2 4 3 3 2 2 7 2" xfId="13124" xr:uid="{A158D099-D78D-405F-BCE5-1CD4350F21C0}"/>
    <cellStyle name="Normal 2 4 3 3 2 2 8" xfId="8906" xr:uid="{9BCBC3E9-E07D-4EA0-A2A7-CC64E1F03026}"/>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D6FB40A8-8687-4F5B-BC8F-2A0D532F006B}"/>
    <cellStyle name="Normal 2 4 3 3 2 3 2 3" xfId="11464" xr:uid="{65EA041F-A2A0-4873-A028-3F209C3D7AB4}"/>
    <cellStyle name="Normal 2 4 3 3 2 3 3" xfId="5108" xr:uid="{00000000-0005-0000-0000-0000E80F0000}"/>
    <cellStyle name="Normal 2 4 3 3 2 3 3 2" xfId="13537" xr:uid="{4B413B65-277F-4AC5-8F3F-E0E48E56B011}"/>
    <cellStyle name="Normal 2 4 3 3 2 3 4" xfId="9319" xr:uid="{3248B3A9-985B-45D9-91B3-E4E2F5462303}"/>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1D19E56B-DF51-4F25-95D8-41904F4DF00A}"/>
    <cellStyle name="Normal 2 4 3 3 2 4 2 3" xfId="11877" xr:uid="{28071360-D0C7-4CB3-8511-7024336DDD11}"/>
    <cellStyle name="Normal 2 4 3 3 2 4 3" xfId="5521" xr:uid="{00000000-0005-0000-0000-0000EC0F0000}"/>
    <cellStyle name="Normal 2 4 3 3 2 4 3 2" xfId="13950" xr:uid="{313D892B-0246-46A5-864D-8CED536836F5}"/>
    <cellStyle name="Normal 2 4 3 3 2 4 4" xfId="9732" xr:uid="{E0F7ADB4-74FA-4B21-84B2-48DFFDA9DE94}"/>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FCF688F9-E247-4582-A990-ADB1FEC5F28C}"/>
    <cellStyle name="Normal 2 4 3 3 2 5 2 3" xfId="12290" xr:uid="{A2CF0BDB-E57C-4617-8695-4B3BC89DAECA}"/>
    <cellStyle name="Normal 2 4 3 3 2 5 3" xfId="5934" xr:uid="{00000000-0005-0000-0000-0000F00F0000}"/>
    <cellStyle name="Normal 2 4 3 3 2 5 3 2" xfId="14363" xr:uid="{99FF01F7-9CC9-4FF1-9F72-1F2280DD2F43}"/>
    <cellStyle name="Normal 2 4 3 3 2 5 4" xfId="10145" xr:uid="{57755B67-79E8-4ECA-A6D5-0DB725144187}"/>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470408B4-2603-4517-B189-5FA736DB9081}"/>
    <cellStyle name="Normal 2 4 3 3 2 6 2 3" xfId="12703" xr:uid="{30942DEC-A4A4-4020-86A2-9CEEA9687ADA}"/>
    <cellStyle name="Normal 2 4 3 3 2 6 3" xfId="6347" xr:uid="{00000000-0005-0000-0000-0000F40F0000}"/>
    <cellStyle name="Normal 2 4 3 3 2 6 3 2" xfId="14776" xr:uid="{86613A6D-E775-4371-B155-1A4E5B594D01}"/>
    <cellStyle name="Normal 2 4 3 3 2 6 4" xfId="10558" xr:uid="{8CDE9E32-07CB-47A8-A858-732D555181F4}"/>
    <cellStyle name="Normal 2 4 3 3 2 7" xfId="2475" xr:uid="{00000000-0005-0000-0000-0000F50F0000}"/>
    <cellStyle name="Normal 2 4 3 3 2 7 2" xfId="6760" xr:uid="{00000000-0005-0000-0000-0000F60F0000}"/>
    <cellStyle name="Normal 2 4 3 3 2 7 2 2" xfId="15189" xr:uid="{11509418-4DDA-4A88-960B-E94F53085956}"/>
    <cellStyle name="Normal 2 4 3 3 2 7 3" xfId="10971" xr:uid="{5046557D-2074-4516-B1D8-5291A77A7498}"/>
    <cellStyle name="Normal 2 4 3 3 2 8" xfId="4694" xr:uid="{00000000-0005-0000-0000-0000F70F0000}"/>
    <cellStyle name="Normal 2 4 3 3 2 8 2" xfId="13123" xr:uid="{BFC471FE-B4C2-4BCD-A0B2-FD12F1902A04}"/>
    <cellStyle name="Normal 2 4 3 3 2 9" xfId="8905" xr:uid="{C884BF4C-68F9-4628-913D-015D813E25F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E5FCB91A-B992-40DC-89F0-B2D4E6E94E7B}"/>
    <cellStyle name="Normal 2 4 3 3 3 2 2 3" xfId="11466" xr:uid="{13FD2E7F-0D3F-424E-B4E7-88375EAA05F4}"/>
    <cellStyle name="Normal 2 4 3 3 3 2 3" xfId="5110" xr:uid="{00000000-0005-0000-0000-0000FC0F0000}"/>
    <cellStyle name="Normal 2 4 3 3 3 2 3 2" xfId="13539" xr:uid="{3325813B-C4E5-496A-B916-5BB2DF6D580E}"/>
    <cellStyle name="Normal 2 4 3 3 3 2 4" xfId="9321" xr:uid="{90093712-0DAF-404A-8BE5-F7F92066E5C1}"/>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A24F3DB6-13A2-47C7-9E0D-3796201606F9}"/>
    <cellStyle name="Normal 2 4 3 3 3 3 2 3" xfId="11879" xr:uid="{9DBD6795-1E6F-422B-B1D4-A47A9DA73FCD}"/>
    <cellStyle name="Normal 2 4 3 3 3 3 3" xfId="5523" xr:uid="{00000000-0005-0000-0000-000000100000}"/>
    <cellStyle name="Normal 2 4 3 3 3 3 3 2" xfId="13952" xr:uid="{E219AB4B-228F-485E-A473-55F286137A31}"/>
    <cellStyle name="Normal 2 4 3 3 3 3 4" xfId="9734" xr:uid="{AD9FF214-A8AF-43D9-A666-26E7D8B7AB5B}"/>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8BC9D762-A53F-4E3D-864C-873991E73140}"/>
    <cellStyle name="Normal 2 4 3 3 3 4 2 3" xfId="12292" xr:uid="{B256B018-D359-46BD-87C8-2B19240AD7A7}"/>
    <cellStyle name="Normal 2 4 3 3 3 4 3" xfId="5936" xr:uid="{00000000-0005-0000-0000-000004100000}"/>
    <cellStyle name="Normal 2 4 3 3 3 4 3 2" xfId="14365" xr:uid="{C8F14F61-2A7B-4D86-9CA4-5A918AECAF93}"/>
    <cellStyle name="Normal 2 4 3 3 3 4 4" xfId="10147" xr:uid="{05E5F820-6795-49EE-B972-85B6702B57E4}"/>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EC0908D4-DCFA-4C69-9D01-512327286D01}"/>
    <cellStyle name="Normal 2 4 3 3 3 5 2 3" xfId="12705" xr:uid="{96048533-FB32-4793-BC48-DDD843456893}"/>
    <cellStyle name="Normal 2 4 3 3 3 5 3" xfId="6349" xr:uid="{00000000-0005-0000-0000-000008100000}"/>
    <cellStyle name="Normal 2 4 3 3 3 5 3 2" xfId="14778" xr:uid="{0B8DD2BF-C41B-48FE-9C18-B0880A083C1C}"/>
    <cellStyle name="Normal 2 4 3 3 3 5 4" xfId="10560" xr:uid="{7250BFBF-3391-4C46-8612-5BDD449D0875}"/>
    <cellStyle name="Normal 2 4 3 3 3 6" xfId="2477" xr:uid="{00000000-0005-0000-0000-000009100000}"/>
    <cellStyle name="Normal 2 4 3 3 3 6 2" xfId="6762" xr:uid="{00000000-0005-0000-0000-00000A100000}"/>
    <cellStyle name="Normal 2 4 3 3 3 6 2 2" xfId="15191" xr:uid="{9A7A0D47-D412-42A5-896E-D1F7D4003844}"/>
    <cellStyle name="Normal 2 4 3 3 3 6 3" xfId="10973" xr:uid="{AEA4D980-71EB-4AB5-A979-3852F934AB1C}"/>
    <cellStyle name="Normal 2 4 3 3 3 7" xfId="4696" xr:uid="{00000000-0005-0000-0000-00000B100000}"/>
    <cellStyle name="Normal 2 4 3 3 3 7 2" xfId="13125" xr:uid="{A1293268-FBC0-4019-8DB8-141E7DFA159D}"/>
    <cellStyle name="Normal 2 4 3 3 3 8" xfId="8907" xr:uid="{70586294-2C7D-4913-ACA7-A5E92039D16A}"/>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C6BE15E6-95F3-439D-AFB6-64E692E606C7}"/>
    <cellStyle name="Normal 2 4 3 3 4 2 3" xfId="11463" xr:uid="{0FB757AA-0093-4605-B410-5ACB53AD772A}"/>
    <cellStyle name="Normal 2 4 3 3 4 3" xfId="5107" xr:uid="{00000000-0005-0000-0000-00000F100000}"/>
    <cellStyle name="Normal 2 4 3 3 4 3 2" xfId="13536" xr:uid="{418C9227-517D-432E-A97E-6742C9048AE1}"/>
    <cellStyle name="Normal 2 4 3 3 4 4" xfId="9318" xr:uid="{55C15051-9154-465D-9519-5CF49960AA9C}"/>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B64EFE13-C7A0-487E-9AA4-19E0500D5E8D}"/>
    <cellStyle name="Normal 2 4 3 3 5 2 3" xfId="11876" xr:uid="{8CBEB23D-EB75-4787-9F27-26D952E6238A}"/>
    <cellStyle name="Normal 2 4 3 3 5 3" xfId="5520" xr:uid="{00000000-0005-0000-0000-000013100000}"/>
    <cellStyle name="Normal 2 4 3 3 5 3 2" xfId="13949" xr:uid="{88E4ACBD-3153-41D4-A42A-F62D8DCD66A9}"/>
    <cellStyle name="Normal 2 4 3 3 5 4" xfId="9731" xr:uid="{099C77D3-B263-4E01-923B-DD556BB65008}"/>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7E8C300B-BB82-404F-B4FA-259A7E657894}"/>
    <cellStyle name="Normal 2 4 3 3 6 2 3" xfId="12289" xr:uid="{E1C0C611-F03E-41AD-9114-B5C3D38CB4B4}"/>
    <cellStyle name="Normal 2 4 3 3 6 3" xfId="5933" xr:uid="{00000000-0005-0000-0000-000017100000}"/>
    <cellStyle name="Normal 2 4 3 3 6 3 2" xfId="14362" xr:uid="{B1AAF9BA-9FD8-441C-95CD-B21839F96906}"/>
    <cellStyle name="Normal 2 4 3 3 6 4" xfId="10144" xr:uid="{0A83F503-AAE5-4F3B-86E4-BA18A5702CD2}"/>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F53E1BAF-C7F3-4351-AB22-1DE0C5EE6220}"/>
    <cellStyle name="Normal 2 4 3 3 7 2 3" xfId="12702" xr:uid="{E7E435CF-4784-455B-8FAC-0A7432D7A909}"/>
    <cellStyle name="Normal 2 4 3 3 7 3" xfId="6346" xr:uid="{00000000-0005-0000-0000-00001B100000}"/>
    <cellStyle name="Normal 2 4 3 3 7 3 2" xfId="14775" xr:uid="{940F4C21-4EEF-4F94-BBAE-4C5041A2B220}"/>
    <cellStyle name="Normal 2 4 3 3 7 4" xfId="10557" xr:uid="{4FB89273-8E49-4907-8432-7F5A5272A2B2}"/>
    <cellStyle name="Normal 2 4 3 3 8" xfId="2474" xr:uid="{00000000-0005-0000-0000-00001C100000}"/>
    <cellStyle name="Normal 2 4 3 3 8 2" xfId="6759" xr:uid="{00000000-0005-0000-0000-00001D100000}"/>
    <cellStyle name="Normal 2 4 3 3 8 2 2" xfId="15188" xr:uid="{ADACA4A3-1182-471B-8827-464D873D572D}"/>
    <cellStyle name="Normal 2 4 3 3 8 3" xfId="10970" xr:uid="{9A4556EE-C6EB-4CA6-921F-B2C8644B97CD}"/>
    <cellStyle name="Normal 2 4 3 3 9" xfId="4693" xr:uid="{00000000-0005-0000-0000-00001E100000}"/>
    <cellStyle name="Normal 2 4 3 3 9 2" xfId="13122" xr:uid="{930CAEBD-7FE1-43BB-8CC4-29B867084B6D}"/>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015A8798-70E6-4FFC-879F-A7439575F4A1}"/>
    <cellStyle name="Normal 2 4 3 4 2 3" xfId="11462" xr:uid="{DA7E1371-931E-46F2-A518-E51E2B8D538D}"/>
    <cellStyle name="Normal 2 4 3 4 3" xfId="5106" xr:uid="{00000000-0005-0000-0000-000022100000}"/>
    <cellStyle name="Normal 2 4 3 4 3 2" xfId="13535" xr:uid="{08FA746F-06D4-4E01-8BD1-D35D64088E12}"/>
    <cellStyle name="Normal 2 4 3 4 4" xfId="9317" xr:uid="{4B40EE0D-5CF2-465D-87FA-658D3D65BD0B}"/>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12E79681-6832-4553-BBB6-995B8EA65DA4}"/>
    <cellStyle name="Normal 2 4 3 5 2 3" xfId="11875" xr:uid="{19671E63-F3A4-4377-9E84-852B8E70326F}"/>
    <cellStyle name="Normal 2 4 3 5 3" xfId="5519" xr:uid="{00000000-0005-0000-0000-000026100000}"/>
    <cellStyle name="Normal 2 4 3 5 3 2" xfId="13948" xr:uid="{BA40602B-6C9C-4E44-AD05-849A535EEF7E}"/>
    <cellStyle name="Normal 2 4 3 5 4" xfId="9730" xr:uid="{EA9ED858-A921-4FCE-AB6B-63F15BC98629}"/>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8C233599-EE14-42DE-B56C-7C64EBB3EEEA}"/>
    <cellStyle name="Normal 2 4 3 6 2 3" xfId="12288" xr:uid="{57DDBDFC-F260-4D02-AA2C-9FD74B8F21BE}"/>
    <cellStyle name="Normal 2 4 3 6 3" xfId="5932" xr:uid="{00000000-0005-0000-0000-00002A100000}"/>
    <cellStyle name="Normal 2 4 3 6 3 2" xfId="14361" xr:uid="{C2EBFAD9-9177-46F3-A1D4-6338AB90726E}"/>
    <cellStyle name="Normal 2 4 3 6 4" xfId="10143" xr:uid="{3A060B85-E72E-4C2E-8929-E78A696F5BC8}"/>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BFCD9818-4E67-43D9-8CC4-186AFBC97A3C}"/>
    <cellStyle name="Normal 2 4 3 7 2 3" xfId="12701" xr:uid="{902BDB1B-D52B-401F-BEC9-3361B33B17B2}"/>
    <cellStyle name="Normal 2 4 3 7 3" xfId="6345" xr:uid="{00000000-0005-0000-0000-00002E100000}"/>
    <cellStyle name="Normal 2 4 3 7 3 2" xfId="14774" xr:uid="{0858FFCE-C1BE-4D4C-9095-ED0B601571CE}"/>
    <cellStyle name="Normal 2 4 3 7 4" xfId="10556" xr:uid="{448C32B3-DB11-42E2-8AFA-C73F91507491}"/>
    <cellStyle name="Normal 2 4 3 8" xfId="2473" xr:uid="{00000000-0005-0000-0000-00002F100000}"/>
    <cellStyle name="Normal 2 4 3 8 2" xfId="6758" xr:uid="{00000000-0005-0000-0000-000030100000}"/>
    <cellStyle name="Normal 2 4 3 8 2 2" xfId="15187" xr:uid="{0778C308-6A4D-4B79-96AA-6158199D653F}"/>
    <cellStyle name="Normal 2 4 3 8 3" xfId="10969" xr:uid="{FA3EB3EF-7977-4A74-A592-5D019A5CE774}"/>
    <cellStyle name="Normal 2 4 3 9" xfId="4692" xr:uid="{00000000-0005-0000-0000-000031100000}"/>
    <cellStyle name="Normal 2 4 3 9 2" xfId="13121" xr:uid="{30D38B11-3BC2-4EAC-97ED-816E8D4C4683}"/>
    <cellStyle name="Normal 2 4 4" xfId="302" xr:uid="{00000000-0005-0000-0000-000032100000}"/>
    <cellStyle name="Normal 2 4 5" xfId="303" xr:uid="{00000000-0005-0000-0000-000033100000}"/>
    <cellStyle name="Normal 2 4 5 10" xfId="4697" xr:uid="{00000000-0005-0000-0000-000034100000}"/>
    <cellStyle name="Normal 2 4 5 10 2" xfId="13126" xr:uid="{55D407B9-E001-4D5A-8C90-474225D3B65E}"/>
    <cellStyle name="Normal 2 4 5 11" xfId="8908" xr:uid="{59A1B8AE-38C0-4A2B-A4D0-34F304E60973}"/>
    <cellStyle name="Normal 2 4 5 2" xfId="304" xr:uid="{00000000-0005-0000-0000-000035100000}"/>
    <cellStyle name="Normal 2 4 5 2 10" xfId="8909" xr:uid="{0064C20C-D6ED-42BB-9D65-D9D7D67F6C62}"/>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48D3EF25-0BC0-4D69-ABDA-8E0A56CFD8F0}"/>
    <cellStyle name="Normal 2 4 5 2 2 2 2 2 3" xfId="11470" xr:uid="{C5CB7C20-EDED-4AD4-A2C7-51CFEBA220E2}"/>
    <cellStyle name="Normal 2 4 5 2 2 2 2 3" xfId="5114" xr:uid="{00000000-0005-0000-0000-00003B100000}"/>
    <cellStyle name="Normal 2 4 5 2 2 2 2 3 2" xfId="13543" xr:uid="{805045AC-6993-4992-8406-449F9B1A6FAC}"/>
    <cellStyle name="Normal 2 4 5 2 2 2 2 4" xfId="9325" xr:uid="{67F62A4C-E29B-461F-ADD1-63F4E3C99CFB}"/>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DD7D540C-6D50-4405-86DB-7F12DFFC876E}"/>
    <cellStyle name="Normal 2 4 5 2 2 2 3 2 3" xfId="11883" xr:uid="{21C9099D-2494-449F-AC9B-C72E414A0F6F}"/>
    <cellStyle name="Normal 2 4 5 2 2 2 3 3" xfId="5527" xr:uid="{00000000-0005-0000-0000-00003F100000}"/>
    <cellStyle name="Normal 2 4 5 2 2 2 3 3 2" xfId="13956" xr:uid="{FD26DDDD-70E7-4115-B0E3-B85291BC8439}"/>
    <cellStyle name="Normal 2 4 5 2 2 2 3 4" xfId="9738" xr:uid="{DAEA83D9-EC27-4613-BAFD-5B0EDA52604C}"/>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617F8ED0-1119-4B33-B187-0AB0C66C1763}"/>
    <cellStyle name="Normal 2 4 5 2 2 2 4 2 3" xfId="12296" xr:uid="{D0CD3E0F-21DC-4B59-97B7-096366C5576A}"/>
    <cellStyle name="Normal 2 4 5 2 2 2 4 3" xfId="5940" xr:uid="{00000000-0005-0000-0000-000043100000}"/>
    <cellStyle name="Normal 2 4 5 2 2 2 4 3 2" xfId="14369" xr:uid="{B9C0A847-A3B1-4040-8F5E-95B7070DDD2B}"/>
    <cellStyle name="Normal 2 4 5 2 2 2 4 4" xfId="10151" xr:uid="{CDB7D479-D9E2-4D4B-BB8B-EA2D279EFB9C}"/>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56A2C337-8909-4E58-B110-614EED83D86B}"/>
    <cellStyle name="Normal 2 4 5 2 2 2 5 2 3" xfId="12709" xr:uid="{EB819802-618E-42F1-B449-9A8C13F17F6D}"/>
    <cellStyle name="Normal 2 4 5 2 2 2 5 3" xfId="6353" xr:uid="{00000000-0005-0000-0000-000047100000}"/>
    <cellStyle name="Normal 2 4 5 2 2 2 5 3 2" xfId="14782" xr:uid="{BB6EC868-7157-44DA-AF15-59D920A9DABF}"/>
    <cellStyle name="Normal 2 4 5 2 2 2 5 4" xfId="10564" xr:uid="{A87D326A-86C8-4EBD-8555-47B495F20340}"/>
    <cellStyle name="Normal 2 4 5 2 2 2 6" xfId="2481" xr:uid="{00000000-0005-0000-0000-000048100000}"/>
    <cellStyle name="Normal 2 4 5 2 2 2 6 2" xfId="6766" xr:uid="{00000000-0005-0000-0000-000049100000}"/>
    <cellStyle name="Normal 2 4 5 2 2 2 6 2 2" xfId="15195" xr:uid="{A89AA9DB-0412-453A-AEEB-29D9D2057097}"/>
    <cellStyle name="Normal 2 4 5 2 2 2 6 3" xfId="10977" xr:uid="{C51F7727-36CA-464C-940A-119F86B27A1D}"/>
    <cellStyle name="Normal 2 4 5 2 2 2 7" xfId="4700" xr:uid="{00000000-0005-0000-0000-00004A100000}"/>
    <cellStyle name="Normal 2 4 5 2 2 2 7 2" xfId="13129" xr:uid="{31B9ECD3-4736-4EEB-A88F-1B3A463101B7}"/>
    <cellStyle name="Normal 2 4 5 2 2 2 8" xfId="8911" xr:uid="{363938D3-5CAE-4576-B3A9-D65EA23F87CC}"/>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CAD3F316-1195-48B7-A8EE-FC1FE3FAC88C}"/>
    <cellStyle name="Normal 2 4 5 2 2 3 2 3" xfId="11469" xr:uid="{7BD08167-D9B8-44CE-AAE0-95445D592C41}"/>
    <cellStyle name="Normal 2 4 5 2 2 3 3" xfId="5113" xr:uid="{00000000-0005-0000-0000-00004E100000}"/>
    <cellStyle name="Normal 2 4 5 2 2 3 3 2" xfId="13542" xr:uid="{1683D650-EC39-4910-A9C8-4A6A30139568}"/>
    <cellStyle name="Normal 2 4 5 2 2 3 4" xfId="9324" xr:uid="{7313250F-2DBE-446C-9B5C-B55962911BBC}"/>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54C71598-8308-4D2D-9A55-336FD0B0CDC1}"/>
    <cellStyle name="Normal 2 4 5 2 2 4 2 3" xfId="11882" xr:uid="{F1568B30-B2EB-4E7E-B115-A6CCC6E1784A}"/>
    <cellStyle name="Normal 2 4 5 2 2 4 3" xfId="5526" xr:uid="{00000000-0005-0000-0000-000052100000}"/>
    <cellStyle name="Normal 2 4 5 2 2 4 3 2" xfId="13955" xr:uid="{AC26FA4D-3D8E-4AA2-9B25-464A86645B1C}"/>
    <cellStyle name="Normal 2 4 5 2 2 4 4" xfId="9737" xr:uid="{BBE95D94-A103-438A-A0A0-F9620C6D500C}"/>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9E75FAB9-0A4B-493C-AD05-74C28CB02504}"/>
    <cellStyle name="Normal 2 4 5 2 2 5 2 3" xfId="12295" xr:uid="{601E977D-8555-4FE3-A6D9-052C144A468D}"/>
    <cellStyle name="Normal 2 4 5 2 2 5 3" xfId="5939" xr:uid="{00000000-0005-0000-0000-000056100000}"/>
    <cellStyle name="Normal 2 4 5 2 2 5 3 2" xfId="14368" xr:uid="{2A4A2D37-C895-4C85-9E24-DF0682942A71}"/>
    <cellStyle name="Normal 2 4 5 2 2 5 4" xfId="10150" xr:uid="{078FE2A2-C812-46B1-9036-59AE5FB120C7}"/>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703174D7-B242-4123-AA25-5BC238BAEF1C}"/>
    <cellStyle name="Normal 2 4 5 2 2 6 2 3" xfId="12708" xr:uid="{ACEA1CA6-CAFF-442C-ABBD-F7AF6C42F084}"/>
    <cellStyle name="Normal 2 4 5 2 2 6 3" xfId="6352" xr:uid="{00000000-0005-0000-0000-00005A100000}"/>
    <cellStyle name="Normal 2 4 5 2 2 6 3 2" xfId="14781" xr:uid="{2FE42B76-647F-44CC-A725-7EF908E4D283}"/>
    <cellStyle name="Normal 2 4 5 2 2 6 4" xfId="10563" xr:uid="{0B9D55E5-8F5E-4920-8DA9-1A2E65676962}"/>
    <cellStyle name="Normal 2 4 5 2 2 7" xfId="2480" xr:uid="{00000000-0005-0000-0000-00005B100000}"/>
    <cellStyle name="Normal 2 4 5 2 2 7 2" xfId="6765" xr:uid="{00000000-0005-0000-0000-00005C100000}"/>
    <cellStyle name="Normal 2 4 5 2 2 7 2 2" xfId="15194" xr:uid="{4A45DEA5-0B79-4BB9-A88E-23E7303610BF}"/>
    <cellStyle name="Normal 2 4 5 2 2 7 3" xfId="10976" xr:uid="{FE875A96-EB06-468E-82C2-41215C7481BB}"/>
    <cellStyle name="Normal 2 4 5 2 2 8" xfId="4699" xr:uid="{00000000-0005-0000-0000-00005D100000}"/>
    <cellStyle name="Normal 2 4 5 2 2 8 2" xfId="13128" xr:uid="{EEE0D9BB-EEE8-4D77-AFFE-0473A46A2D71}"/>
    <cellStyle name="Normal 2 4 5 2 2 9" xfId="8910" xr:uid="{012FE74E-A960-4380-999E-F1943373C733}"/>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4EE9DA2B-F2FE-4434-90D6-7CA71D9283AC}"/>
    <cellStyle name="Normal 2 4 5 2 3 2 2 3" xfId="11471" xr:uid="{13C86282-D624-458B-8C31-56EB7EF91911}"/>
    <cellStyle name="Normal 2 4 5 2 3 2 3" xfId="5115" xr:uid="{00000000-0005-0000-0000-000062100000}"/>
    <cellStyle name="Normal 2 4 5 2 3 2 3 2" xfId="13544" xr:uid="{FA5958A5-F85C-4192-ACD6-C96E0F29DC70}"/>
    <cellStyle name="Normal 2 4 5 2 3 2 4" xfId="9326" xr:uid="{C809E233-8D1B-4A74-81BC-D298692AECF8}"/>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5959E957-819C-46C8-9244-55078F47A48D}"/>
    <cellStyle name="Normal 2 4 5 2 3 3 2 3" xfId="11884" xr:uid="{8F11B3B2-05ED-4F24-900C-54FA2F9887DE}"/>
    <cellStyle name="Normal 2 4 5 2 3 3 3" xfId="5528" xr:uid="{00000000-0005-0000-0000-000066100000}"/>
    <cellStyle name="Normal 2 4 5 2 3 3 3 2" xfId="13957" xr:uid="{494A592D-6DCA-468F-B933-0824F7F338B9}"/>
    <cellStyle name="Normal 2 4 5 2 3 3 4" xfId="9739" xr:uid="{7A460DF7-15FE-4B61-A523-08B35CEDEEC5}"/>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ADF0F74F-8262-47A2-88B0-0F725007AAB9}"/>
    <cellStyle name="Normal 2 4 5 2 3 4 2 3" xfId="12297" xr:uid="{CD07BDFC-D158-4194-BB94-49AEF6E68CC8}"/>
    <cellStyle name="Normal 2 4 5 2 3 4 3" xfId="5941" xr:uid="{00000000-0005-0000-0000-00006A100000}"/>
    <cellStyle name="Normal 2 4 5 2 3 4 3 2" xfId="14370" xr:uid="{C496615F-B4FF-4D1B-8456-ED570B40BDA9}"/>
    <cellStyle name="Normal 2 4 5 2 3 4 4" xfId="10152" xr:uid="{2188DE69-996A-442C-B63F-2CB766B75FD1}"/>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50A27598-83F6-42BC-A60F-69FCF31AA356}"/>
    <cellStyle name="Normal 2 4 5 2 3 5 2 3" xfId="12710" xr:uid="{84C2D6B9-C8FE-47E2-B124-62071B5D47D9}"/>
    <cellStyle name="Normal 2 4 5 2 3 5 3" xfId="6354" xr:uid="{00000000-0005-0000-0000-00006E100000}"/>
    <cellStyle name="Normal 2 4 5 2 3 5 3 2" xfId="14783" xr:uid="{5C7D75F3-AA5F-49AC-9457-86044B5C110B}"/>
    <cellStyle name="Normal 2 4 5 2 3 5 4" xfId="10565" xr:uid="{7D99C1CB-E8C8-480F-AFA7-D656AFA42DD8}"/>
    <cellStyle name="Normal 2 4 5 2 3 6" xfId="2482" xr:uid="{00000000-0005-0000-0000-00006F100000}"/>
    <cellStyle name="Normal 2 4 5 2 3 6 2" xfId="6767" xr:uid="{00000000-0005-0000-0000-000070100000}"/>
    <cellStyle name="Normal 2 4 5 2 3 6 2 2" xfId="15196" xr:uid="{55B0F8D0-B5C5-4A3E-9C68-86DB060921A9}"/>
    <cellStyle name="Normal 2 4 5 2 3 6 3" xfId="10978" xr:uid="{974B11B4-E6EA-4AB1-AF17-074AB36B53C0}"/>
    <cellStyle name="Normal 2 4 5 2 3 7" xfId="4701" xr:uid="{00000000-0005-0000-0000-000071100000}"/>
    <cellStyle name="Normal 2 4 5 2 3 7 2" xfId="13130" xr:uid="{CD2FEA14-F640-467A-991E-074340811734}"/>
    <cellStyle name="Normal 2 4 5 2 3 8" xfId="8912" xr:uid="{B285B979-2770-4B4E-9934-BE602EABA39F}"/>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E5437E88-75AE-4CF3-99B3-878DEC189438}"/>
    <cellStyle name="Normal 2 4 5 2 4 2 3" xfId="11468" xr:uid="{159247B7-BEAE-451B-8970-A8FE5056A70E}"/>
    <cellStyle name="Normal 2 4 5 2 4 3" xfId="5112" xr:uid="{00000000-0005-0000-0000-000075100000}"/>
    <cellStyle name="Normal 2 4 5 2 4 3 2" xfId="13541" xr:uid="{E194ACA3-0174-4994-99B1-6282231D5F89}"/>
    <cellStyle name="Normal 2 4 5 2 4 4" xfId="9323" xr:uid="{608CF87B-DF09-4C68-8A64-E42E8010D0F8}"/>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92C2D8BC-CD98-4EF2-BB5F-8C5F2C54B399}"/>
    <cellStyle name="Normal 2 4 5 2 5 2 3" xfId="11881" xr:uid="{F17DAB63-14E1-43C0-AA9F-0F902893B7D8}"/>
    <cellStyle name="Normal 2 4 5 2 5 3" xfId="5525" xr:uid="{00000000-0005-0000-0000-000079100000}"/>
    <cellStyle name="Normal 2 4 5 2 5 3 2" xfId="13954" xr:uid="{9A6FEA4A-DA18-4964-A48D-3125CF41B8FA}"/>
    <cellStyle name="Normal 2 4 5 2 5 4" xfId="9736" xr:uid="{EC9D4692-DCDD-43D2-A37D-346501B6E9B1}"/>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71357ACE-0A0A-4CE0-8876-B5D3E598EC08}"/>
    <cellStyle name="Normal 2 4 5 2 6 2 3" xfId="12294" xr:uid="{430E1CF6-CFD0-4205-8273-51B304590CF2}"/>
    <cellStyle name="Normal 2 4 5 2 6 3" xfId="5938" xr:uid="{00000000-0005-0000-0000-00007D100000}"/>
    <cellStyle name="Normal 2 4 5 2 6 3 2" xfId="14367" xr:uid="{90CC6F1C-D174-43B7-8329-09B34662184A}"/>
    <cellStyle name="Normal 2 4 5 2 6 4" xfId="10149" xr:uid="{2710E860-CCF3-488E-A210-9EA9D8222E38}"/>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5758F38F-1067-4E7D-9E58-969BF6B68DE5}"/>
    <cellStyle name="Normal 2 4 5 2 7 2 3" xfId="12707" xr:uid="{787BC946-68E8-4101-BA0B-27198426D2C2}"/>
    <cellStyle name="Normal 2 4 5 2 7 3" xfId="6351" xr:uid="{00000000-0005-0000-0000-000081100000}"/>
    <cellStyle name="Normal 2 4 5 2 7 3 2" xfId="14780" xr:uid="{50CDEA7F-D88D-4014-93CA-A5CDCEF3673C}"/>
    <cellStyle name="Normal 2 4 5 2 7 4" xfId="10562" xr:uid="{D29045BA-EAF5-44D8-9C30-268B46FA8694}"/>
    <cellStyle name="Normal 2 4 5 2 8" xfId="2479" xr:uid="{00000000-0005-0000-0000-000082100000}"/>
    <cellStyle name="Normal 2 4 5 2 8 2" xfId="6764" xr:uid="{00000000-0005-0000-0000-000083100000}"/>
    <cellStyle name="Normal 2 4 5 2 8 2 2" xfId="15193" xr:uid="{D75E9C6A-AE7F-4555-ABDF-3D4DA70C124D}"/>
    <cellStyle name="Normal 2 4 5 2 8 3" xfId="10975" xr:uid="{D68BF7DD-47B2-4006-B12F-E13FF037DFB1}"/>
    <cellStyle name="Normal 2 4 5 2 9" xfId="4698" xr:uid="{00000000-0005-0000-0000-000084100000}"/>
    <cellStyle name="Normal 2 4 5 2 9 2" xfId="13127" xr:uid="{7C856927-BA13-4C52-934B-4473C29B71C2}"/>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E0E982F3-DD19-4CAF-A3B8-ACA76E5DBE36}"/>
    <cellStyle name="Normal 2 4 5 3 2 2 2 3" xfId="11473" xr:uid="{B3299222-FB30-4D65-98DD-5D340393664F}"/>
    <cellStyle name="Normal 2 4 5 3 2 2 3" xfId="5117" xr:uid="{00000000-0005-0000-0000-00008A100000}"/>
    <cellStyle name="Normal 2 4 5 3 2 2 3 2" xfId="13546" xr:uid="{E20F91F5-3FE3-42AF-B28F-70F6911C8B08}"/>
    <cellStyle name="Normal 2 4 5 3 2 2 4" xfId="9328" xr:uid="{42F8C93C-E555-48C8-A4A0-FE1CF70CCF7F}"/>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89EE8E5B-BEFE-4391-8F93-F039A0017334}"/>
    <cellStyle name="Normal 2 4 5 3 2 3 2 3" xfId="11886" xr:uid="{1ED6B301-7576-482A-83CC-9EBD787E992E}"/>
    <cellStyle name="Normal 2 4 5 3 2 3 3" xfId="5530" xr:uid="{00000000-0005-0000-0000-00008E100000}"/>
    <cellStyle name="Normal 2 4 5 3 2 3 3 2" xfId="13959" xr:uid="{542C3213-5718-4117-ACEF-46443D0C30AD}"/>
    <cellStyle name="Normal 2 4 5 3 2 3 4" xfId="9741" xr:uid="{6E3ED3D0-E437-493B-A46B-10EA93E596AA}"/>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974BF419-E2AC-4622-9547-CC55CF2CC687}"/>
    <cellStyle name="Normal 2 4 5 3 2 4 2 3" xfId="12299" xr:uid="{EA303007-CCD1-48E9-8D22-E92BB427FDE7}"/>
    <cellStyle name="Normal 2 4 5 3 2 4 3" xfId="5943" xr:uid="{00000000-0005-0000-0000-000092100000}"/>
    <cellStyle name="Normal 2 4 5 3 2 4 3 2" xfId="14372" xr:uid="{0562C138-721E-4EA0-BE78-909DF051BF59}"/>
    <cellStyle name="Normal 2 4 5 3 2 4 4" xfId="10154" xr:uid="{19A9E3DC-4881-4CA1-955C-9EBA17BAEDAB}"/>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0C27DE4F-A3B5-43DE-929B-2658167E482C}"/>
    <cellStyle name="Normal 2 4 5 3 2 5 2 3" xfId="12712" xr:uid="{61E9BB99-125C-4729-8734-A76405132E32}"/>
    <cellStyle name="Normal 2 4 5 3 2 5 3" xfId="6356" xr:uid="{00000000-0005-0000-0000-000096100000}"/>
    <cellStyle name="Normal 2 4 5 3 2 5 3 2" xfId="14785" xr:uid="{0A5B0235-7D76-49C8-8635-EA5EA832877E}"/>
    <cellStyle name="Normal 2 4 5 3 2 5 4" xfId="10567" xr:uid="{EBF698EC-CA3D-4100-8F92-CEE6C3018650}"/>
    <cellStyle name="Normal 2 4 5 3 2 6" xfId="2484" xr:uid="{00000000-0005-0000-0000-000097100000}"/>
    <cellStyle name="Normal 2 4 5 3 2 6 2" xfId="6769" xr:uid="{00000000-0005-0000-0000-000098100000}"/>
    <cellStyle name="Normal 2 4 5 3 2 6 2 2" xfId="15198" xr:uid="{4AF97CA9-8969-44D9-9CD4-CC7241FDB62A}"/>
    <cellStyle name="Normal 2 4 5 3 2 6 3" xfId="10980" xr:uid="{3155A344-5390-498D-95EA-B7F5623417A4}"/>
    <cellStyle name="Normal 2 4 5 3 2 7" xfId="4703" xr:uid="{00000000-0005-0000-0000-000099100000}"/>
    <cellStyle name="Normal 2 4 5 3 2 7 2" xfId="13132" xr:uid="{8A27BE3C-C1B7-43E6-A3F3-CBAAC8DC4EED}"/>
    <cellStyle name="Normal 2 4 5 3 2 8" xfId="8914" xr:uid="{3849BE9B-554C-4D28-BF2B-650FE7B3EFB8}"/>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D0184DB1-F8C1-405C-9468-9C2F8921FE68}"/>
    <cellStyle name="Normal 2 4 5 3 3 2 3" xfId="11472" xr:uid="{C47278A6-EFBB-49F6-B562-DC5566FBA203}"/>
    <cellStyle name="Normal 2 4 5 3 3 3" xfId="5116" xr:uid="{00000000-0005-0000-0000-00009D100000}"/>
    <cellStyle name="Normal 2 4 5 3 3 3 2" xfId="13545" xr:uid="{4CA5AB3B-1090-4C2B-9C25-B8BEC0983806}"/>
    <cellStyle name="Normal 2 4 5 3 3 4" xfId="9327" xr:uid="{A41EB24B-30C1-408D-8FB8-33549934CBC7}"/>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E68DF233-F9B7-4DDC-A8CE-2DF51F005373}"/>
    <cellStyle name="Normal 2 4 5 3 4 2 3" xfId="11885" xr:uid="{59765B97-C301-46E9-8B8D-2E21985BA77D}"/>
    <cellStyle name="Normal 2 4 5 3 4 3" xfId="5529" xr:uid="{00000000-0005-0000-0000-0000A1100000}"/>
    <cellStyle name="Normal 2 4 5 3 4 3 2" xfId="13958" xr:uid="{6CC0A9CE-81D3-470D-8981-DECD5CCF7E88}"/>
    <cellStyle name="Normal 2 4 5 3 4 4" xfId="9740" xr:uid="{06EDADF0-F3F3-4761-A4F2-8A4EAB70EE6E}"/>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DE00E75B-B92D-4B51-B741-AE5DCB4E99FC}"/>
    <cellStyle name="Normal 2 4 5 3 5 2 3" xfId="12298" xr:uid="{A129DD4C-F4AA-426D-9E92-DCB9614B2B22}"/>
    <cellStyle name="Normal 2 4 5 3 5 3" xfId="5942" xr:uid="{00000000-0005-0000-0000-0000A5100000}"/>
    <cellStyle name="Normal 2 4 5 3 5 3 2" xfId="14371" xr:uid="{C676173C-50DA-405C-9B89-1D4E310133D0}"/>
    <cellStyle name="Normal 2 4 5 3 5 4" xfId="10153" xr:uid="{45E04562-0D33-449C-BD89-02BD284A98BE}"/>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43C470AA-358A-4685-AB1C-07CFE17E1896}"/>
    <cellStyle name="Normal 2 4 5 3 6 2 3" xfId="12711" xr:uid="{C6ECBC8C-CE90-4793-B3BA-98A55502292D}"/>
    <cellStyle name="Normal 2 4 5 3 6 3" xfId="6355" xr:uid="{00000000-0005-0000-0000-0000A9100000}"/>
    <cellStyle name="Normal 2 4 5 3 6 3 2" xfId="14784" xr:uid="{332944B9-15B9-4FA8-9A39-B0649C1E1F39}"/>
    <cellStyle name="Normal 2 4 5 3 6 4" xfId="10566" xr:uid="{BC204D50-01C2-48CB-8B03-45D1D910D7FD}"/>
    <cellStyle name="Normal 2 4 5 3 7" xfId="2483" xr:uid="{00000000-0005-0000-0000-0000AA100000}"/>
    <cellStyle name="Normal 2 4 5 3 7 2" xfId="6768" xr:uid="{00000000-0005-0000-0000-0000AB100000}"/>
    <cellStyle name="Normal 2 4 5 3 7 2 2" xfId="15197" xr:uid="{89C77EEA-026F-420C-B4CD-260D22C90646}"/>
    <cellStyle name="Normal 2 4 5 3 7 3" xfId="10979" xr:uid="{E3AA2F6D-2936-40B6-A547-335C6F407F7A}"/>
    <cellStyle name="Normal 2 4 5 3 8" xfId="4702" xr:uid="{00000000-0005-0000-0000-0000AC100000}"/>
    <cellStyle name="Normal 2 4 5 3 8 2" xfId="13131" xr:uid="{6B716FCC-E06C-4B57-B54A-9C23047CF873}"/>
    <cellStyle name="Normal 2 4 5 3 9" xfId="8913" xr:uid="{B7DCF4C0-97FE-480D-B79B-FD6960F63251}"/>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1C670178-A8DE-45B2-A7F6-FD1FFE2F9B15}"/>
    <cellStyle name="Normal 2 4 5 4 2 2 3" xfId="11474" xr:uid="{E3ED4DEF-96AA-412C-80AC-63B9C5BDC86F}"/>
    <cellStyle name="Normal 2 4 5 4 2 3" xfId="5118" xr:uid="{00000000-0005-0000-0000-0000B1100000}"/>
    <cellStyle name="Normal 2 4 5 4 2 3 2" xfId="13547" xr:uid="{F352366E-E0F4-4C24-B343-29D619B3207E}"/>
    <cellStyle name="Normal 2 4 5 4 2 4" xfId="9329" xr:uid="{DC701658-B30D-48C4-8092-905CD44803D7}"/>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D621A36D-DB32-4DA2-B9E3-238B505B0F7B}"/>
    <cellStyle name="Normal 2 4 5 4 3 2 3" xfId="11887" xr:uid="{BC8A182A-E2E4-4446-8518-42A3B2D2741D}"/>
    <cellStyle name="Normal 2 4 5 4 3 3" xfId="5531" xr:uid="{00000000-0005-0000-0000-0000B5100000}"/>
    <cellStyle name="Normal 2 4 5 4 3 3 2" xfId="13960" xr:uid="{878E874F-9608-4001-B9A5-566FDF435BE4}"/>
    <cellStyle name="Normal 2 4 5 4 3 4" xfId="9742" xr:uid="{F1F9DDA1-C78E-44F8-879E-649C42A96EFE}"/>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5C070D8E-1FAE-4653-913C-28C1FCBEEE11}"/>
    <cellStyle name="Normal 2 4 5 4 4 2 3" xfId="12300" xr:uid="{45813ADF-58AE-4EEA-BB54-E6F0E23DC14B}"/>
    <cellStyle name="Normal 2 4 5 4 4 3" xfId="5944" xr:uid="{00000000-0005-0000-0000-0000B9100000}"/>
    <cellStyle name="Normal 2 4 5 4 4 3 2" xfId="14373" xr:uid="{FC25868F-E558-49D5-AA6F-91E0E458E78B}"/>
    <cellStyle name="Normal 2 4 5 4 4 4" xfId="10155" xr:uid="{7A95D357-A438-40BD-96A2-AE5E81D6092B}"/>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86C7C480-9208-47BC-974C-0E2A59CAB096}"/>
    <cellStyle name="Normal 2 4 5 4 5 2 3" xfId="12713" xr:uid="{21CF689C-4D58-4C56-8563-03C25574358F}"/>
    <cellStyle name="Normal 2 4 5 4 5 3" xfId="6357" xr:uid="{00000000-0005-0000-0000-0000BD100000}"/>
    <cellStyle name="Normal 2 4 5 4 5 3 2" xfId="14786" xr:uid="{EF7F3B68-6866-4BEE-9E9E-96B10283154C}"/>
    <cellStyle name="Normal 2 4 5 4 5 4" xfId="10568" xr:uid="{5143C64F-EB7F-4B6A-A9E2-37414C4A10C4}"/>
    <cellStyle name="Normal 2 4 5 4 6" xfId="2485" xr:uid="{00000000-0005-0000-0000-0000BE100000}"/>
    <cellStyle name="Normal 2 4 5 4 6 2" xfId="6770" xr:uid="{00000000-0005-0000-0000-0000BF100000}"/>
    <cellStyle name="Normal 2 4 5 4 6 2 2" xfId="15199" xr:uid="{D321845D-4FDF-4162-8BEC-0535BE2CBAAC}"/>
    <cellStyle name="Normal 2 4 5 4 6 3" xfId="10981" xr:uid="{2044BA32-36D5-442F-A276-A4FFDA738E93}"/>
    <cellStyle name="Normal 2 4 5 4 7" xfId="4704" xr:uid="{00000000-0005-0000-0000-0000C0100000}"/>
    <cellStyle name="Normal 2 4 5 4 7 2" xfId="13133" xr:uid="{A8EF18BC-3720-4CD9-BC69-693DB8C857DF}"/>
    <cellStyle name="Normal 2 4 5 4 8" xfId="8915" xr:uid="{7550571E-0B4A-41BC-BF01-E95D1D3A2760}"/>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204F364C-3A7E-4427-A1DD-19DA7D2837B6}"/>
    <cellStyle name="Normal 2 4 5 5 2 3" xfId="11467" xr:uid="{0D834701-FCD2-4A77-AB83-25556D431AF2}"/>
    <cellStyle name="Normal 2 4 5 5 3" xfId="5111" xr:uid="{00000000-0005-0000-0000-0000C4100000}"/>
    <cellStyle name="Normal 2 4 5 5 3 2" xfId="13540" xr:uid="{9707D1CE-3C69-4D43-A918-CE051DAC1B9D}"/>
    <cellStyle name="Normal 2 4 5 5 4" xfId="9322" xr:uid="{B8319C9B-FBA2-4402-ACED-2F21B750551C}"/>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BB76272D-78AA-4138-9896-6B4FD47C80A4}"/>
    <cellStyle name="Normal 2 4 5 6 2 3" xfId="11880" xr:uid="{CC51D393-382D-4E8C-9FA8-25F5310539E4}"/>
    <cellStyle name="Normal 2 4 5 6 3" xfId="5524" xr:uid="{00000000-0005-0000-0000-0000C8100000}"/>
    <cellStyle name="Normal 2 4 5 6 3 2" xfId="13953" xr:uid="{6CDE6CC3-7647-4822-8133-2F51F247C462}"/>
    <cellStyle name="Normal 2 4 5 6 4" xfId="9735" xr:uid="{EC3FEA48-E4CC-421E-9B2E-CCC217243910}"/>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E8BD88A8-8FEE-497B-8745-C37F9157E7F2}"/>
    <cellStyle name="Normal 2 4 5 7 2 3" xfId="12293" xr:uid="{EF3E3667-9749-4573-8395-96F6FF0258C1}"/>
    <cellStyle name="Normal 2 4 5 7 3" xfId="5937" xr:uid="{00000000-0005-0000-0000-0000CC100000}"/>
    <cellStyle name="Normal 2 4 5 7 3 2" xfId="14366" xr:uid="{A925D538-5E0A-4226-9F16-3CB83C2C378D}"/>
    <cellStyle name="Normal 2 4 5 7 4" xfId="10148" xr:uid="{B37976D4-1939-4C39-B8DD-C4A2DC6E6C06}"/>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303BF25F-C83A-46F9-AA66-5E1F5D9B2479}"/>
    <cellStyle name="Normal 2 4 5 8 2 3" xfId="12706" xr:uid="{E81F0866-F379-470D-BDFA-E089B81D72CD}"/>
    <cellStyle name="Normal 2 4 5 8 3" xfId="6350" xr:uid="{00000000-0005-0000-0000-0000D0100000}"/>
    <cellStyle name="Normal 2 4 5 8 3 2" xfId="14779" xr:uid="{216DCC8C-D4A4-46EF-8A67-BC4BF0A7289D}"/>
    <cellStyle name="Normal 2 4 5 8 4" xfId="10561" xr:uid="{D7FA9D9E-1AFF-4172-9947-6704ACC1000C}"/>
    <cellStyle name="Normal 2 4 5 9" xfId="2478" xr:uid="{00000000-0005-0000-0000-0000D1100000}"/>
    <cellStyle name="Normal 2 4 5 9 2" xfId="6763" xr:uid="{00000000-0005-0000-0000-0000D2100000}"/>
    <cellStyle name="Normal 2 4 5 9 2 2" xfId="15192" xr:uid="{6C2EAC10-AFCE-4A4E-9F9E-33D01DE8A1AC}"/>
    <cellStyle name="Normal 2 4 5 9 3" xfId="10974" xr:uid="{45130168-1111-4D2E-9003-CAC01D8842F6}"/>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32D36A4E-8B14-411D-8FFF-4EBDA1C09CDD}"/>
    <cellStyle name="Normal 2 4 7 2 2 2 3" xfId="11476" xr:uid="{C09F7F72-09DC-4C77-903B-EEEDEF20662E}"/>
    <cellStyle name="Normal 2 4 7 2 2 3" xfId="5120" xr:uid="{00000000-0005-0000-0000-0000D9100000}"/>
    <cellStyle name="Normal 2 4 7 2 2 3 2" xfId="13549" xr:uid="{510826AA-239A-4664-8E8E-8B25D08714DD}"/>
    <cellStyle name="Normal 2 4 7 2 2 4" xfId="9331" xr:uid="{60E9B604-93ED-4353-840F-94DC42516D86}"/>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F2E8B01E-E100-47B0-908E-90060EF6F57F}"/>
    <cellStyle name="Normal 2 4 7 2 3 2 3" xfId="11889" xr:uid="{6E7CDF9D-10B2-49A8-98C2-9A9CB39B3663}"/>
    <cellStyle name="Normal 2 4 7 2 3 3" xfId="5533" xr:uid="{00000000-0005-0000-0000-0000DD100000}"/>
    <cellStyle name="Normal 2 4 7 2 3 3 2" xfId="13962" xr:uid="{658E3743-7470-41A1-80D3-C2F02C3D172F}"/>
    <cellStyle name="Normal 2 4 7 2 3 4" xfId="9744" xr:uid="{350E94C6-0071-4C53-B95E-EA060105507A}"/>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5064A932-D300-4BFB-A130-7CEDC86B502D}"/>
    <cellStyle name="Normal 2 4 7 2 4 2 3" xfId="12302" xr:uid="{23CBA105-B0F2-4EEE-A4A4-9495723177F6}"/>
    <cellStyle name="Normal 2 4 7 2 4 3" xfId="5946" xr:uid="{00000000-0005-0000-0000-0000E1100000}"/>
    <cellStyle name="Normal 2 4 7 2 4 3 2" xfId="14375" xr:uid="{A0A3AB69-0BD2-4A00-B0D7-5BFE50AD0A58}"/>
    <cellStyle name="Normal 2 4 7 2 4 4" xfId="10157" xr:uid="{902ECB28-B9EC-43CA-8424-2F41D86344E1}"/>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1FBE7776-5381-46CF-9220-99C6C36BBA33}"/>
    <cellStyle name="Normal 2 4 7 2 5 2 3" xfId="12715" xr:uid="{FAEDA835-351C-491B-AC65-896AB49DB9CF}"/>
    <cellStyle name="Normal 2 4 7 2 5 3" xfId="6359" xr:uid="{00000000-0005-0000-0000-0000E5100000}"/>
    <cellStyle name="Normal 2 4 7 2 5 3 2" xfId="14788" xr:uid="{43CAE92C-A330-4D57-917D-1CB29CC45D86}"/>
    <cellStyle name="Normal 2 4 7 2 5 4" xfId="10570" xr:uid="{26BBF3CB-FD13-4827-89AA-285032C75F72}"/>
    <cellStyle name="Normal 2 4 7 2 6" xfId="2487" xr:uid="{00000000-0005-0000-0000-0000E6100000}"/>
    <cellStyle name="Normal 2 4 7 2 6 2" xfId="6772" xr:uid="{00000000-0005-0000-0000-0000E7100000}"/>
    <cellStyle name="Normal 2 4 7 2 6 2 2" xfId="15201" xr:uid="{9D18B2EA-55FB-4EA3-8E50-ACF5141DDEC4}"/>
    <cellStyle name="Normal 2 4 7 2 6 3" xfId="10983" xr:uid="{34A4A12C-E296-48FC-9406-F9182CB485AD}"/>
    <cellStyle name="Normal 2 4 7 2 7" xfId="4706" xr:uid="{00000000-0005-0000-0000-0000E8100000}"/>
    <cellStyle name="Normal 2 4 7 2 7 2" xfId="13135" xr:uid="{98498EE5-9EA0-4406-81E3-6CAAD0EF8219}"/>
    <cellStyle name="Normal 2 4 7 2 8" xfId="8917" xr:uid="{AA18EBDF-DA9A-4E39-A3EC-728F4312303B}"/>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DB912865-41BF-4E1F-8B92-EC45627AA74A}"/>
    <cellStyle name="Normal 2 4 7 3 2 3" xfId="11475" xr:uid="{161DF879-56D6-46A2-A1A1-F3717EDF97D6}"/>
    <cellStyle name="Normal 2 4 7 3 3" xfId="5119" xr:uid="{00000000-0005-0000-0000-0000EC100000}"/>
    <cellStyle name="Normal 2 4 7 3 3 2" xfId="13548" xr:uid="{4B583EC8-5275-4CF6-9F15-70F6B2BBE7A1}"/>
    <cellStyle name="Normal 2 4 7 3 4" xfId="9330" xr:uid="{A8CFE194-B8F3-41BF-B1F0-25EBB4B75A3C}"/>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54E9019C-1D38-4F00-BF01-01BFCA15C4F9}"/>
    <cellStyle name="Normal 2 4 7 4 2 3" xfId="11888" xr:uid="{5E9DCF4B-8CEC-4F0C-8156-43CD052B4A6A}"/>
    <cellStyle name="Normal 2 4 7 4 3" xfId="5532" xr:uid="{00000000-0005-0000-0000-0000F0100000}"/>
    <cellStyle name="Normal 2 4 7 4 3 2" xfId="13961" xr:uid="{01B529DD-ADBB-47FF-8FA3-98CB5D2B58C5}"/>
    <cellStyle name="Normal 2 4 7 4 4" xfId="9743" xr:uid="{73AAFDAB-7DAC-49F3-A30C-B8E3E3595A35}"/>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4CCA588B-C448-45FC-BBB7-C9DBE18A987F}"/>
    <cellStyle name="Normal 2 4 7 5 2 3" xfId="12301" xr:uid="{D4F4195C-ACEF-42F6-995C-774E1A7894B0}"/>
    <cellStyle name="Normal 2 4 7 5 3" xfId="5945" xr:uid="{00000000-0005-0000-0000-0000F4100000}"/>
    <cellStyle name="Normal 2 4 7 5 3 2" xfId="14374" xr:uid="{338DA85B-8E95-4B94-BF1B-0115D7B50325}"/>
    <cellStyle name="Normal 2 4 7 5 4" xfId="10156" xr:uid="{112257EF-3E6E-4A58-AC1D-686C8BCE1296}"/>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49C97857-08AA-497B-8B01-78D27A178E0D}"/>
    <cellStyle name="Normal 2 4 7 6 2 3" xfId="12714" xr:uid="{8BE7A3EB-D105-4D25-B850-20804CF31466}"/>
    <cellStyle name="Normal 2 4 7 6 3" xfId="6358" xr:uid="{00000000-0005-0000-0000-0000F8100000}"/>
    <cellStyle name="Normal 2 4 7 6 3 2" xfId="14787" xr:uid="{FC3E7BC7-E567-4E35-894C-4AE96F7BE565}"/>
    <cellStyle name="Normal 2 4 7 6 4" xfId="10569" xr:uid="{DA71AE51-64FE-472A-B14D-5743240547BC}"/>
    <cellStyle name="Normal 2 4 7 7" xfId="2486" xr:uid="{00000000-0005-0000-0000-0000F9100000}"/>
    <cellStyle name="Normal 2 4 7 7 2" xfId="6771" xr:uid="{00000000-0005-0000-0000-0000FA100000}"/>
    <cellStyle name="Normal 2 4 7 7 2 2" xfId="15200" xr:uid="{2F80777F-EF1C-49FB-A7EB-C1CD36B0F2CD}"/>
    <cellStyle name="Normal 2 4 7 7 3" xfId="10982" xr:uid="{AA05EE72-5DED-40BB-9B5E-08ED9570B491}"/>
    <cellStyle name="Normal 2 4 7 8" xfId="4705" xr:uid="{00000000-0005-0000-0000-0000FB100000}"/>
    <cellStyle name="Normal 2 4 7 8 2" xfId="13134" xr:uid="{BE24EF3E-88FB-444C-9123-2DD7CB26AE9A}"/>
    <cellStyle name="Normal 2 4 7 9" xfId="8916" xr:uid="{87825ABA-5C9F-49DA-8320-91E2BEDF85CA}"/>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6DD82C40-C2D0-4A10-AB90-356720F377AD}"/>
    <cellStyle name="Normal 2 4 8 2 2 3" xfId="11477" xr:uid="{2EE58F83-6E88-49A9-A619-0AD5E4011233}"/>
    <cellStyle name="Normal 2 4 8 2 3" xfId="5121" xr:uid="{00000000-0005-0000-0000-000000110000}"/>
    <cellStyle name="Normal 2 4 8 2 3 2" xfId="13550" xr:uid="{41FEC385-02C9-4CF4-ABC8-004270A01E85}"/>
    <cellStyle name="Normal 2 4 8 2 4" xfId="9332" xr:uid="{9428AFD4-85C3-4FB6-9E37-82BA4AA0DA8D}"/>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70A157FF-78CA-435D-A373-651434DC9A27}"/>
    <cellStyle name="Normal 2 4 8 3 2 3" xfId="11890" xr:uid="{07AD6500-4AA7-49DC-B08F-76844F567781}"/>
    <cellStyle name="Normal 2 4 8 3 3" xfId="5534" xr:uid="{00000000-0005-0000-0000-000004110000}"/>
    <cellStyle name="Normal 2 4 8 3 3 2" xfId="13963" xr:uid="{50184BC1-86EB-4199-8B36-5A09AAC363E3}"/>
    <cellStyle name="Normal 2 4 8 3 4" xfId="9745" xr:uid="{421C8D4E-B157-402A-AB82-FE6FD8233153}"/>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AA3D8F16-05CD-4381-A4F1-DF031EEC883F}"/>
    <cellStyle name="Normal 2 4 8 4 2 3" xfId="12303" xr:uid="{5D7430D8-4294-4A01-BC5F-C4BF93CEA70D}"/>
    <cellStyle name="Normal 2 4 8 4 3" xfId="5947" xr:uid="{00000000-0005-0000-0000-000008110000}"/>
    <cellStyle name="Normal 2 4 8 4 3 2" xfId="14376" xr:uid="{6A03A9CA-D29B-4AAD-80BC-701D639391CB}"/>
    <cellStyle name="Normal 2 4 8 4 4" xfId="10158" xr:uid="{3DB742DA-EFDF-4E38-9BB6-6C9D59880CB1}"/>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8CE100BD-03B2-4693-9BDA-2730CEE8764A}"/>
    <cellStyle name="Normal 2 4 8 5 2 3" xfId="12716" xr:uid="{E1D99417-8C72-442C-BC5C-59187815559D}"/>
    <cellStyle name="Normal 2 4 8 5 3" xfId="6360" xr:uid="{00000000-0005-0000-0000-00000C110000}"/>
    <cellStyle name="Normal 2 4 8 5 3 2" xfId="14789" xr:uid="{9EF0176B-07A1-455B-989F-F590E93A3542}"/>
    <cellStyle name="Normal 2 4 8 5 4" xfId="10571" xr:uid="{D91133D5-4386-4A10-92A7-565B5FA49E16}"/>
    <cellStyle name="Normal 2 4 8 6" xfId="2488" xr:uid="{00000000-0005-0000-0000-00000D110000}"/>
    <cellStyle name="Normal 2 4 8 6 2" xfId="6773" xr:uid="{00000000-0005-0000-0000-00000E110000}"/>
    <cellStyle name="Normal 2 4 8 6 2 2" xfId="15202" xr:uid="{A46ECDA1-079B-4B11-8A8A-2B7BC96717B9}"/>
    <cellStyle name="Normal 2 4 8 6 3" xfId="10984" xr:uid="{37D77573-9DFE-42D5-8E11-A3DDB1FB9B3A}"/>
    <cellStyle name="Normal 2 4 8 7" xfId="4707" xr:uid="{00000000-0005-0000-0000-00000F110000}"/>
    <cellStyle name="Normal 2 4 8 7 2" xfId="13136" xr:uid="{E4F6AC06-37E2-4391-A995-5E474DD9D64A}"/>
    <cellStyle name="Normal 2 4 8 8" xfId="8918" xr:uid="{E309E7C2-EF50-4669-BBB4-76B8F6AE7E9A}"/>
    <cellStyle name="Normal 2 5" xfId="315" xr:uid="{00000000-0005-0000-0000-000010110000}"/>
    <cellStyle name="Normal 2 5 10" xfId="4708" xr:uid="{00000000-0005-0000-0000-000011110000}"/>
    <cellStyle name="Normal 2 5 10 2" xfId="13137" xr:uid="{72DA477A-775C-4A59-811A-DE9B827581B2}"/>
    <cellStyle name="Normal 2 5 11" xfId="8919" xr:uid="{07A820D4-9EDA-4A55-ABE7-8FE46C5D2D7C}"/>
    <cellStyle name="Normal 2 5 2" xfId="316" xr:uid="{00000000-0005-0000-0000-000012110000}"/>
    <cellStyle name="Normal 2 5 3" xfId="317" xr:uid="{00000000-0005-0000-0000-000013110000}"/>
    <cellStyle name="Normal 2 5 4" xfId="318" xr:uid="{00000000-0005-0000-0000-000014110000}"/>
    <cellStyle name="Normal 2 5 4 10" xfId="8920" xr:uid="{C85D63AF-552D-4253-9605-ABDD31965FAC}"/>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F729CBCB-B208-4F68-B5DE-967F80668E75}"/>
    <cellStyle name="Normal 2 5 4 2 2 2 2 3" xfId="11481" xr:uid="{E81F7789-98EC-4D87-8DFB-D52E5C58CF42}"/>
    <cellStyle name="Normal 2 5 4 2 2 2 3" xfId="5125" xr:uid="{00000000-0005-0000-0000-00001A110000}"/>
    <cellStyle name="Normal 2 5 4 2 2 2 3 2" xfId="13554" xr:uid="{BC840BBE-5BFC-4011-810C-0C2EE86C9408}"/>
    <cellStyle name="Normal 2 5 4 2 2 2 4" xfId="9336" xr:uid="{4E24EE86-D439-40A1-9715-17CEB8AF67C6}"/>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33478D77-BB62-47DB-B56D-80FFAFDBC759}"/>
    <cellStyle name="Normal 2 5 4 2 2 3 2 3" xfId="11894" xr:uid="{7AC06550-6CAC-4576-AF09-56001036480B}"/>
    <cellStyle name="Normal 2 5 4 2 2 3 3" xfId="5538" xr:uid="{00000000-0005-0000-0000-00001E110000}"/>
    <cellStyle name="Normal 2 5 4 2 2 3 3 2" xfId="13967" xr:uid="{E1950230-5A40-44A3-BEAF-EE9D16077FF1}"/>
    <cellStyle name="Normal 2 5 4 2 2 3 4" xfId="9749" xr:uid="{3E542F45-38FA-4515-A986-EC4233A810EA}"/>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74E14600-279C-411B-BD03-4EB8FDDCEEA4}"/>
    <cellStyle name="Normal 2 5 4 2 2 4 2 3" xfId="12307" xr:uid="{ABC84CDA-E179-47B4-B11B-330E18B39D37}"/>
    <cellStyle name="Normal 2 5 4 2 2 4 3" xfId="5951" xr:uid="{00000000-0005-0000-0000-000022110000}"/>
    <cellStyle name="Normal 2 5 4 2 2 4 3 2" xfId="14380" xr:uid="{753B682C-17B9-4021-90B3-7016CABCB1DA}"/>
    <cellStyle name="Normal 2 5 4 2 2 4 4" xfId="10162" xr:uid="{C03924CF-0561-42B6-834A-DDD0D93298E7}"/>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19A2F30B-E2DC-4867-94BD-2BF1F085CD83}"/>
    <cellStyle name="Normal 2 5 4 2 2 5 2 3" xfId="12720" xr:uid="{1E302BC1-8BD5-4F4B-865C-49474C9234EF}"/>
    <cellStyle name="Normal 2 5 4 2 2 5 3" xfId="6364" xr:uid="{00000000-0005-0000-0000-000026110000}"/>
    <cellStyle name="Normal 2 5 4 2 2 5 3 2" xfId="14793" xr:uid="{66801858-B9F9-47E1-A6A4-4E2B8CA3C74A}"/>
    <cellStyle name="Normal 2 5 4 2 2 5 4" xfId="10575" xr:uid="{3D366EFD-A648-4D50-B395-3C436430F8EC}"/>
    <cellStyle name="Normal 2 5 4 2 2 6" xfId="2492" xr:uid="{00000000-0005-0000-0000-000027110000}"/>
    <cellStyle name="Normal 2 5 4 2 2 6 2" xfId="6777" xr:uid="{00000000-0005-0000-0000-000028110000}"/>
    <cellStyle name="Normal 2 5 4 2 2 6 2 2" xfId="15206" xr:uid="{6EB37425-3B75-46F2-BE59-03349391C229}"/>
    <cellStyle name="Normal 2 5 4 2 2 6 3" xfId="10988" xr:uid="{2E3DF301-6897-48B2-9BD6-860C0BB0AF91}"/>
    <cellStyle name="Normal 2 5 4 2 2 7" xfId="4711" xr:uid="{00000000-0005-0000-0000-000029110000}"/>
    <cellStyle name="Normal 2 5 4 2 2 7 2" xfId="13140" xr:uid="{6B74C89B-2EBB-4C5A-8CEE-545EDA1E3E51}"/>
    <cellStyle name="Normal 2 5 4 2 2 8" xfId="8922" xr:uid="{C4D42850-4673-469D-87A4-85E1D2E3C898}"/>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D5093D49-300E-476B-B3AB-5D66E2096C29}"/>
    <cellStyle name="Normal 2 5 4 2 3 2 3" xfId="11480" xr:uid="{E0DACAF8-987B-46A2-B9F2-495A2A5B5598}"/>
    <cellStyle name="Normal 2 5 4 2 3 3" xfId="5124" xr:uid="{00000000-0005-0000-0000-00002D110000}"/>
    <cellStyle name="Normal 2 5 4 2 3 3 2" xfId="13553" xr:uid="{2A2E03E4-AC37-4585-AE72-1492CB8E78F3}"/>
    <cellStyle name="Normal 2 5 4 2 3 4" xfId="9335" xr:uid="{44224D3C-29D6-4B11-8D63-0CCF68D6715D}"/>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9A245FCE-5C27-4918-9DD4-74F0D3D9E834}"/>
    <cellStyle name="Normal 2 5 4 2 4 2 3" xfId="11893" xr:uid="{A6FD6DE0-CC1E-4162-BF06-3F4745F4848F}"/>
    <cellStyle name="Normal 2 5 4 2 4 3" xfId="5537" xr:uid="{00000000-0005-0000-0000-000031110000}"/>
    <cellStyle name="Normal 2 5 4 2 4 3 2" xfId="13966" xr:uid="{0F3D7B75-01D8-4F76-B054-C3AD5E1EADBE}"/>
    <cellStyle name="Normal 2 5 4 2 4 4" xfId="9748" xr:uid="{ED4F9E74-26DC-48E5-9BCC-8B1465C312AE}"/>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C7CBA0AB-9544-411C-817D-A81FFC8561F6}"/>
    <cellStyle name="Normal 2 5 4 2 5 2 3" xfId="12306" xr:uid="{75F0E0A9-ADE8-4585-99C3-6E02602111D7}"/>
    <cellStyle name="Normal 2 5 4 2 5 3" xfId="5950" xr:uid="{00000000-0005-0000-0000-000035110000}"/>
    <cellStyle name="Normal 2 5 4 2 5 3 2" xfId="14379" xr:uid="{3E336378-6730-4EA6-B193-FAA9203D7D0D}"/>
    <cellStyle name="Normal 2 5 4 2 5 4" xfId="10161" xr:uid="{8664130D-DA3A-4A35-9126-E6E1405A8E89}"/>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B6982D53-3471-4F43-89D9-88972409C81D}"/>
    <cellStyle name="Normal 2 5 4 2 6 2 3" xfId="12719" xr:uid="{135C6E27-3BF8-4AC5-8246-B1A704CEA205}"/>
    <cellStyle name="Normal 2 5 4 2 6 3" xfId="6363" xr:uid="{00000000-0005-0000-0000-000039110000}"/>
    <cellStyle name="Normal 2 5 4 2 6 3 2" xfId="14792" xr:uid="{32EC64CD-1047-4D7F-9437-D5B84B724EA0}"/>
    <cellStyle name="Normal 2 5 4 2 6 4" xfId="10574" xr:uid="{A59FB19B-FD3F-498A-9DE5-DF377540873F}"/>
    <cellStyle name="Normal 2 5 4 2 7" xfId="2491" xr:uid="{00000000-0005-0000-0000-00003A110000}"/>
    <cellStyle name="Normal 2 5 4 2 7 2" xfId="6776" xr:uid="{00000000-0005-0000-0000-00003B110000}"/>
    <cellStyle name="Normal 2 5 4 2 7 2 2" xfId="15205" xr:uid="{D37AAD4C-3BE8-4745-898D-8D2AFCB8037B}"/>
    <cellStyle name="Normal 2 5 4 2 7 3" xfId="10987" xr:uid="{96A13DE3-162B-4A81-BC41-787022A29226}"/>
    <cellStyle name="Normal 2 5 4 2 8" xfId="4710" xr:uid="{00000000-0005-0000-0000-00003C110000}"/>
    <cellStyle name="Normal 2 5 4 2 8 2" xfId="13139" xr:uid="{8C44DB08-7EA8-45E1-B42D-033BD1C31A53}"/>
    <cellStyle name="Normal 2 5 4 2 9" xfId="8921" xr:uid="{C8B1FE64-695D-422A-AE35-E80A7AC48D22}"/>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B0441005-A5C8-40FF-BB54-1ECC0D96A6E6}"/>
    <cellStyle name="Normal 2 5 4 3 2 2 3" xfId="11482" xr:uid="{F130340A-461F-4AAA-B2A7-FAAD61979CD5}"/>
    <cellStyle name="Normal 2 5 4 3 2 3" xfId="5126" xr:uid="{00000000-0005-0000-0000-000041110000}"/>
    <cellStyle name="Normal 2 5 4 3 2 3 2" xfId="13555" xr:uid="{D2A3C9E9-2B40-4BBA-B9CE-AD001A05EB9D}"/>
    <cellStyle name="Normal 2 5 4 3 2 4" xfId="9337" xr:uid="{A506A302-A512-45E5-8E82-FAEA42CAC14E}"/>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0F3F688B-4D66-4C50-9714-F3F27DAE8D5F}"/>
    <cellStyle name="Normal 2 5 4 3 3 2 3" xfId="11895" xr:uid="{071300E8-9331-409C-98DB-D5C6A7BBCAEB}"/>
    <cellStyle name="Normal 2 5 4 3 3 3" xfId="5539" xr:uid="{00000000-0005-0000-0000-000045110000}"/>
    <cellStyle name="Normal 2 5 4 3 3 3 2" xfId="13968" xr:uid="{4D632438-00DF-4A72-B769-57829A386FD6}"/>
    <cellStyle name="Normal 2 5 4 3 3 4" xfId="9750" xr:uid="{E5C19281-1D59-4640-B477-E5203E1C1E79}"/>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7FF0DDC4-2A7C-4E60-B33B-CC86250EEE4A}"/>
    <cellStyle name="Normal 2 5 4 3 4 2 3" xfId="12308" xr:uid="{75F1BD6D-DFB1-4638-929A-3CE1B688C3AA}"/>
    <cellStyle name="Normal 2 5 4 3 4 3" xfId="5952" xr:uid="{00000000-0005-0000-0000-000049110000}"/>
    <cellStyle name="Normal 2 5 4 3 4 3 2" xfId="14381" xr:uid="{4FDCA57F-F385-4079-934B-CD0524D31464}"/>
    <cellStyle name="Normal 2 5 4 3 4 4" xfId="10163" xr:uid="{BC5AD478-A674-45AD-929A-5DE85FF56B35}"/>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4F2FE1A0-4605-4500-BFAB-129B6BBD5597}"/>
    <cellStyle name="Normal 2 5 4 3 5 2 3" xfId="12721" xr:uid="{0EEAAE8B-1560-4661-94CC-8C4D1F3D4405}"/>
    <cellStyle name="Normal 2 5 4 3 5 3" xfId="6365" xr:uid="{00000000-0005-0000-0000-00004D110000}"/>
    <cellStyle name="Normal 2 5 4 3 5 3 2" xfId="14794" xr:uid="{085C39A8-7A18-4046-8F28-32F6D98E8404}"/>
    <cellStyle name="Normal 2 5 4 3 5 4" xfId="10576" xr:uid="{512144EF-9007-4BE2-8C4E-52B66B6216B0}"/>
    <cellStyle name="Normal 2 5 4 3 6" xfId="2493" xr:uid="{00000000-0005-0000-0000-00004E110000}"/>
    <cellStyle name="Normal 2 5 4 3 6 2" xfId="6778" xr:uid="{00000000-0005-0000-0000-00004F110000}"/>
    <cellStyle name="Normal 2 5 4 3 6 2 2" xfId="15207" xr:uid="{7AC332F8-1B94-4CDE-B165-63153C0CC05D}"/>
    <cellStyle name="Normal 2 5 4 3 6 3" xfId="10989" xr:uid="{4D01E5A6-0BBF-44AA-80FD-8B12BFC6815F}"/>
    <cellStyle name="Normal 2 5 4 3 7" xfId="4712" xr:uid="{00000000-0005-0000-0000-000050110000}"/>
    <cellStyle name="Normal 2 5 4 3 7 2" xfId="13141" xr:uid="{7544F930-B8AA-4E09-B623-B603680F99D9}"/>
    <cellStyle name="Normal 2 5 4 3 8" xfId="8923" xr:uid="{04FE19EA-A5EE-449C-A5E3-3E26892E38A5}"/>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2CF7345C-56F6-4EC3-9D60-1E7A973FAD64}"/>
    <cellStyle name="Normal 2 5 4 4 2 3" xfId="11479" xr:uid="{10EFC7E0-045E-4819-A66D-49D308B654D0}"/>
    <cellStyle name="Normal 2 5 4 4 3" xfId="5123" xr:uid="{00000000-0005-0000-0000-000054110000}"/>
    <cellStyle name="Normal 2 5 4 4 3 2" xfId="13552" xr:uid="{2C4F9C41-3964-46B5-93F0-0C62A99D2FBF}"/>
    <cellStyle name="Normal 2 5 4 4 4" xfId="9334" xr:uid="{9BD7127C-C728-4A60-B136-4F02794355DE}"/>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07CD5B20-947B-4394-91E8-E808C20E1EB0}"/>
    <cellStyle name="Normal 2 5 4 5 2 3" xfId="11892" xr:uid="{968E1BC1-D75B-4B47-890E-327AF18B5E31}"/>
    <cellStyle name="Normal 2 5 4 5 3" xfId="5536" xr:uid="{00000000-0005-0000-0000-000058110000}"/>
    <cellStyle name="Normal 2 5 4 5 3 2" xfId="13965" xr:uid="{13AD2D38-8AA6-467E-8918-F1BE6727D14C}"/>
    <cellStyle name="Normal 2 5 4 5 4" xfId="9747" xr:uid="{A91E7DD5-B755-46F8-AD90-4550BEADE086}"/>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440E927D-346F-40E6-9238-544A76E30719}"/>
    <cellStyle name="Normal 2 5 4 6 2 3" xfId="12305" xr:uid="{93B6B032-420F-4E85-9F16-9B75564681EE}"/>
    <cellStyle name="Normal 2 5 4 6 3" xfId="5949" xr:uid="{00000000-0005-0000-0000-00005C110000}"/>
    <cellStyle name="Normal 2 5 4 6 3 2" xfId="14378" xr:uid="{D0F89CB6-F45E-484D-B249-753301EDDC94}"/>
    <cellStyle name="Normal 2 5 4 6 4" xfId="10160" xr:uid="{15E21CED-7E98-4A77-ADB2-DE6DC4B76914}"/>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D7CFB0F4-FC32-47E0-AEA4-3FDEC92141F9}"/>
    <cellStyle name="Normal 2 5 4 7 2 3" xfId="12718" xr:uid="{40F196A2-00E4-4FC5-9FF5-F1EF0EDC7CA4}"/>
    <cellStyle name="Normal 2 5 4 7 3" xfId="6362" xr:uid="{00000000-0005-0000-0000-000060110000}"/>
    <cellStyle name="Normal 2 5 4 7 3 2" xfId="14791" xr:uid="{D68A4F5D-63A4-4D94-B062-7B5E5AB803E4}"/>
    <cellStyle name="Normal 2 5 4 7 4" xfId="10573" xr:uid="{E0E44646-9838-4FB3-BAE7-C8ADA0B85C73}"/>
    <cellStyle name="Normal 2 5 4 8" xfId="2490" xr:uid="{00000000-0005-0000-0000-000061110000}"/>
    <cellStyle name="Normal 2 5 4 8 2" xfId="6775" xr:uid="{00000000-0005-0000-0000-000062110000}"/>
    <cellStyle name="Normal 2 5 4 8 2 2" xfId="15204" xr:uid="{9A6F945E-F046-4DB1-AB39-CAF223D086C2}"/>
    <cellStyle name="Normal 2 5 4 8 3" xfId="10986" xr:uid="{032078AD-6020-4D4D-A1C0-78DB27A2414E}"/>
    <cellStyle name="Normal 2 5 4 9" xfId="4709" xr:uid="{00000000-0005-0000-0000-000063110000}"/>
    <cellStyle name="Normal 2 5 4 9 2" xfId="13138" xr:uid="{34048A45-6B70-4061-812B-6C57D113233D}"/>
    <cellStyle name="Normal 2 5 5" xfId="804" xr:uid="{00000000-0005-0000-0000-000064110000}"/>
    <cellStyle name="Normal 2 5 5 2" xfId="3043" xr:uid="{00000000-0005-0000-0000-000065110000}"/>
    <cellStyle name="Normal 2 5 5 2 2" xfId="7267" xr:uid="{00000000-0005-0000-0000-000066110000}"/>
    <cellStyle name="Normal 2 5 5 2 2 2" xfId="15696" xr:uid="{6442BC31-E5B7-49A6-908B-54EB87987062}"/>
    <cellStyle name="Normal 2 5 5 2 3" xfId="11478" xr:uid="{4A464BFD-CDD4-4CA8-825C-AD824F856E21}"/>
    <cellStyle name="Normal 2 5 5 3" xfId="5122" xr:uid="{00000000-0005-0000-0000-000067110000}"/>
    <cellStyle name="Normal 2 5 5 3 2" xfId="13551" xr:uid="{67ACEBDC-4E8A-41FE-9195-696AC5384D68}"/>
    <cellStyle name="Normal 2 5 5 4" xfId="9333" xr:uid="{F04D15BA-A0FD-4A3D-AD29-E1457C1EFB98}"/>
    <cellStyle name="Normal 2 5 6" xfId="1226" xr:uid="{00000000-0005-0000-0000-000068110000}"/>
    <cellStyle name="Normal 2 5 6 2" xfId="3456" xr:uid="{00000000-0005-0000-0000-000069110000}"/>
    <cellStyle name="Normal 2 5 6 2 2" xfId="7680" xr:uid="{00000000-0005-0000-0000-00006A110000}"/>
    <cellStyle name="Normal 2 5 6 2 2 2" xfId="16109" xr:uid="{B91BEE83-C767-4E59-9413-CFD03AF0140C}"/>
    <cellStyle name="Normal 2 5 6 2 3" xfId="11891" xr:uid="{0E59BB16-7120-4469-B43B-8FEE0433F366}"/>
    <cellStyle name="Normal 2 5 6 3" xfId="5535" xr:uid="{00000000-0005-0000-0000-00006B110000}"/>
    <cellStyle name="Normal 2 5 6 3 2" xfId="13964" xr:uid="{B76F9EB0-8365-4016-AD85-626031834426}"/>
    <cellStyle name="Normal 2 5 6 4" xfId="9746" xr:uid="{1CB1F4EC-02EA-4624-BEDA-A1F13433B174}"/>
    <cellStyle name="Normal 2 5 7" xfId="1639" xr:uid="{00000000-0005-0000-0000-00006C110000}"/>
    <cellStyle name="Normal 2 5 7 2" xfId="3869" xr:uid="{00000000-0005-0000-0000-00006D110000}"/>
    <cellStyle name="Normal 2 5 7 2 2" xfId="8093" xr:uid="{00000000-0005-0000-0000-00006E110000}"/>
    <cellStyle name="Normal 2 5 7 2 2 2" xfId="16522" xr:uid="{AFF05866-4BA4-4950-821C-928F33B0C44F}"/>
    <cellStyle name="Normal 2 5 7 2 3" xfId="12304" xr:uid="{0D1A4CCC-3A0A-4BC2-9CB7-222F7E705D72}"/>
    <cellStyle name="Normal 2 5 7 3" xfId="5948" xr:uid="{00000000-0005-0000-0000-00006F110000}"/>
    <cellStyle name="Normal 2 5 7 3 2" xfId="14377" xr:uid="{EC0EA126-DE22-48AF-B8C2-244C342E86A8}"/>
    <cellStyle name="Normal 2 5 7 4" xfId="10159" xr:uid="{55AA9A34-0411-48D4-B034-53FEDF3939AB}"/>
    <cellStyle name="Normal 2 5 8" xfId="2053" xr:uid="{00000000-0005-0000-0000-000070110000}"/>
    <cellStyle name="Normal 2 5 8 2" xfId="4282" xr:uid="{00000000-0005-0000-0000-000071110000}"/>
    <cellStyle name="Normal 2 5 8 2 2" xfId="8506" xr:uid="{00000000-0005-0000-0000-000072110000}"/>
    <cellStyle name="Normal 2 5 8 2 2 2" xfId="16935" xr:uid="{84550F54-0015-47D8-AFC1-5826A1594E53}"/>
    <cellStyle name="Normal 2 5 8 2 3" xfId="12717" xr:uid="{8B234E28-7FD0-44C3-ACF6-B05E6141388F}"/>
    <cellStyle name="Normal 2 5 8 3" xfId="6361" xr:uid="{00000000-0005-0000-0000-000073110000}"/>
    <cellStyle name="Normal 2 5 8 3 2" xfId="14790" xr:uid="{5CDF2418-122D-42BE-A14B-94B395840E1C}"/>
    <cellStyle name="Normal 2 5 8 4" xfId="10572" xr:uid="{DCCEBAFD-D829-483D-8684-D76BCF8350A0}"/>
    <cellStyle name="Normal 2 5 9" xfId="2489" xr:uid="{00000000-0005-0000-0000-000074110000}"/>
    <cellStyle name="Normal 2 5 9 2" xfId="6774" xr:uid="{00000000-0005-0000-0000-000075110000}"/>
    <cellStyle name="Normal 2 5 9 2 2" xfId="15203" xr:uid="{8EACBECD-BAB6-4FD5-BD63-7416B14B957D}"/>
    <cellStyle name="Normal 2 5 9 3" xfId="10985" xr:uid="{045A157C-045F-465A-9FC7-E3E9FDA53CA6}"/>
    <cellStyle name="Normal 2 6" xfId="322" xr:uid="{00000000-0005-0000-0000-000076110000}"/>
    <cellStyle name="Normal 2 7" xfId="770" xr:uid="{00000000-0005-0000-0000-000077110000}"/>
    <cellStyle name="Normal 2 8" xfId="4496" xr:uid="{00000000-0005-0000-0000-000078110000}"/>
    <cellStyle name="Normal 2 8 2" xfId="12929" xr:uid="{5BD38582-6967-4C5E-821B-FB27D212E1F9}"/>
    <cellStyle name="Normal 3" xfId="323" xr:uid="{00000000-0005-0000-0000-000079110000}"/>
    <cellStyle name="Normal 3 2" xfId="324" xr:uid="{00000000-0005-0000-0000-00007A110000}"/>
    <cellStyle name="Normal 3 2 10" xfId="8924" xr:uid="{7A89E800-9E3F-4FFF-BB52-A59003FD09F1}"/>
    <cellStyle name="Normal 3 2 2" xfId="325" xr:uid="{00000000-0005-0000-0000-00007B110000}"/>
    <cellStyle name="Normal 3 2 2 2" xfId="811" xr:uid="{00000000-0005-0000-0000-00007C110000}"/>
    <cellStyle name="Normal 3 2 3" xfId="326" xr:uid="{00000000-0005-0000-0000-00007D110000}"/>
    <cellStyle name="Normal 3 2 3 10" xfId="8925" xr:uid="{A6E59944-42AE-4A2B-B5CA-8CDE3AA98B8C}"/>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B76DBBC2-0638-49A3-AB80-03C90F73CFF9}"/>
    <cellStyle name="Normal 3 2 3 2 2 2 2 3" xfId="11486" xr:uid="{0CA38571-3E8D-4E9E-9C05-3EF9579F1B7B}"/>
    <cellStyle name="Normal 3 2 3 2 2 2 3" xfId="5130" xr:uid="{00000000-0005-0000-0000-000083110000}"/>
    <cellStyle name="Normal 3 2 3 2 2 2 3 2" xfId="13559" xr:uid="{134FC7CC-8762-43AA-831A-209E2AC63343}"/>
    <cellStyle name="Normal 3 2 3 2 2 2 4" xfId="9341" xr:uid="{9D17973F-DAB8-42C8-8919-41F107302F89}"/>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8A2A9526-9796-467B-A57C-DAF3529D8F6E}"/>
    <cellStyle name="Normal 3 2 3 2 2 3 2 3" xfId="11899" xr:uid="{E8A27945-D3A3-467A-9794-BADA59A0D78E}"/>
    <cellStyle name="Normal 3 2 3 2 2 3 3" xfId="5543" xr:uid="{00000000-0005-0000-0000-000087110000}"/>
    <cellStyle name="Normal 3 2 3 2 2 3 3 2" xfId="13972" xr:uid="{E5B94BA8-638E-47B3-B4CE-06B00D0A71EB}"/>
    <cellStyle name="Normal 3 2 3 2 2 3 4" xfId="9754" xr:uid="{4CA635DA-387C-4FE0-8997-F9EDC8086707}"/>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E53F4014-C833-45E2-A2E5-69115BD0E3D3}"/>
    <cellStyle name="Normal 3 2 3 2 2 4 2 3" xfId="12312" xr:uid="{705A4B09-5F9D-48EC-9273-D066DCF90127}"/>
    <cellStyle name="Normal 3 2 3 2 2 4 3" xfId="5956" xr:uid="{00000000-0005-0000-0000-00008B110000}"/>
    <cellStyle name="Normal 3 2 3 2 2 4 3 2" xfId="14385" xr:uid="{108C19FC-BB90-446C-88D1-6E393A05DF23}"/>
    <cellStyle name="Normal 3 2 3 2 2 4 4" xfId="10167" xr:uid="{0D00DD0B-E67C-4D25-8A42-AC2E2CDF70E3}"/>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FB4FB6D2-6A3F-4A2D-81A4-8ECBDC209C05}"/>
    <cellStyle name="Normal 3 2 3 2 2 5 2 3" xfId="12725" xr:uid="{31CB7557-D3BA-444C-BE25-FF40791BEBD3}"/>
    <cellStyle name="Normal 3 2 3 2 2 5 3" xfId="6369" xr:uid="{00000000-0005-0000-0000-00008F110000}"/>
    <cellStyle name="Normal 3 2 3 2 2 5 3 2" xfId="14798" xr:uid="{D2B75647-8598-42A1-A9B6-2E3340E7D666}"/>
    <cellStyle name="Normal 3 2 3 2 2 5 4" xfId="10580" xr:uid="{18D34C2F-B970-4DF1-A89B-D0F8DC543052}"/>
    <cellStyle name="Normal 3 2 3 2 2 6" xfId="2497" xr:uid="{00000000-0005-0000-0000-000090110000}"/>
    <cellStyle name="Normal 3 2 3 2 2 6 2" xfId="6782" xr:uid="{00000000-0005-0000-0000-000091110000}"/>
    <cellStyle name="Normal 3 2 3 2 2 6 2 2" xfId="15211" xr:uid="{79DB0D1B-8EFA-44EC-B10C-AE0341ABE04C}"/>
    <cellStyle name="Normal 3 2 3 2 2 6 3" xfId="10993" xr:uid="{3660F0B9-8918-4841-9AFE-7F2322C6181B}"/>
    <cellStyle name="Normal 3 2 3 2 2 7" xfId="4716" xr:uid="{00000000-0005-0000-0000-000092110000}"/>
    <cellStyle name="Normal 3 2 3 2 2 7 2" xfId="13145" xr:uid="{BE01BD4A-6F86-4213-93E3-7B8AB10F70F7}"/>
    <cellStyle name="Normal 3 2 3 2 2 8" xfId="8927" xr:uid="{029F86C8-FBB1-4532-BAB9-6AF642601389}"/>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389810FA-0E81-4434-9826-F55E3324A983}"/>
    <cellStyle name="Normal 3 2 3 2 3 2 3" xfId="11485" xr:uid="{B3654114-4E2C-465F-8D4C-FDABAE41B180}"/>
    <cellStyle name="Normal 3 2 3 2 3 3" xfId="5129" xr:uid="{00000000-0005-0000-0000-000096110000}"/>
    <cellStyle name="Normal 3 2 3 2 3 3 2" xfId="13558" xr:uid="{F534664A-CC9D-45CA-83BF-F4611248A1A1}"/>
    <cellStyle name="Normal 3 2 3 2 3 4" xfId="9340" xr:uid="{E69A0255-8163-421B-8B3B-4572303E3C6E}"/>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CB48B3DE-CA9B-4DCB-AE05-F8711C8CEF82}"/>
    <cellStyle name="Normal 3 2 3 2 4 2 3" xfId="11898" xr:uid="{36962E6A-ADE1-4162-B7A6-4D67EE10FE2F}"/>
    <cellStyle name="Normal 3 2 3 2 4 3" xfId="5542" xr:uid="{00000000-0005-0000-0000-00009A110000}"/>
    <cellStyle name="Normal 3 2 3 2 4 3 2" xfId="13971" xr:uid="{BB942AA7-2A14-4C06-B324-EF8B093C1319}"/>
    <cellStyle name="Normal 3 2 3 2 4 4" xfId="9753" xr:uid="{DBDD9B8B-15A3-4BB8-BB51-FBC8E48A4084}"/>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D0E68DAD-A59C-4B15-B377-CFEAE8FBD78B}"/>
    <cellStyle name="Normal 3 2 3 2 5 2 3" xfId="12311" xr:uid="{321865DE-5F01-447C-9E41-9272C25EDFE0}"/>
    <cellStyle name="Normal 3 2 3 2 5 3" xfId="5955" xr:uid="{00000000-0005-0000-0000-00009E110000}"/>
    <cellStyle name="Normal 3 2 3 2 5 3 2" xfId="14384" xr:uid="{A3C1C986-0110-460D-BBB7-980640FF7DAA}"/>
    <cellStyle name="Normal 3 2 3 2 5 4" xfId="10166" xr:uid="{A1F678E0-E026-4CC9-8BF6-A999257A82D3}"/>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7DCE9113-53D7-41EF-8FBF-086E632DAA32}"/>
    <cellStyle name="Normal 3 2 3 2 6 2 3" xfId="12724" xr:uid="{7F102081-8ABC-4675-B874-167AC9731D0F}"/>
    <cellStyle name="Normal 3 2 3 2 6 3" xfId="6368" xr:uid="{00000000-0005-0000-0000-0000A2110000}"/>
    <cellStyle name="Normal 3 2 3 2 6 3 2" xfId="14797" xr:uid="{9A04B43A-B831-4F79-BADD-7F9E4A56ECB2}"/>
    <cellStyle name="Normal 3 2 3 2 6 4" xfId="10579" xr:uid="{59001B63-E3D3-42B8-A600-3D453190BCBC}"/>
    <cellStyle name="Normal 3 2 3 2 7" xfId="2496" xr:uid="{00000000-0005-0000-0000-0000A3110000}"/>
    <cellStyle name="Normal 3 2 3 2 7 2" xfId="6781" xr:uid="{00000000-0005-0000-0000-0000A4110000}"/>
    <cellStyle name="Normal 3 2 3 2 7 2 2" xfId="15210" xr:uid="{02C13CBB-87A9-4A2E-9A2E-AE35996803A7}"/>
    <cellStyle name="Normal 3 2 3 2 7 3" xfId="10992" xr:uid="{EC1337B0-8D43-4B94-A321-7D31003C3DF6}"/>
    <cellStyle name="Normal 3 2 3 2 8" xfId="4715" xr:uid="{00000000-0005-0000-0000-0000A5110000}"/>
    <cellStyle name="Normal 3 2 3 2 8 2" xfId="13144" xr:uid="{6F6B0F70-7215-4CE3-9AC7-74C3A5129FA8}"/>
    <cellStyle name="Normal 3 2 3 2 9" xfId="8926" xr:uid="{5A2B842F-D94B-4864-A42D-D01F962CE773}"/>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6155C80A-C464-4EE5-8DCD-FB4951342005}"/>
    <cellStyle name="Normal 3 2 3 3 2 2 3" xfId="11487" xr:uid="{F6064610-CFA6-4933-BDBF-98DE1C64C120}"/>
    <cellStyle name="Normal 3 2 3 3 2 3" xfId="5131" xr:uid="{00000000-0005-0000-0000-0000AA110000}"/>
    <cellStyle name="Normal 3 2 3 3 2 3 2" xfId="13560" xr:uid="{2821E6B9-C41B-4C97-8D71-CC6125262B7D}"/>
    <cellStyle name="Normal 3 2 3 3 2 4" xfId="9342" xr:uid="{104A29DF-9A40-42CD-B2B3-6160DC6BBC23}"/>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E49B7840-E66C-44D5-AFEA-FD06CD88EADA}"/>
    <cellStyle name="Normal 3 2 3 3 3 2 3" xfId="11900" xr:uid="{DC8ABFD8-5C1E-4447-B997-D17D754A4D75}"/>
    <cellStyle name="Normal 3 2 3 3 3 3" xfId="5544" xr:uid="{00000000-0005-0000-0000-0000AE110000}"/>
    <cellStyle name="Normal 3 2 3 3 3 3 2" xfId="13973" xr:uid="{4E937880-5573-48AD-BFBC-C95CA43B9515}"/>
    <cellStyle name="Normal 3 2 3 3 3 4" xfId="9755" xr:uid="{5B20904B-3B39-42CA-9BD3-BDA03BDB9DB9}"/>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EC397063-60AA-48D4-B098-FBCA2FC16DBD}"/>
    <cellStyle name="Normal 3 2 3 3 4 2 3" xfId="12313" xr:uid="{8CC034E1-8F83-4AF8-864F-BF77E7235628}"/>
    <cellStyle name="Normal 3 2 3 3 4 3" xfId="5957" xr:uid="{00000000-0005-0000-0000-0000B2110000}"/>
    <cellStyle name="Normal 3 2 3 3 4 3 2" xfId="14386" xr:uid="{23CCF259-81E0-4058-9080-EAED3EE140CD}"/>
    <cellStyle name="Normal 3 2 3 3 4 4" xfId="10168" xr:uid="{2ED00392-9242-4D7B-8387-8132248E62F9}"/>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1B23BD87-732F-4A2A-A867-D6912909252C}"/>
    <cellStyle name="Normal 3 2 3 3 5 2 3" xfId="12726" xr:uid="{26414DDB-8983-4957-819A-46722747A5AD}"/>
    <cellStyle name="Normal 3 2 3 3 5 3" xfId="6370" xr:uid="{00000000-0005-0000-0000-0000B6110000}"/>
    <cellStyle name="Normal 3 2 3 3 5 3 2" xfId="14799" xr:uid="{D14A4B28-ED09-44E9-8CB9-3CA4858FBB6F}"/>
    <cellStyle name="Normal 3 2 3 3 5 4" xfId="10581" xr:uid="{C9E36EEE-FC2C-4FA4-8DD8-5A8790EDB711}"/>
    <cellStyle name="Normal 3 2 3 3 6" xfId="2498" xr:uid="{00000000-0005-0000-0000-0000B7110000}"/>
    <cellStyle name="Normal 3 2 3 3 6 2" xfId="6783" xr:uid="{00000000-0005-0000-0000-0000B8110000}"/>
    <cellStyle name="Normal 3 2 3 3 6 2 2" xfId="15212" xr:uid="{0E3CBADE-6176-4E8D-BA78-CA6106A33EF4}"/>
    <cellStyle name="Normal 3 2 3 3 6 3" xfId="10994" xr:uid="{016D6752-1240-4739-8DF7-07B9A8FE1AFD}"/>
    <cellStyle name="Normal 3 2 3 3 7" xfId="4717" xr:uid="{00000000-0005-0000-0000-0000B9110000}"/>
    <cellStyle name="Normal 3 2 3 3 7 2" xfId="13146" xr:uid="{F8F4F9B5-8E29-4F7C-8534-A46C98D7332B}"/>
    <cellStyle name="Normal 3 2 3 3 8" xfId="8928" xr:uid="{4EB7C53B-D9C0-4AA7-A41B-9204EF096B59}"/>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97E4A046-1D4A-4440-9B87-5AECD6FB9ED7}"/>
    <cellStyle name="Normal 3 2 3 4 2 3" xfId="11484" xr:uid="{FCBFC52B-BC47-4B66-9F98-491D08C9BEF6}"/>
    <cellStyle name="Normal 3 2 3 4 3" xfId="5128" xr:uid="{00000000-0005-0000-0000-0000BD110000}"/>
    <cellStyle name="Normal 3 2 3 4 3 2" xfId="13557" xr:uid="{5B0EF311-DFF7-4A70-9621-618B4B47E0A2}"/>
    <cellStyle name="Normal 3 2 3 4 4" xfId="9339" xr:uid="{8F5D6D36-1B49-4421-8BAD-6B3435362F74}"/>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FDA0B64A-31E4-4B59-9DFC-8317F54297C0}"/>
    <cellStyle name="Normal 3 2 3 5 2 3" xfId="11897" xr:uid="{3F9C3DA4-A3C0-487B-85BF-2286E59760AC}"/>
    <cellStyle name="Normal 3 2 3 5 3" xfId="5541" xr:uid="{00000000-0005-0000-0000-0000C1110000}"/>
    <cellStyle name="Normal 3 2 3 5 3 2" xfId="13970" xr:uid="{E0449AA3-E614-4DEB-A994-E93A630D0C35}"/>
    <cellStyle name="Normal 3 2 3 5 4" xfId="9752" xr:uid="{E3B12355-BA03-4198-B820-2F4133AF9D8D}"/>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57A459D5-4820-4E83-B567-BEA7467D0619}"/>
    <cellStyle name="Normal 3 2 3 6 2 3" xfId="12310" xr:uid="{A1DE86BF-AD68-42B5-AE53-69611E142D2D}"/>
    <cellStyle name="Normal 3 2 3 6 3" xfId="5954" xr:uid="{00000000-0005-0000-0000-0000C5110000}"/>
    <cellStyle name="Normal 3 2 3 6 3 2" xfId="14383" xr:uid="{0A88A808-86A3-4914-993A-640713B56AB1}"/>
    <cellStyle name="Normal 3 2 3 6 4" xfId="10165" xr:uid="{DF9C7CEB-54E0-4094-9486-E3C61A182255}"/>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E2987AC1-427A-404E-BC7E-82B67A59468C}"/>
    <cellStyle name="Normal 3 2 3 7 2 3" xfId="12723" xr:uid="{6E198941-F6C1-42DF-825A-07A4ADF8593A}"/>
    <cellStyle name="Normal 3 2 3 7 3" xfId="6367" xr:uid="{00000000-0005-0000-0000-0000C9110000}"/>
    <cellStyle name="Normal 3 2 3 7 3 2" xfId="14796" xr:uid="{1360B11B-868E-47A0-A18E-EE5D240E7791}"/>
    <cellStyle name="Normal 3 2 3 7 4" xfId="10578" xr:uid="{D9DD89D9-8EDC-4683-9115-E480CC616C74}"/>
    <cellStyle name="Normal 3 2 3 8" xfId="2495" xr:uid="{00000000-0005-0000-0000-0000CA110000}"/>
    <cellStyle name="Normal 3 2 3 8 2" xfId="6780" xr:uid="{00000000-0005-0000-0000-0000CB110000}"/>
    <cellStyle name="Normal 3 2 3 8 2 2" xfId="15209" xr:uid="{DD1635F2-5358-4386-B988-7CA24E5BE947}"/>
    <cellStyle name="Normal 3 2 3 8 3" xfId="10991" xr:uid="{2DADA3F8-4D9F-49CE-91CF-45E430A1E072}"/>
    <cellStyle name="Normal 3 2 3 9" xfId="4714" xr:uid="{00000000-0005-0000-0000-0000CC110000}"/>
    <cellStyle name="Normal 3 2 3 9 2" xfId="13143" xr:uid="{7A94F53A-2DEB-4493-8692-E356D2521C62}"/>
    <cellStyle name="Normal 3 2 4" xfId="810" xr:uid="{00000000-0005-0000-0000-0000CD110000}"/>
    <cellStyle name="Normal 3 2 4 2" xfId="3048" xr:uid="{00000000-0005-0000-0000-0000CE110000}"/>
    <cellStyle name="Normal 3 2 4 2 2" xfId="7272" xr:uid="{00000000-0005-0000-0000-0000CF110000}"/>
    <cellStyle name="Normal 3 2 4 2 2 2" xfId="15701" xr:uid="{8F9D351B-A031-46C6-B308-B7FBE1EAA83A}"/>
    <cellStyle name="Normal 3 2 4 2 3" xfId="11483" xr:uid="{B6D2B3D3-870E-4269-9B98-0A1669E3E4A4}"/>
    <cellStyle name="Normal 3 2 4 3" xfId="5127" xr:uid="{00000000-0005-0000-0000-0000D0110000}"/>
    <cellStyle name="Normal 3 2 4 3 2" xfId="13556" xr:uid="{898A8DF4-1FB2-48E6-B491-3848970A432B}"/>
    <cellStyle name="Normal 3 2 4 4" xfId="9338" xr:uid="{DC86A18E-206E-4B39-A5CE-48A21FE12C9A}"/>
    <cellStyle name="Normal 3 2 5" xfId="1231" xr:uid="{00000000-0005-0000-0000-0000D1110000}"/>
    <cellStyle name="Normal 3 2 5 2" xfId="3461" xr:uid="{00000000-0005-0000-0000-0000D2110000}"/>
    <cellStyle name="Normal 3 2 5 2 2" xfId="7685" xr:uid="{00000000-0005-0000-0000-0000D3110000}"/>
    <cellStyle name="Normal 3 2 5 2 2 2" xfId="16114" xr:uid="{3441264E-AA6F-4F7B-993E-DD44CECEBBD2}"/>
    <cellStyle name="Normal 3 2 5 2 3" xfId="11896" xr:uid="{F98B0F99-8F00-434A-8F70-7140A3343244}"/>
    <cellStyle name="Normal 3 2 5 3" xfId="5540" xr:uid="{00000000-0005-0000-0000-0000D4110000}"/>
    <cellStyle name="Normal 3 2 5 3 2" xfId="13969" xr:uid="{2D8191D7-6162-4551-8069-7897950A83AF}"/>
    <cellStyle name="Normal 3 2 5 4" xfId="9751" xr:uid="{6E9FE0B8-C6C2-4442-8517-4A4A5C13B214}"/>
    <cellStyle name="Normal 3 2 6" xfId="1644" xr:uid="{00000000-0005-0000-0000-0000D5110000}"/>
    <cellStyle name="Normal 3 2 6 2" xfId="3874" xr:uid="{00000000-0005-0000-0000-0000D6110000}"/>
    <cellStyle name="Normal 3 2 6 2 2" xfId="8098" xr:uid="{00000000-0005-0000-0000-0000D7110000}"/>
    <cellStyle name="Normal 3 2 6 2 2 2" xfId="16527" xr:uid="{972FD385-49F7-4BC8-8FF0-CF2983139ACE}"/>
    <cellStyle name="Normal 3 2 6 2 3" xfId="12309" xr:uid="{756C2BC5-24A5-4980-97D8-7A3D92FC9339}"/>
    <cellStyle name="Normal 3 2 6 3" xfId="5953" xr:uid="{00000000-0005-0000-0000-0000D8110000}"/>
    <cellStyle name="Normal 3 2 6 3 2" xfId="14382" xr:uid="{FB86461F-88A2-433B-9993-0A62AD6379D4}"/>
    <cellStyle name="Normal 3 2 6 4" xfId="10164" xr:uid="{2F03056D-2FED-4185-8838-379ED9389880}"/>
    <cellStyle name="Normal 3 2 7" xfId="2058" xr:uid="{00000000-0005-0000-0000-0000D9110000}"/>
    <cellStyle name="Normal 3 2 7 2" xfId="4287" xr:uid="{00000000-0005-0000-0000-0000DA110000}"/>
    <cellStyle name="Normal 3 2 7 2 2" xfId="8511" xr:uid="{00000000-0005-0000-0000-0000DB110000}"/>
    <cellStyle name="Normal 3 2 7 2 2 2" xfId="16940" xr:uid="{98C3D007-B6EA-4CEC-A8B6-BDE83C98428B}"/>
    <cellStyle name="Normal 3 2 7 2 3" xfId="12722" xr:uid="{26E2CC49-9373-44F8-854A-760E41AEDCD2}"/>
    <cellStyle name="Normal 3 2 7 3" xfId="6366" xr:uid="{00000000-0005-0000-0000-0000DC110000}"/>
    <cellStyle name="Normal 3 2 7 3 2" xfId="14795" xr:uid="{D80AAE1C-6DB3-4EBB-B579-E60E14E2EB66}"/>
    <cellStyle name="Normal 3 2 7 4" xfId="10577" xr:uid="{70F59871-BDD5-477E-972C-6100BD50E2FD}"/>
    <cellStyle name="Normal 3 2 8" xfId="2494" xr:uid="{00000000-0005-0000-0000-0000DD110000}"/>
    <cellStyle name="Normal 3 2 8 2" xfId="6779" xr:uid="{00000000-0005-0000-0000-0000DE110000}"/>
    <cellStyle name="Normal 3 2 8 2 2" xfId="15208" xr:uid="{279AAFE5-AA80-4881-BC4F-8B5472C0F61C}"/>
    <cellStyle name="Normal 3 2 8 3" xfId="10990" xr:uid="{E2681A01-2777-4727-BBB3-3C03BECDE30B}"/>
    <cellStyle name="Normal 3 2 9" xfId="4713" xr:uid="{00000000-0005-0000-0000-0000DF110000}"/>
    <cellStyle name="Normal 3 2 9 2" xfId="13142" xr:uid="{90AB7D4A-C4A6-40A0-BE94-97D4FF4F3D39}"/>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7D7385E3-8C5C-4DDA-B19C-512B204D9A2E}"/>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A1AA7E42-6A76-4CDE-A12F-F4DDD7FB2FD8}"/>
    <cellStyle name="Normal 4 2 2 10 2 3" xfId="12727" xr:uid="{8C1BB596-D6F9-47B1-A028-7A3404733A42}"/>
    <cellStyle name="Normal 4 2 2 10 3" xfId="6371" xr:uid="{00000000-0005-0000-0000-0000EC110000}"/>
    <cellStyle name="Normal 4 2 2 10 3 2" xfId="14800" xr:uid="{70704936-CE14-495E-BDD8-AC0647E00133}"/>
    <cellStyle name="Normal 4 2 2 10 4" xfId="10582" xr:uid="{F13A1CE2-45C2-42B8-8976-B0CB451F72E1}"/>
    <cellStyle name="Normal 4 2 2 11" xfId="2499" xr:uid="{00000000-0005-0000-0000-0000ED110000}"/>
    <cellStyle name="Normal 4 2 2 11 2" xfId="6784" xr:uid="{00000000-0005-0000-0000-0000EE110000}"/>
    <cellStyle name="Normal 4 2 2 11 2 2" xfId="15213" xr:uid="{A69A839D-0AC2-47FB-95E6-8B076CE53DED}"/>
    <cellStyle name="Normal 4 2 2 11 3" xfId="10995" xr:uid="{5840F7AA-8B00-4083-8CF4-5610B0318797}"/>
    <cellStyle name="Normal 4 2 2 12" xfId="4719" xr:uid="{00000000-0005-0000-0000-0000EF110000}"/>
    <cellStyle name="Normal 4 2 2 12 2" xfId="13148" xr:uid="{A20150CF-5FB4-4C87-B3AA-ACF37CE1BC15}"/>
    <cellStyle name="Normal 4 2 2 13" xfId="8930" xr:uid="{8D70B22D-708B-40C2-8E97-5D2E6393A95F}"/>
    <cellStyle name="Normal 4 2 2 2" xfId="338" xr:uid="{00000000-0005-0000-0000-0000F0110000}"/>
    <cellStyle name="Normal 4 2 2 3" xfId="339" xr:uid="{00000000-0005-0000-0000-0000F1110000}"/>
    <cellStyle name="Normal 4 2 2 3 10" xfId="4720" xr:uid="{00000000-0005-0000-0000-0000F2110000}"/>
    <cellStyle name="Normal 4 2 2 3 10 2" xfId="13149" xr:uid="{B2554F55-4B48-419B-98E1-5F363091FD46}"/>
    <cellStyle name="Normal 4 2 2 3 11" xfId="8931" xr:uid="{FDBA5863-9A58-4054-92C7-90873007BA69}"/>
    <cellStyle name="Normal 4 2 2 3 2" xfId="340" xr:uid="{00000000-0005-0000-0000-0000F3110000}"/>
    <cellStyle name="Normal 4 2 2 3 2 10" xfId="8932" xr:uid="{BB37730C-A740-4297-AB16-84AFCE31023B}"/>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6EAC24AE-57F3-4430-96C3-2BD9E4BAEDF4}"/>
    <cellStyle name="Normal 4 2 2 3 2 2 2 2 2 3" xfId="11492" xr:uid="{52BC6C76-112B-4FD2-B972-874B7F8A554A}"/>
    <cellStyle name="Normal 4 2 2 3 2 2 2 2 3" xfId="5136" xr:uid="{00000000-0005-0000-0000-0000F9110000}"/>
    <cellStyle name="Normal 4 2 2 3 2 2 2 2 3 2" xfId="13565" xr:uid="{49D47C27-464D-4D73-9D22-0D8D8556C4A2}"/>
    <cellStyle name="Normal 4 2 2 3 2 2 2 2 4" xfId="9347" xr:uid="{85A30F63-D59D-4FE1-890B-8FF1B621811E}"/>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27742829-169C-4691-928E-0AF8A0F7F2AA}"/>
    <cellStyle name="Normal 4 2 2 3 2 2 2 3 2 3" xfId="11905" xr:uid="{4EB06859-C5F3-4735-A92D-B90341EBD9AC}"/>
    <cellStyle name="Normal 4 2 2 3 2 2 2 3 3" xfId="5549" xr:uid="{00000000-0005-0000-0000-0000FD110000}"/>
    <cellStyle name="Normal 4 2 2 3 2 2 2 3 3 2" xfId="13978" xr:uid="{7804B216-4392-49B0-9A6D-FCD4C566F277}"/>
    <cellStyle name="Normal 4 2 2 3 2 2 2 3 4" xfId="9760" xr:uid="{7A6BEF78-FDD1-46A8-9299-E10A998F92F9}"/>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C7DB0AEF-BAAE-470F-8B01-F78D06DB209B}"/>
    <cellStyle name="Normal 4 2 2 3 2 2 2 4 2 3" xfId="12318" xr:uid="{56601D43-FFE4-4C26-9365-1523902F1EDE}"/>
    <cellStyle name="Normal 4 2 2 3 2 2 2 4 3" xfId="5962" xr:uid="{00000000-0005-0000-0000-000001120000}"/>
    <cellStyle name="Normal 4 2 2 3 2 2 2 4 3 2" xfId="14391" xr:uid="{EE78F53F-19BF-4BCE-AC3F-5E517E26FA7E}"/>
    <cellStyle name="Normal 4 2 2 3 2 2 2 4 4" xfId="10173" xr:uid="{C6565E24-9B41-47B6-9A3C-BB737C58A9A4}"/>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399C0E4D-957C-49C9-9399-8FFE3C155D77}"/>
    <cellStyle name="Normal 4 2 2 3 2 2 2 5 2 3" xfId="12731" xr:uid="{5DA1EC2A-8E3E-4541-9DFE-3542AA1BE249}"/>
    <cellStyle name="Normal 4 2 2 3 2 2 2 5 3" xfId="6375" xr:uid="{00000000-0005-0000-0000-000005120000}"/>
    <cellStyle name="Normal 4 2 2 3 2 2 2 5 3 2" xfId="14804" xr:uid="{540E964D-0A39-4C3E-A825-BCA324F4D453}"/>
    <cellStyle name="Normal 4 2 2 3 2 2 2 5 4" xfId="10586" xr:uid="{2AFE205B-8ADF-4101-9ADA-04ACE397255A}"/>
    <cellStyle name="Normal 4 2 2 3 2 2 2 6" xfId="2503" xr:uid="{00000000-0005-0000-0000-000006120000}"/>
    <cellStyle name="Normal 4 2 2 3 2 2 2 6 2" xfId="6788" xr:uid="{00000000-0005-0000-0000-000007120000}"/>
    <cellStyle name="Normal 4 2 2 3 2 2 2 6 2 2" xfId="15217" xr:uid="{EE37094A-8AF2-4D55-97CE-AFE56DA0C217}"/>
    <cellStyle name="Normal 4 2 2 3 2 2 2 6 3" xfId="10999" xr:uid="{A2C4D74A-C9CE-4467-8FEC-5484036C8BA0}"/>
    <cellStyle name="Normal 4 2 2 3 2 2 2 7" xfId="4723" xr:uid="{00000000-0005-0000-0000-000008120000}"/>
    <cellStyle name="Normal 4 2 2 3 2 2 2 7 2" xfId="13152" xr:uid="{13CAFD44-85F3-4C39-8E96-5BC7255C8FE3}"/>
    <cellStyle name="Normal 4 2 2 3 2 2 2 8" xfId="8934" xr:uid="{505BE6BB-4D16-4A4C-A07D-E10CD52C88CB}"/>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E2E1BF3E-84B4-429D-869A-6514B0052ACD}"/>
    <cellStyle name="Normal 4 2 2 3 2 2 3 2 3" xfId="11491" xr:uid="{EA6FE934-6F32-420D-AF28-490956451E1C}"/>
    <cellStyle name="Normal 4 2 2 3 2 2 3 3" xfId="5135" xr:uid="{00000000-0005-0000-0000-00000C120000}"/>
    <cellStyle name="Normal 4 2 2 3 2 2 3 3 2" xfId="13564" xr:uid="{DDDAB67A-D956-4870-A715-B501E9A57984}"/>
    <cellStyle name="Normal 4 2 2 3 2 2 3 4" xfId="9346" xr:uid="{A3AD86FC-0C86-4140-A54B-A474350DAB71}"/>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1740447F-A998-4A9A-8549-D37E3FD94CD1}"/>
    <cellStyle name="Normal 4 2 2 3 2 2 4 2 3" xfId="11904" xr:uid="{24A316B7-B40B-4820-A8DC-9F70293FD12B}"/>
    <cellStyle name="Normal 4 2 2 3 2 2 4 3" xfId="5548" xr:uid="{00000000-0005-0000-0000-000010120000}"/>
    <cellStyle name="Normal 4 2 2 3 2 2 4 3 2" xfId="13977" xr:uid="{90B0C20E-2078-45AF-B6B5-BC4A58EEB16F}"/>
    <cellStyle name="Normal 4 2 2 3 2 2 4 4" xfId="9759" xr:uid="{E2E60DF8-176B-4E7D-BC08-8767AA7B609F}"/>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B55705F2-8840-40B2-A9EF-A526B2CEECCC}"/>
    <cellStyle name="Normal 4 2 2 3 2 2 5 2 3" xfId="12317" xr:uid="{C8E390A6-B885-41E7-8683-60096DB9C85E}"/>
    <cellStyle name="Normal 4 2 2 3 2 2 5 3" xfId="5961" xr:uid="{00000000-0005-0000-0000-000014120000}"/>
    <cellStyle name="Normal 4 2 2 3 2 2 5 3 2" xfId="14390" xr:uid="{8B6962F0-A8EF-43D9-B8A2-9ECBC43D0027}"/>
    <cellStyle name="Normal 4 2 2 3 2 2 5 4" xfId="10172" xr:uid="{F4F7500D-9758-4D7A-9797-532F153ECC78}"/>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0A6BC59D-9D96-4C21-832D-662935F09F00}"/>
    <cellStyle name="Normal 4 2 2 3 2 2 6 2 3" xfId="12730" xr:uid="{4286DB64-B83C-4C6D-8E0A-A7A7FB7D351E}"/>
    <cellStyle name="Normal 4 2 2 3 2 2 6 3" xfId="6374" xr:uid="{00000000-0005-0000-0000-000018120000}"/>
    <cellStyle name="Normal 4 2 2 3 2 2 6 3 2" xfId="14803" xr:uid="{50639E84-5293-4091-ACEE-9E3FA0AAA8C4}"/>
    <cellStyle name="Normal 4 2 2 3 2 2 6 4" xfId="10585" xr:uid="{6EF7D845-CA31-4DEB-9BB2-2C2B2B0092CA}"/>
    <cellStyle name="Normal 4 2 2 3 2 2 7" xfId="2502" xr:uid="{00000000-0005-0000-0000-000019120000}"/>
    <cellStyle name="Normal 4 2 2 3 2 2 7 2" xfId="6787" xr:uid="{00000000-0005-0000-0000-00001A120000}"/>
    <cellStyle name="Normal 4 2 2 3 2 2 7 2 2" xfId="15216" xr:uid="{1A6497B0-9388-4AA3-BFDA-FCDAE6469D49}"/>
    <cellStyle name="Normal 4 2 2 3 2 2 7 3" xfId="10998" xr:uid="{2BC15237-DC7C-401F-A53D-D543303C5961}"/>
    <cellStyle name="Normal 4 2 2 3 2 2 8" xfId="4722" xr:uid="{00000000-0005-0000-0000-00001B120000}"/>
    <cellStyle name="Normal 4 2 2 3 2 2 8 2" xfId="13151" xr:uid="{F482EBBE-24CA-418F-BFA3-F085BAB01D0A}"/>
    <cellStyle name="Normal 4 2 2 3 2 2 9" xfId="8933" xr:uid="{021E6BC8-FB4F-461A-8821-89B4C86CD839}"/>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C1D6C66A-D4D2-4D53-82B4-8488F8F2F4FA}"/>
    <cellStyle name="Normal 4 2 2 3 2 3 2 2 3" xfId="11493" xr:uid="{C48E06C8-E867-4011-9F6B-A45329E159CC}"/>
    <cellStyle name="Normal 4 2 2 3 2 3 2 3" xfId="5137" xr:uid="{00000000-0005-0000-0000-000020120000}"/>
    <cellStyle name="Normal 4 2 2 3 2 3 2 3 2" xfId="13566" xr:uid="{03DC944B-A0C1-48B7-9A11-1C309B750193}"/>
    <cellStyle name="Normal 4 2 2 3 2 3 2 4" xfId="9348" xr:uid="{991FDE36-209A-47BF-824D-7C4ADBCFD57E}"/>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E0DBB38C-728A-417F-B9BD-50E978E5A278}"/>
    <cellStyle name="Normal 4 2 2 3 2 3 3 2 3" xfId="11906" xr:uid="{420C2D67-6D31-470A-AB72-794CFE0FC393}"/>
    <cellStyle name="Normal 4 2 2 3 2 3 3 3" xfId="5550" xr:uid="{00000000-0005-0000-0000-000024120000}"/>
    <cellStyle name="Normal 4 2 2 3 2 3 3 3 2" xfId="13979" xr:uid="{EE59A0B0-CD4C-4410-9299-59A46736A472}"/>
    <cellStyle name="Normal 4 2 2 3 2 3 3 4" xfId="9761" xr:uid="{552CC7F5-F4DC-4F69-BD92-23B0F2F5676C}"/>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892F5006-063B-4935-9069-4DB8BE52F9B4}"/>
    <cellStyle name="Normal 4 2 2 3 2 3 4 2 3" xfId="12319" xr:uid="{31390321-4292-4CA1-8300-EB57FFE6ABF9}"/>
    <cellStyle name="Normal 4 2 2 3 2 3 4 3" xfId="5963" xr:uid="{00000000-0005-0000-0000-000028120000}"/>
    <cellStyle name="Normal 4 2 2 3 2 3 4 3 2" xfId="14392" xr:uid="{61B23DE8-B675-4CDA-887A-078B037DE917}"/>
    <cellStyle name="Normal 4 2 2 3 2 3 4 4" xfId="10174" xr:uid="{7DEFCE02-3250-4438-929B-DE525853EC5D}"/>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84B93817-4424-4405-BBD2-5BD9BB9F61DD}"/>
    <cellStyle name="Normal 4 2 2 3 2 3 5 2 3" xfId="12732" xr:uid="{55D475A2-EF07-457D-B1FC-23B266B73187}"/>
    <cellStyle name="Normal 4 2 2 3 2 3 5 3" xfId="6376" xr:uid="{00000000-0005-0000-0000-00002C120000}"/>
    <cellStyle name="Normal 4 2 2 3 2 3 5 3 2" xfId="14805" xr:uid="{08232DF0-7BAC-41CD-9DE1-C99FAA8B83DB}"/>
    <cellStyle name="Normal 4 2 2 3 2 3 5 4" xfId="10587" xr:uid="{C1A8C30A-EB0D-4E1D-9DAC-B27FF5307FF2}"/>
    <cellStyle name="Normal 4 2 2 3 2 3 6" xfId="2504" xr:uid="{00000000-0005-0000-0000-00002D120000}"/>
    <cellStyle name="Normal 4 2 2 3 2 3 6 2" xfId="6789" xr:uid="{00000000-0005-0000-0000-00002E120000}"/>
    <cellStyle name="Normal 4 2 2 3 2 3 6 2 2" xfId="15218" xr:uid="{DED595F0-77AC-494F-8106-032F01D55963}"/>
    <cellStyle name="Normal 4 2 2 3 2 3 6 3" xfId="11000" xr:uid="{0DEAFD6E-EF3A-424A-AD64-BD6A3E9C03BD}"/>
    <cellStyle name="Normal 4 2 2 3 2 3 7" xfId="4724" xr:uid="{00000000-0005-0000-0000-00002F120000}"/>
    <cellStyle name="Normal 4 2 2 3 2 3 7 2" xfId="13153" xr:uid="{954D27E3-D5E9-46A4-8C8C-76EAA71492AD}"/>
    <cellStyle name="Normal 4 2 2 3 2 3 8" xfId="8935" xr:uid="{31262F6F-4F47-45AC-A2A4-78BB58383B1D}"/>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F4C382B6-B188-44F8-A0F9-CCAAB3CF8598}"/>
    <cellStyle name="Normal 4 2 2 3 2 4 2 3" xfId="11490" xr:uid="{6DB06D74-C37E-4598-86E0-FC79C07AAFC3}"/>
    <cellStyle name="Normal 4 2 2 3 2 4 3" xfId="5134" xr:uid="{00000000-0005-0000-0000-000033120000}"/>
    <cellStyle name="Normal 4 2 2 3 2 4 3 2" xfId="13563" xr:uid="{D0CB91A1-DD26-4C57-AC63-16A9BE24659A}"/>
    <cellStyle name="Normal 4 2 2 3 2 4 4" xfId="9345" xr:uid="{E8188EF8-0A75-4515-823A-51F71BB0F905}"/>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7E03BAC4-B6C7-4704-9CBA-1EA3153721BD}"/>
    <cellStyle name="Normal 4 2 2 3 2 5 2 3" xfId="11903" xr:uid="{4CDA235D-EE91-4288-9088-D9B10A57FBC8}"/>
    <cellStyle name="Normal 4 2 2 3 2 5 3" xfId="5547" xr:uid="{00000000-0005-0000-0000-000037120000}"/>
    <cellStyle name="Normal 4 2 2 3 2 5 3 2" xfId="13976" xr:uid="{7758C028-231D-4F38-98B6-D8EC53DF98CF}"/>
    <cellStyle name="Normal 4 2 2 3 2 5 4" xfId="9758" xr:uid="{3DE94030-1B34-4B2F-8230-E7BAC6BE6CA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10FE89F6-C9A4-4B33-9317-8B78F4249BF0}"/>
    <cellStyle name="Normal 4 2 2 3 2 6 2 3" xfId="12316" xr:uid="{E9BB76E9-A2D0-4DE6-8BFC-8B8AABC61EED}"/>
    <cellStyle name="Normal 4 2 2 3 2 6 3" xfId="5960" xr:uid="{00000000-0005-0000-0000-00003B120000}"/>
    <cellStyle name="Normal 4 2 2 3 2 6 3 2" xfId="14389" xr:uid="{A5A846FE-C0C2-47D6-BE18-2A75CDB5CDB1}"/>
    <cellStyle name="Normal 4 2 2 3 2 6 4" xfId="10171" xr:uid="{3FEE0727-E84A-4B4D-83BF-EAC65D8A2314}"/>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6A016236-AA8B-400C-B53E-2359F7F2B0C8}"/>
    <cellStyle name="Normal 4 2 2 3 2 7 2 3" xfId="12729" xr:uid="{A16454B6-C289-4AD3-B848-C5CFB2518EC9}"/>
    <cellStyle name="Normal 4 2 2 3 2 7 3" xfId="6373" xr:uid="{00000000-0005-0000-0000-00003F120000}"/>
    <cellStyle name="Normal 4 2 2 3 2 7 3 2" xfId="14802" xr:uid="{0C4F3E4C-202E-4DF0-BE37-260DFA9A9EB1}"/>
    <cellStyle name="Normal 4 2 2 3 2 7 4" xfId="10584" xr:uid="{F2EAA7B1-7884-46B2-B0BA-CD4B679BC8AD}"/>
    <cellStyle name="Normal 4 2 2 3 2 8" xfId="2501" xr:uid="{00000000-0005-0000-0000-000040120000}"/>
    <cellStyle name="Normal 4 2 2 3 2 8 2" xfId="6786" xr:uid="{00000000-0005-0000-0000-000041120000}"/>
    <cellStyle name="Normal 4 2 2 3 2 8 2 2" xfId="15215" xr:uid="{94E56956-D4C8-41DB-A3C0-5C56EAC3D744}"/>
    <cellStyle name="Normal 4 2 2 3 2 8 3" xfId="10997" xr:uid="{25B504A8-DB49-4519-90AD-3F832CEC8888}"/>
    <cellStyle name="Normal 4 2 2 3 2 9" xfId="4721" xr:uid="{00000000-0005-0000-0000-000042120000}"/>
    <cellStyle name="Normal 4 2 2 3 2 9 2" xfId="13150" xr:uid="{C4316B28-5048-4CB1-B7D5-4BC4F019796B}"/>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36E90F24-2D45-4D07-870F-E5E191CD6ED6}"/>
    <cellStyle name="Normal 4 2 2 3 3 2 2 2 3" xfId="11495" xr:uid="{9DA848BE-928D-4E59-84CC-8F3A05DD0892}"/>
    <cellStyle name="Normal 4 2 2 3 3 2 2 3" xfId="5139" xr:uid="{00000000-0005-0000-0000-000048120000}"/>
    <cellStyle name="Normal 4 2 2 3 3 2 2 3 2" xfId="13568" xr:uid="{A20E602D-C6F2-4F10-B87A-5939CA7311DF}"/>
    <cellStyle name="Normal 4 2 2 3 3 2 2 4" xfId="9350" xr:uid="{D526D480-A917-4AD5-BBB3-878041FA3886}"/>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0D834DE4-4FB2-4371-82DE-3C923C4A7489}"/>
    <cellStyle name="Normal 4 2 2 3 3 2 3 2 3" xfId="11908" xr:uid="{24FE8255-10E3-49B0-874F-F5E6F775DCD7}"/>
    <cellStyle name="Normal 4 2 2 3 3 2 3 3" xfId="5552" xr:uid="{00000000-0005-0000-0000-00004C120000}"/>
    <cellStyle name="Normal 4 2 2 3 3 2 3 3 2" xfId="13981" xr:uid="{B839D012-A7F4-4F03-9AA5-4EA38397384A}"/>
    <cellStyle name="Normal 4 2 2 3 3 2 3 4" xfId="9763" xr:uid="{4F54FC6E-EE76-4395-AE9C-13ADA005B1A5}"/>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D4D660F8-D0E8-4A80-AC10-15FF5EFA2F10}"/>
    <cellStyle name="Normal 4 2 2 3 3 2 4 2 3" xfId="12321" xr:uid="{EE772D9B-1AB5-4C99-BFED-355D1FD49B2D}"/>
    <cellStyle name="Normal 4 2 2 3 3 2 4 3" xfId="5965" xr:uid="{00000000-0005-0000-0000-000050120000}"/>
    <cellStyle name="Normal 4 2 2 3 3 2 4 3 2" xfId="14394" xr:uid="{C8EB0D77-6F9A-41F0-930A-A570F317B1FA}"/>
    <cellStyle name="Normal 4 2 2 3 3 2 4 4" xfId="10176" xr:uid="{880B1B67-0034-48A3-AB47-D5EBDCC788A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A1BE528A-5678-4124-B3E7-E7A55FDC42A6}"/>
    <cellStyle name="Normal 4 2 2 3 3 2 5 2 3" xfId="12734" xr:uid="{4C909594-6732-4B5B-908C-026ED2563A34}"/>
    <cellStyle name="Normal 4 2 2 3 3 2 5 3" xfId="6378" xr:uid="{00000000-0005-0000-0000-000054120000}"/>
    <cellStyle name="Normal 4 2 2 3 3 2 5 3 2" xfId="14807" xr:uid="{D8DC4E04-D719-40ED-98C0-FB54996F803A}"/>
    <cellStyle name="Normal 4 2 2 3 3 2 5 4" xfId="10589" xr:uid="{9F76CCB7-2C09-4B10-8D80-B6F1BAD73E08}"/>
    <cellStyle name="Normal 4 2 2 3 3 2 6" xfId="2506" xr:uid="{00000000-0005-0000-0000-000055120000}"/>
    <cellStyle name="Normal 4 2 2 3 3 2 6 2" xfId="6791" xr:uid="{00000000-0005-0000-0000-000056120000}"/>
    <cellStyle name="Normal 4 2 2 3 3 2 6 2 2" xfId="15220" xr:uid="{D3029E0D-A900-47DA-8101-B50D88723768}"/>
    <cellStyle name="Normal 4 2 2 3 3 2 6 3" xfId="11002" xr:uid="{85B6C59F-804C-422A-9A45-73C3C4C7DFE8}"/>
    <cellStyle name="Normal 4 2 2 3 3 2 7" xfId="4726" xr:uid="{00000000-0005-0000-0000-000057120000}"/>
    <cellStyle name="Normal 4 2 2 3 3 2 7 2" xfId="13155" xr:uid="{AEDBDCB1-BE8E-419D-A7EA-19D77BF7215E}"/>
    <cellStyle name="Normal 4 2 2 3 3 2 8" xfId="8937" xr:uid="{29DE3143-34B9-4F3B-8DA7-6F5179EA73E3}"/>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085EDD6C-3FB7-4133-9B4E-97D63B347E3D}"/>
    <cellStyle name="Normal 4 2 2 3 3 3 2 3" xfId="11494" xr:uid="{7925A35A-0DE4-4395-A831-01653F703D2A}"/>
    <cellStyle name="Normal 4 2 2 3 3 3 3" xfId="5138" xr:uid="{00000000-0005-0000-0000-00005B120000}"/>
    <cellStyle name="Normal 4 2 2 3 3 3 3 2" xfId="13567" xr:uid="{36651300-95D5-44CA-A8D4-27DDC14F33B5}"/>
    <cellStyle name="Normal 4 2 2 3 3 3 4" xfId="9349" xr:uid="{4E985681-04D7-4910-85E8-9E3F12A271A6}"/>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6112F83F-7065-45C1-95BF-14407C9F0B36}"/>
    <cellStyle name="Normal 4 2 2 3 3 4 2 3" xfId="11907" xr:uid="{20E26905-8E7A-4BB2-9374-5EF555F98A87}"/>
    <cellStyle name="Normal 4 2 2 3 3 4 3" xfId="5551" xr:uid="{00000000-0005-0000-0000-00005F120000}"/>
    <cellStyle name="Normal 4 2 2 3 3 4 3 2" xfId="13980" xr:uid="{2795528A-E67D-4A7C-8034-B9C5D09AE713}"/>
    <cellStyle name="Normal 4 2 2 3 3 4 4" xfId="9762" xr:uid="{89259FC7-DE6D-4250-B634-769BD5BAC4AD}"/>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DED54C87-0BF2-4808-9E5B-072092F52D50}"/>
    <cellStyle name="Normal 4 2 2 3 3 5 2 3" xfId="12320" xr:uid="{422EDC39-D120-4947-9780-A3C4F1662DFE}"/>
    <cellStyle name="Normal 4 2 2 3 3 5 3" xfId="5964" xr:uid="{00000000-0005-0000-0000-000063120000}"/>
    <cellStyle name="Normal 4 2 2 3 3 5 3 2" xfId="14393" xr:uid="{6505A246-A44C-434D-8A66-3A7D6047EB18}"/>
    <cellStyle name="Normal 4 2 2 3 3 5 4" xfId="10175" xr:uid="{3EFFB321-293A-43AC-923F-B85CBEB00E2B}"/>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2F29660F-DDCB-4150-A934-1BB280366380}"/>
    <cellStyle name="Normal 4 2 2 3 3 6 2 3" xfId="12733" xr:uid="{A061076A-87D4-4671-B0E4-9FCE482C7DB8}"/>
    <cellStyle name="Normal 4 2 2 3 3 6 3" xfId="6377" xr:uid="{00000000-0005-0000-0000-000067120000}"/>
    <cellStyle name="Normal 4 2 2 3 3 6 3 2" xfId="14806" xr:uid="{FB8BA9F0-0C41-4EE9-BBB4-BB4D9D529625}"/>
    <cellStyle name="Normal 4 2 2 3 3 6 4" xfId="10588" xr:uid="{840D1A43-9EF9-44A1-8E8B-77BF1D7AEF70}"/>
    <cellStyle name="Normal 4 2 2 3 3 7" xfId="2505" xr:uid="{00000000-0005-0000-0000-000068120000}"/>
    <cellStyle name="Normal 4 2 2 3 3 7 2" xfId="6790" xr:uid="{00000000-0005-0000-0000-000069120000}"/>
    <cellStyle name="Normal 4 2 2 3 3 7 2 2" xfId="15219" xr:uid="{17C83E60-33D9-4460-B650-31CF9F19193D}"/>
    <cellStyle name="Normal 4 2 2 3 3 7 3" xfId="11001" xr:uid="{0D4F1860-3BA1-4757-B7FE-902106A75C92}"/>
    <cellStyle name="Normal 4 2 2 3 3 8" xfId="4725" xr:uid="{00000000-0005-0000-0000-00006A120000}"/>
    <cellStyle name="Normal 4 2 2 3 3 8 2" xfId="13154" xr:uid="{53B1F8AE-9304-429B-A708-6596CDAFF26E}"/>
    <cellStyle name="Normal 4 2 2 3 3 9" xfId="8936" xr:uid="{DF3924C7-86D2-4FEA-8F16-04FD8126B91A}"/>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8DE4802F-027D-42A8-B5CA-B003E6503777}"/>
    <cellStyle name="Normal 4 2 2 3 4 2 2 3" xfId="11496" xr:uid="{3F911FC2-67D7-4C00-95A7-1DC72B3A9E12}"/>
    <cellStyle name="Normal 4 2 2 3 4 2 3" xfId="5140" xr:uid="{00000000-0005-0000-0000-00006F120000}"/>
    <cellStyle name="Normal 4 2 2 3 4 2 3 2" xfId="13569" xr:uid="{D8BF79FD-B8DF-4026-8808-1A5E55D149BB}"/>
    <cellStyle name="Normal 4 2 2 3 4 2 4" xfId="9351" xr:uid="{C932D0D7-0FEF-4C0F-8D44-43947A08D90E}"/>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1C45EBCA-4EF4-44EC-B8E6-B29333D625AA}"/>
    <cellStyle name="Normal 4 2 2 3 4 3 2 3" xfId="11909" xr:uid="{2F6AA3E9-82B8-4518-A07C-3E9FF61F3C3F}"/>
    <cellStyle name="Normal 4 2 2 3 4 3 3" xfId="5553" xr:uid="{00000000-0005-0000-0000-000073120000}"/>
    <cellStyle name="Normal 4 2 2 3 4 3 3 2" xfId="13982" xr:uid="{429DABB5-327B-43C6-8EB5-F1030923026D}"/>
    <cellStyle name="Normal 4 2 2 3 4 3 4" xfId="9764" xr:uid="{9F66AE5D-5CF0-401F-B81E-252C5D512B76}"/>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DFED5441-08EA-4253-93B7-0AB278CD7863}"/>
    <cellStyle name="Normal 4 2 2 3 4 4 2 3" xfId="12322" xr:uid="{B8AAAD75-3FCF-40C6-8E9C-83C846AB421D}"/>
    <cellStyle name="Normal 4 2 2 3 4 4 3" xfId="5966" xr:uid="{00000000-0005-0000-0000-000077120000}"/>
    <cellStyle name="Normal 4 2 2 3 4 4 3 2" xfId="14395" xr:uid="{C1403F5C-5DEC-409E-BEF6-918403605A99}"/>
    <cellStyle name="Normal 4 2 2 3 4 4 4" xfId="10177" xr:uid="{6A0B8A48-B474-4FE5-ACE9-8A3F5584DDB8}"/>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9134542D-B78E-4B74-ACEE-EFAF39C57BD3}"/>
    <cellStyle name="Normal 4 2 2 3 4 5 2 3" xfId="12735" xr:uid="{CEFD3C4F-B902-4EBE-BAF9-57E227834BD8}"/>
    <cellStyle name="Normal 4 2 2 3 4 5 3" xfId="6379" xr:uid="{00000000-0005-0000-0000-00007B120000}"/>
    <cellStyle name="Normal 4 2 2 3 4 5 3 2" xfId="14808" xr:uid="{1D52778F-6860-40B0-9E10-1C74E7A66CAD}"/>
    <cellStyle name="Normal 4 2 2 3 4 5 4" xfId="10590" xr:uid="{02B59FFD-5C59-4FC2-8745-422F74FE201E}"/>
    <cellStyle name="Normal 4 2 2 3 4 6" xfId="2507" xr:uid="{00000000-0005-0000-0000-00007C120000}"/>
    <cellStyle name="Normal 4 2 2 3 4 6 2" xfId="6792" xr:uid="{00000000-0005-0000-0000-00007D120000}"/>
    <cellStyle name="Normal 4 2 2 3 4 6 2 2" xfId="15221" xr:uid="{EB7667FB-B4F8-4204-918D-D492B9A909EB}"/>
    <cellStyle name="Normal 4 2 2 3 4 6 3" xfId="11003" xr:uid="{1AC48419-A640-46D4-8540-BE36F9CAA8EF}"/>
    <cellStyle name="Normal 4 2 2 3 4 7" xfId="4727" xr:uid="{00000000-0005-0000-0000-00007E120000}"/>
    <cellStyle name="Normal 4 2 2 3 4 7 2" xfId="13156" xr:uid="{0DC8B6D4-3941-42DA-9429-82B9299658E5}"/>
    <cellStyle name="Normal 4 2 2 3 4 8" xfId="8938" xr:uid="{E5C09E8D-CA53-4DD7-B15C-996C259ECFF4}"/>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3BEED0CA-A290-4830-BD4E-89B4F29FA296}"/>
    <cellStyle name="Normal 4 2 2 3 5 2 3" xfId="11489" xr:uid="{F8C96226-61B2-4D7A-A1B2-520E01DB17EE}"/>
    <cellStyle name="Normal 4 2 2 3 5 3" xfId="5133" xr:uid="{00000000-0005-0000-0000-000082120000}"/>
    <cellStyle name="Normal 4 2 2 3 5 3 2" xfId="13562" xr:uid="{DE4D7309-1FE1-479F-81D8-FCDD942C4BA3}"/>
    <cellStyle name="Normal 4 2 2 3 5 4" xfId="9344" xr:uid="{1A3BC3D4-0F0C-4BB8-8A68-1B00F1927661}"/>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BF7850C8-EFC0-4FF3-A748-36E777B042CF}"/>
    <cellStyle name="Normal 4 2 2 3 6 2 3" xfId="11902" xr:uid="{5797F0FE-B747-42EE-A354-D94CF58A718F}"/>
    <cellStyle name="Normal 4 2 2 3 6 3" xfId="5546" xr:uid="{00000000-0005-0000-0000-000086120000}"/>
    <cellStyle name="Normal 4 2 2 3 6 3 2" xfId="13975" xr:uid="{337AB3D2-56E0-449B-AE1A-7338CF2C7111}"/>
    <cellStyle name="Normal 4 2 2 3 6 4" xfId="9757" xr:uid="{01DDB765-C66B-470A-9023-37450BC88A94}"/>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E89D87C9-3A95-4F65-A531-CF732588FB10}"/>
    <cellStyle name="Normal 4 2 2 3 7 2 3" xfId="12315" xr:uid="{ACBB5F6A-C899-4419-BEB6-073C1C3E0B11}"/>
    <cellStyle name="Normal 4 2 2 3 7 3" xfId="5959" xr:uid="{00000000-0005-0000-0000-00008A120000}"/>
    <cellStyle name="Normal 4 2 2 3 7 3 2" xfId="14388" xr:uid="{ED845169-F1AC-4674-8203-3D8E00997A6F}"/>
    <cellStyle name="Normal 4 2 2 3 7 4" xfId="10170" xr:uid="{16029CF3-6B2D-4EB7-A127-8A968BA583EC}"/>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ABEAE016-B88D-4C1C-8CCD-0CA52998AE73}"/>
    <cellStyle name="Normal 4 2 2 3 8 2 3" xfId="12728" xr:uid="{E5728A61-A58C-45FD-ACB9-EB25D0E15BE4}"/>
    <cellStyle name="Normal 4 2 2 3 8 3" xfId="6372" xr:uid="{00000000-0005-0000-0000-00008E120000}"/>
    <cellStyle name="Normal 4 2 2 3 8 3 2" xfId="14801" xr:uid="{C783E137-B667-4CC0-AD7A-EBADBC0FD2D4}"/>
    <cellStyle name="Normal 4 2 2 3 8 4" xfId="10583" xr:uid="{73814AF2-86B3-4AA5-8DF6-245C6A5773ED}"/>
    <cellStyle name="Normal 4 2 2 3 9" xfId="2500" xr:uid="{00000000-0005-0000-0000-00008F120000}"/>
    <cellStyle name="Normal 4 2 2 3 9 2" xfId="6785" xr:uid="{00000000-0005-0000-0000-000090120000}"/>
    <cellStyle name="Normal 4 2 2 3 9 2 2" xfId="15214" xr:uid="{E68FA974-EF93-464A-917B-CF637DD1D722}"/>
    <cellStyle name="Normal 4 2 2 3 9 3" xfId="10996" xr:uid="{15D44633-873A-4094-B879-65B8C38FB18D}"/>
    <cellStyle name="Normal 4 2 2 4" xfId="347" xr:uid="{00000000-0005-0000-0000-000091120000}"/>
    <cellStyle name="Normal 4 2 2 4 10" xfId="8939" xr:uid="{DFADE032-5583-4469-8619-BB984AF27FE7}"/>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3E5C7CD7-90FE-47C1-AF4A-860101E2883E}"/>
    <cellStyle name="Normal 4 2 2 4 2 2 2 2 3" xfId="11499" xr:uid="{786E7ADF-4EC9-4911-B87D-6714B2BF12B5}"/>
    <cellStyle name="Normal 4 2 2 4 2 2 2 3" xfId="5143" xr:uid="{00000000-0005-0000-0000-000097120000}"/>
    <cellStyle name="Normal 4 2 2 4 2 2 2 3 2" xfId="13572" xr:uid="{4CECA3CC-3466-4AD8-91A8-7894F939CB08}"/>
    <cellStyle name="Normal 4 2 2 4 2 2 2 4" xfId="9354" xr:uid="{5FB5B7C8-6913-40AC-A2C6-0BA6F0ACA032}"/>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456F0D3F-A689-42BA-95CE-D46F390939D2}"/>
    <cellStyle name="Normal 4 2 2 4 2 2 3 2 3" xfId="11912" xr:uid="{8D873D74-9B36-4349-B1AE-A28E761045EF}"/>
    <cellStyle name="Normal 4 2 2 4 2 2 3 3" xfId="5556" xr:uid="{00000000-0005-0000-0000-00009B120000}"/>
    <cellStyle name="Normal 4 2 2 4 2 2 3 3 2" xfId="13985" xr:uid="{932322C8-06B6-429F-8CF8-C344EB1799F9}"/>
    <cellStyle name="Normal 4 2 2 4 2 2 3 4" xfId="9767" xr:uid="{B8757BB0-632F-47D4-9C3C-F60A48C312EC}"/>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FB21742E-9A20-4FFD-9445-2AC75AB7E839}"/>
    <cellStyle name="Normal 4 2 2 4 2 2 4 2 3" xfId="12325" xr:uid="{9441CE19-C556-409C-AE18-4967EDA2F354}"/>
    <cellStyle name="Normal 4 2 2 4 2 2 4 3" xfId="5969" xr:uid="{00000000-0005-0000-0000-00009F120000}"/>
    <cellStyle name="Normal 4 2 2 4 2 2 4 3 2" xfId="14398" xr:uid="{20E49A65-CC42-4E46-BEBA-BC1B37E754E2}"/>
    <cellStyle name="Normal 4 2 2 4 2 2 4 4" xfId="10180" xr:uid="{A9A576C1-4A2B-4561-9119-1E77B7DA8E04}"/>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FD3EBC28-FE1E-4E3A-92AB-0AAA4A71B7DA}"/>
    <cellStyle name="Normal 4 2 2 4 2 2 5 2 3" xfId="12738" xr:uid="{43929777-7414-4CC2-B897-63847CED1B74}"/>
    <cellStyle name="Normal 4 2 2 4 2 2 5 3" xfId="6382" xr:uid="{00000000-0005-0000-0000-0000A3120000}"/>
    <cellStyle name="Normal 4 2 2 4 2 2 5 3 2" xfId="14811" xr:uid="{BDFE7D01-F9D2-41F6-9BF8-51E315D4AB5F}"/>
    <cellStyle name="Normal 4 2 2 4 2 2 5 4" xfId="10593" xr:uid="{8A9B7EAB-67D2-474C-ACD3-3480744DB78C}"/>
    <cellStyle name="Normal 4 2 2 4 2 2 6" xfId="2510" xr:uid="{00000000-0005-0000-0000-0000A4120000}"/>
    <cellStyle name="Normal 4 2 2 4 2 2 6 2" xfId="6795" xr:uid="{00000000-0005-0000-0000-0000A5120000}"/>
    <cellStyle name="Normal 4 2 2 4 2 2 6 2 2" xfId="15224" xr:uid="{E13AF4C9-E090-4A20-AB68-543162266050}"/>
    <cellStyle name="Normal 4 2 2 4 2 2 6 3" xfId="11006" xr:uid="{C6B0A939-42AD-4DE6-AFB9-EF7FD20A1E30}"/>
    <cellStyle name="Normal 4 2 2 4 2 2 7" xfId="4730" xr:uid="{00000000-0005-0000-0000-0000A6120000}"/>
    <cellStyle name="Normal 4 2 2 4 2 2 7 2" xfId="13159" xr:uid="{4D413B6E-E53E-43F1-9C17-B47FF1A473BD}"/>
    <cellStyle name="Normal 4 2 2 4 2 2 8" xfId="8941" xr:uid="{E8BD0C0C-14AF-48F6-9853-0F3CE5CD465C}"/>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5754353E-EA12-408A-BAA1-387F47BDAF86}"/>
    <cellStyle name="Normal 4 2 2 4 2 3 2 3" xfId="11498" xr:uid="{3E20D8F0-65C7-4126-9156-72B07D82AC39}"/>
    <cellStyle name="Normal 4 2 2 4 2 3 3" xfId="5142" xr:uid="{00000000-0005-0000-0000-0000AA120000}"/>
    <cellStyle name="Normal 4 2 2 4 2 3 3 2" xfId="13571" xr:uid="{B41647A0-58BE-47F7-996F-A524FC2B2852}"/>
    <cellStyle name="Normal 4 2 2 4 2 3 4" xfId="9353" xr:uid="{F483BEF8-F71F-4EEC-B3F0-C749A8C888CF}"/>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2B9F5B7B-6614-4F09-A885-92AF7AEF0774}"/>
    <cellStyle name="Normal 4 2 2 4 2 4 2 3" xfId="11911" xr:uid="{F4D2B9A2-BF94-4FB5-8AF2-136A59996E48}"/>
    <cellStyle name="Normal 4 2 2 4 2 4 3" xfId="5555" xr:uid="{00000000-0005-0000-0000-0000AE120000}"/>
    <cellStyle name="Normal 4 2 2 4 2 4 3 2" xfId="13984" xr:uid="{EF9A5CF0-5583-40E8-A780-ABB10B33C773}"/>
    <cellStyle name="Normal 4 2 2 4 2 4 4" xfId="9766" xr:uid="{D8378F70-6343-413E-AFA9-95519C43B678}"/>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C732C603-7C69-4DE5-B625-0ABFC94497AC}"/>
    <cellStyle name="Normal 4 2 2 4 2 5 2 3" xfId="12324" xr:uid="{66BD6F38-384C-4091-ABCC-46673F36F335}"/>
    <cellStyle name="Normal 4 2 2 4 2 5 3" xfId="5968" xr:uid="{00000000-0005-0000-0000-0000B2120000}"/>
    <cellStyle name="Normal 4 2 2 4 2 5 3 2" xfId="14397" xr:uid="{A1736BC9-97A5-4339-BE36-10BEAF32E007}"/>
    <cellStyle name="Normal 4 2 2 4 2 5 4" xfId="10179" xr:uid="{9E500D69-30DC-424E-B40D-96634D14B22A}"/>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C6CF3A0A-9D82-4162-B4E8-982F8D7FEABA}"/>
    <cellStyle name="Normal 4 2 2 4 2 6 2 3" xfId="12737" xr:uid="{70435C48-8065-45BF-9D95-69E5D9204A17}"/>
    <cellStyle name="Normal 4 2 2 4 2 6 3" xfId="6381" xr:uid="{00000000-0005-0000-0000-0000B6120000}"/>
    <cellStyle name="Normal 4 2 2 4 2 6 3 2" xfId="14810" xr:uid="{7899CCFF-AFC1-4C81-9ACD-674C0085106F}"/>
    <cellStyle name="Normal 4 2 2 4 2 6 4" xfId="10592" xr:uid="{AB025825-1E34-4AA7-9C81-694088C96D5E}"/>
    <cellStyle name="Normal 4 2 2 4 2 7" xfId="2509" xr:uid="{00000000-0005-0000-0000-0000B7120000}"/>
    <cellStyle name="Normal 4 2 2 4 2 7 2" xfId="6794" xr:uid="{00000000-0005-0000-0000-0000B8120000}"/>
    <cellStyle name="Normal 4 2 2 4 2 7 2 2" xfId="15223" xr:uid="{AE7311A3-7BF7-44E4-8C94-FB76E25CC596}"/>
    <cellStyle name="Normal 4 2 2 4 2 7 3" xfId="11005" xr:uid="{2EB39B49-7963-4E95-915B-1A22445C2017}"/>
    <cellStyle name="Normal 4 2 2 4 2 8" xfId="4729" xr:uid="{00000000-0005-0000-0000-0000B9120000}"/>
    <cellStyle name="Normal 4 2 2 4 2 8 2" xfId="13158" xr:uid="{D34F6440-8628-4EF4-9F66-B1A914B1C628}"/>
    <cellStyle name="Normal 4 2 2 4 2 9" xfId="8940" xr:uid="{A1DE52B3-B593-42D8-B6CB-64756C416684}"/>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635A6965-4A66-4FC1-AFC1-CE34F69D1B34}"/>
    <cellStyle name="Normal 4 2 2 4 3 2 2 3" xfId="11500" xr:uid="{1A825412-3A5C-4656-9494-6BDF580115AF}"/>
    <cellStyle name="Normal 4 2 2 4 3 2 3" xfId="5144" xr:uid="{00000000-0005-0000-0000-0000BE120000}"/>
    <cellStyle name="Normal 4 2 2 4 3 2 3 2" xfId="13573" xr:uid="{F88634B7-487B-4955-A027-3C94C8C30EE6}"/>
    <cellStyle name="Normal 4 2 2 4 3 2 4" xfId="9355" xr:uid="{3BF360F6-EE5D-40A6-BC64-2B55A413D4AB}"/>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99E0E9A4-A1BA-4955-9BAF-C17AB2E53BD2}"/>
    <cellStyle name="Normal 4 2 2 4 3 3 2 3" xfId="11913" xr:uid="{BBF4F846-AD53-4D0A-809E-55816CB578BF}"/>
    <cellStyle name="Normal 4 2 2 4 3 3 3" xfId="5557" xr:uid="{00000000-0005-0000-0000-0000C2120000}"/>
    <cellStyle name="Normal 4 2 2 4 3 3 3 2" xfId="13986" xr:uid="{9085C23C-B3B2-425D-8A33-052A5D86412A}"/>
    <cellStyle name="Normal 4 2 2 4 3 3 4" xfId="9768" xr:uid="{3465D03D-77C1-4F7F-97B8-C37B2B0D22A6}"/>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FE499249-5529-4810-8542-AE6683A014DA}"/>
    <cellStyle name="Normal 4 2 2 4 3 4 2 3" xfId="12326" xr:uid="{CCE43461-0C85-4442-9054-E0E06D63E965}"/>
    <cellStyle name="Normal 4 2 2 4 3 4 3" xfId="5970" xr:uid="{00000000-0005-0000-0000-0000C6120000}"/>
    <cellStyle name="Normal 4 2 2 4 3 4 3 2" xfId="14399" xr:uid="{4E5F03AA-173C-4D34-BEEE-F7C06BEDF45C}"/>
    <cellStyle name="Normal 4 2 2 4 3 4 4" xfId="10181" xr:uid="{68991A4C-51A8-4AD5-8E21-2AF9B14F012A}"/>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0EDA4E2D-7D43-4D56-993F-96BB1C36F3E6}"/>
    <cellStyle name="Normal 4 2 2 4 3 5 2 3" xfId="12739" xr:uid="{EC82B328-324F-410A-872D-ACBF81FEFA4E}"/>
    <cellStyle name="Normal 4 2 2 4 3 5 3" xfId="6383" xr:uid="{00000000-0005-0000-0000-0000CA120000}"/>
    <cellStyle name="Normal 4 2 2 4 3 5 3 2" xfId="14812" xr:uid="{7F45EEA8-92B1-498F-BB40-57CBCBC609A7}"/>
    <cellStyle name="Normal 4 2 2 4 3 5 4" xfId="10594" xr:uid="{6D454B46-E1A9-4A0A-8AEA-FB2A12436F0D}"/>
    <cellStyle name="Normal 4 2 2 4 3 6" xfId="2511" xr:uid="{00000000-0005-0000-0000-0000CB120000}"/>
    <cellStyle name="Normal 4 2 2 4 3 6 2" xfId="6796" xr:uid="{00000000-0005-0000-0000-0000CC120000}"/>
    <cellStyle name="Normal 4 2 2 4 3 6 2 2" xfId="15225" xr:uid="{3D81373E-5479-4D55-B196-11A76CB378CC}"/>
    <cellStyle name="Normal 4 2 2 4 3 6 3" xfId="11007" xr:uid="{FBD39783-CE8A-4CE2-8C66-CFE3AE3775B2}"/>
    <cellStyle name="Normal 4 2 2 4 3 7" xfId="4731" xr:uid="{00000000-0005-0000-0000-0000CD120000}"/>
    <cellStyle name="Normal 4 2 2 4 3 7 2" xfId="13160" xr:uid="{B89D1CB2-271B-4D65-9508-0F1074C28FB1}"/>
    <cellStyle name="Normal 4 2 2 4 3 8" xfId="8942" xr:uid="{6323E2D6-DAF8-40AE-BB6B-94DEAC16A1EA}"/>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DE1FCF68-E18E-4802-9797-0992096DB442}"/>
    <cellStyle name="Normal 4 2 2 4 4 2 3" xfId="11497" xr:uid="{9C7C9FBA-D1EC-4A26-ABA2-CF1B4BCCC091}"/>
    <cellStyle name="Normal 4 2 2 4 4 3" xfId="5141" xr:uid="{00000000-0005-0000-0000-0000D1120000}"/>
    <cellStyle name="Normal 4 2 2 4 4 3 2" xfId="13570" xr:uid="{F2DAE63D-D0EF-408D-A46C-FCA65C422601}"/>
    <cellStyle name="Normal 4 2 2 4 4 4" xfId="9352" xr:uid="{4EA1222A-B98F-4107-91BB-A30F74327135}"/>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E90B2489-F186-43B7-8E82-A57C22C98AC9}"/>
    <cellStyle name="Normal 4 2 2 4 5 2 3" xfId="11910" xr:uid="{0CF32845-9754-4D94-BF0C-6F02132A045A}"/>
    <cellStyle name="Normal 4 2 2 4 5 3" xfId="5554" xr:uid="{00000000-0005-0000-0000-0000D5120000}"/>
    <cellStyle name="Normal 4 2 2 4 5 3 2" xfId="13983" xr:uid="{1FA37E70-630D-4898-A903-F2590CB9C190}"/>
    <cellStyle name="Normal 4 2 2 4 5 4" xfId="9765" xr:uid="{8F93A9EA-2A86-4F1F-8FED-C51E2B0764DA}"/>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A4600749-0458-45F5-97DD-F2B9B40E6DDC}"/>
    <cellStyle name="Normal 4 2 2 4 6 2 3" xfId="12323" xr:uid="{92829F16-B8C8-47DD-A7A4-C9D15283B2C1}"/>
    <cellStyle name="Normal 4 2 2 4 6 3" xfId="5967" xr:uid="{00000000-0005-0000-0000-0000D9120000}"/>
    <cellStyle name="Normal 4 2 2 4 6 3 2" xfId="14396" xr:uid="{C2843AF3-3FCE-45FA-8E03-498FF0EAA32A}"/>
    <cellStyle name="Normal 4 2 2 4 6 4" xfId="10178" xr:uid="{080E99E8-DE37-4C70-B5AE-2AF02B4CDB31}"/>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16EFEBA7-8F2A-47B8-A480-089EFA321C10}"/>
    <cellStyle name="Normal 4 2 2 4 7 2 3" xfId="12736" xr:uid="{2BEE92A4-0AC8-4699-9204-CD342A1190FC}"/>
    <cellStyle name="Normal 4 2 2 4 7 3" xfId="6380" xr:uid="{00000000-0005-0000-0000-0000DD120000}"/>
    <cellStyle name="Normal 4 2 2 4 7 3 2" xfId="14809" xr:uid="{8A0B1973-7F93-4AC5-8B95-92272F8D8782}"/>
    <cellStyle name="Normal 4 2 2 4 7 4" xfId="10591" xr:uid="{F400A5DD-BBF6-4B99-82D8-A522BCC0C1F6}"/>
    <cellStyle name="Normal 4 2 2 4 8" xfId="2508" xr:uid="{00000000-0005-0000-0000-0000DE120000}"/>
    <cellStyle name="Normal 4 2 2 4 8 2" xfId="6793" xr:uid="{00000000-0005-0000-0000-0000DF120000}"/>
    <cellStyle name="Normal 4 2 2 4 8 2 2" xfId="15222" xr:uid="{3713B4F8-63F9-4831-9BC3-C753B69D7528}"/>
    <cellStyle name="Normal 4 2 2 4 8 3" xfId="11004" xr:uid="{9892AD61-97D7-415C-962C-A1652055D6D3}"/>
    <cellStyle name="Normal 4 2 2 4 9" xfId="4728" xr:uid="{00000000-0005-0000-0000-0000E0120000}"/>
    <cellStyle name="Normal 4 2 2 4 9 2" xfId="13157" xr:uid="{D0FF65D1-8AA5-4E63-896C-B3296A7A71D8}"/>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F9B6614C-7554-4E3D-8716-84C56A6780D7}"/>
    <cellStyle name="Normal 4 2 2 5 2 2 2 3" xfId="11502" xr:uid="{B40BAD6A-BE00-4377-BC43-9386F89B67FC}"/>
    <cellStyle name="Normal 4 2 2 5 2 2 3" xfId="5146" xr:uid="{00000000-0005-0000-0000-0000E6120000}"/>
    <cellStyle name="Normal 4 2 2 5 2 2 3 2" xfId="13575" xr:uid="{5F021EC7-9C96-4758-A699-7DF7821EEABE}"/>
    <cellStyle name="Normal 4 2 2 5 2 2 4" xfId="9357" xr:uid="{D3B6491F-BF22-4AC7-A4EE-E0EE51213F0D}"/>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557D9049-F5B6-4BBD-B726-25C833A3E5AD}"/>
    <cellStyle name="Normal 4 2 2 5 2 3 2 3" xfId="11915" xr:uid="{BB97D6C3-3D72-4BBE-B2DA-B37673556420}"/>
    <cellStyle name="Normal 4 2 2 5 2 3 3" xfId="5559" xr:uid="{00000000-0005-0000-0000-0000EA120000}"/>
    <cellStyle name="Normal 4 2 2 5 2 3 3 2" xfId="13988" xr:uid="{DFDAC5F6-902F-4562-88D8-1C11CAE97FAA}"/>
    <cellStyle name="Normal 4 2 2 5 2 3 4" xfId="9770" xr:uid="{1D173BE9-25E0-46A7-837B-4153DFD61BE5}"/>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A41C4DE6-30AD-42F0-B31F-F9DC3762AFEC}"/>
    <cellStyle name="Normal 4 2 2 5 2 4 2 3" xfId="12328" xr:uid="{AF5E3C91-6B54-40B8-BECD-5F7EEAEB0623}"/>
    <cellStyle name="Normal 4 2 2 5 2 4 3" xfId="5972" xr:uid="{00000000-0005-0000-0000-0000EE120000}"/>
    <cellStyle name="Normal 4 2 2 5 2 4 3 2" xfId="14401" xr:uid="{29EEDE18-1B31-4A90-82B4-FCD491762F3F}"/>
    <cellStyle name="Normal 4 2 2 5 2 4 4" xfId="10183" xr:uid="{EFB7CE3A-2CA6-441C-B9A5-AF302BF58BE4}"/>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1AEFB91A-4899-4A14-A555-FA6BEE1D6752}"/>
    <cellStyle name="Normal 4 2 2 5 2 5 2 3" xfId="12741" xr:uid="{7B5D0263-F5B6-4782-ADAF-13056E6280C2}"/>
    <cellStyle name="Normal 4 2 2 5 2 5 3" xfId="6385" xr:uid="{00000000-0005-0000-0000-0000F2120000}"/>
    <cellStyle name="Normal 4 2 2 5 2 5 3 2" xfId="14814" xr:uid="{F6979F19-2C18-4963-8801-DA391F619D32}"/>
    <cellStyle name="Normal 4 2 2 5 2 5 4" xfId="10596" xr:uid="{2BDC4434-00F6-4B3B-BB58-3087B540B940}"/>
    <cellStyle name="Normal 4 2 2 5 2 6" xfId="2513" xr:uid="{00000000-0005-0000-0000-0000F3120000}"/>
    <cellStyle name="Normal 4 2 2 5 2 6 2" xfId="6798" xr:uid="{00000000-0005-0000-0000-0000F4120000}"/>
    <cellStyle name="Normal 4 2 2 5 2 6 2 2" xfId="15227" xr:uid="{6E4F450B-5179-4CA2-86ED-598DE775BBED}"/>
    <cellStyle name="Normal 4 2 2 5 2 6 3" xfId="11009" xr:uid="{4EE8BC5A-3366-4F20-BBD3-C57CBE4D345A}"/>
    <cellStyle name="Normal 4 2 2 5 2 7" xfId="4733" xr:uid="{00000000-0005-0000-0000-0000F5120000}"/>
    <cellStyle name="Normal 4 2 2 5 2 7 2" xfId="13162" xr:uid="{D2199EC4-27B2-42EB-BDE6-8EDE2C22382A}"/>
    <cellStyle name="Normal 4 2 2 5 2 8" xfId="8944" xr:uid="{2494DFAE-45F3-43FA-8BA4-D912FC3F98A4}"/>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A16F8166-7C21-474F-8C81-02C8F8B5782C}"/>
    <cellStyle name="Normal 4 2 2 5 3 2 3" xfId="11501" xr:uid="{711883E5-8966-41FF-868B-20109285C126}"/>
    <cellStyle name="Normal 4 2 2 5 3 3" xfId="5145" xr:uid="{00000000-0005-0000-0000-0000F9120000}"/>
    <cellStyle name="Normal 4 2 2 5 3 3 2" xfId="13574" xr:uid="{0133E62B-9DC8-440F-9653-E52131B0F2BC}"/>
    <cellStyle name="Normal 4 2 2 5 3 4" xfId="9356" xr:uid="{2E5D8948-8091-410F-A5AE-09B9BD0A3090}"/>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61D3CB56-B99A-4526-A5DB-69BB66BF15AA}"/>
    <cellStyle name="Normal 4 2 2 5 4 2 3" xfId="11914" xr:uid="{F137C187-4F5F-4076-93C3-2DDC1E2C3756}"/>
    <cellStyle name="Normal 4 2 2 5 4 3" xfId="5558" xr:uid="{00000000-0005-0000-0000-0000FD120000}"/>
    <cellStyle name="Normal 4 2 2 5 4 3 2" xfId="13987" xr:uid="{76B1DD06-D59D-4363-90BA-7D437177F1E2}"/>
    <cellStyle name="Normal 4 2 2 5 4 4" xfId="9769" xr:uid="{C9790DA8-9872-44CE-9084-1707BCAAB4C2}"/>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3FF4910C-829B-4A90-B19E-9FDBF5518578}"/>
    <cellStyle name="Normal 4 2 2 5 5 2 3" xfId="12327" xr:uid="{847023B4-DCD7-40FE-8A2D-A2C3DD6D589E}"/>
    <cellStyle name="Normal 4 2 2 5 5 3" xfId="5971" xr:uid="{00000000-0005-0000-0000-000001130000}"/>
    <cellStyle name="Normal 4 2 2 5 5 3 2" xfId="14400" xr:uid="{BC547EC6-B32B-4128-96C3-39759B08B05E}"/>
    <cellStyle name="Normal 4 2 2 5 5 4" xfId="10182" xr:uid="{6076C9A7-BD7D-43C3-85E1-BD4FD2068A33}"/>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F2B39674-1E12-4CA5-8104-7E25831EB7CA}"/>
    <cellStyle name="Normal 4 2 2 5 6 2 3" xfId="12740" xr:uid="{B665A8A2-6B92-4032-9553-A63FCE89E92F}"/>
    <cellStyle name="Normal 4 2 2 5 6 3" xfId="6384" xr:uid="{00000000-0005-0000-0000-000005130000}"/>
    <cellStyle name="Normal 4 2 2 5 6 3 2" xfId="14813" xr:uid="{F42D97D1-04A5-452F-A7A4-6341D4C07E1C}"/>
    <cellStyle name="Normal 4 2 2 5 6 4" xfId="10595" xr:uid="{7A29799E-FFC4-4930-9D9F-148870D70A5C}"/>
    <cellStyle name="Normal 4 2 2 5 7" xfId="2512" xr:uid="{00000000-0005-0000-0000-000006130000}"/>
    <cellStyle name="Normal 4 2 2 5 7 2" xfId="6797" xr:uid="{00000000-0005-0000-0000-000007130000}"/>
    <cellStyle name="Normal 4 2 2 5 7 2 2" xfId="15226" xr:uid="{E70BD5DE-8986-4C01-A5DC-B285BC370588}"/>
    <cellStyle name="Normal 4 2 2 5 7 3" xfId="11008" xr:uid="{29B099F5-11B4-47E2-84A9-AC8BC33481C2}"/>
    <cellStyle name="Normal 4 2 2 5 8" xfId="4732" xr:uid="{00000000-0005-0000-0000-000008130000}"/>
    <cellStyle name="Normal 4 2 2 5 8 2" xfId="13161" xr:uid="{0A74E1E2-3128-4D5B-90F5-3752026B09A2}"/>
    <cellStyle name="Normal 4 2 2 5 9" xfId="8943" xr:uid="{18D102A3-1C50-4E56-85DB-DCCCF900FA62}"/>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2A2B08F4-66E8-4F75-B701-1C34499FA117}"/>
    <cellStyle name="Normal 4 2 2 6 2 2 3" xfId="11503" xr:uid="{C44C050B-A2EC-49E1-A2BE-0B22A39647FA}"/>
    <cellStyle name="Normal 4 2 2 6 2 3" xfId="5147" xr:uid="{00000000-0005-0000-0000-00000D130000}"/>
    <cellStyle name="Normal 4 2 2 6 2 3 2" xfId="13576" xr:uid="{BE061217-4B74-4EAD-9165-E46E328CE757}"/>
    <cellStyle name="Normal 4 2 2 6 2 4" xfId="9358" xr:uid="{E630E2FD-E697-41F2-823C-884E647EA07A}"/>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94C79B33-2270-47DA-83C9-8B20EA09E140}"/>
    <cellStyle name="Normal 4 2 2 6 3 2 3" xfId="11916" xr:uid="{D822A10A-71FF-455B-9EBE-AA9120C25F64}"/>
    <cellStyle name="Normal 4 2 2 6 3 3" xfId="5560" xr:uid="{00000000-0005-0000-0000-000011130000}"/>
    <cellStyle name="Normal 4 2 2 6 3 3 2" xfId="13989" xr:uid="{06970542-205B-43F2-ADB6-89ADAEE42592}"/>
    <cellStyle name="Normal 4 2 2 6 3 4" xfId="9771" xr:uid="{65A108A1-E2EB-4089-9C2F-2A0896D61DCD}"/>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38FB1F1C-CE75-4F87-9C75-7BDB79E266DD}"/>
    <cellStyle name="Normal 4 2 2 6 4 2 3" xfId="12329" xr:uid="{B8479EF4-AE95-41F7-839F-EFA36B4AA305}"/>
    <cellStyle name="Normal 4 2 2 6 4 3" xfId="5973" xr:uid="{00000000-0005-0000-0000-000015130000}"/>
    <cellStyle name="Normal 4 2 2 6 4 3 2" xfId="14402" xr:uid="{7F620E08-53A5-4795-BBE7-DDB473DAD11B}"/>
    <cellStyle name="Normal 4 2 2 6 4 4" xfId="10184" xr:uid="{47A4F7E6-6DC1-4C18-B23A-4C5AAFF25CA3}"/>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E1D425A8-B2B6-4CCB-82AB-441ECA8ADAEE}"/>
    <cellStyle name="Normal 4 2 2 6 5 2 3" xfId="12742" xr:uid="{65266C75-6182-48E1-8535-B3D837DB914C}"/>
    <cellStyle name="Normal 4 2 2 6 5 3" xfId="6386" xr:uid="{00000000-0005-0000-0000-000019130000}"/>
    <cellStyle name="Normal 4 2 2 6 5 3 2" xfId="14815" xr:uid="{D7309F72-D11C-42B4-B18E-C8600D2E948B}"/>
    <cellStyle name="Normal 4 2 2 6 5 4" xfId="10597" xr:uid="{9E28A662-1FDE-41CF-9616-4673A758CCE5}"/>
    <cellStyle name="Normal 4 2 2 6 6" xfId="2514" xr:uid="{00000000-0005-0000-0000-00001A130000}"/>
    <cellStyle name="Normal 4 2 2 6 6 2" xfId="6799" xr:uid="{00000000-0005-0000-0000-00001B130000}"/>
    <cellStyle name="Normal 4 2 2 6 6 2 2" xfId="15228" xr:uid="{0B25B054-2C80-4CEC-9EDD-B088E212A278}"/>
    <cellStyle name="Normal 4 2 2 6 6 3" xfId="11010" xr:uid="{657DC182-9B3E-4F9F-9254-8B086CF01FDA}"/>
    <cellStyle name="Normal 4 2 2 6 7" xfId="4734" xr:uid="{00000000-0005-0000-0000-00001C130000}"/>
    <cellStyle name="Normal 4 2 2 6 7 2" xfId="13163" xr:uid="{F305E6CD-4FD1-467C-9EE5-73CA82C05669}"/>
    <cellStyle name="Normal 4 2 2 6 8" xfId="8945" xr:uid="{AF4ABB35-5A1D-4727-B895-CF333DCDAD6C}"/>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169AD7AE-8A9A-466C-92A0-39B9FDF1AC1B}"/>
    <cellStyle name="Normal 4 2 2 7 2 3" xfId="11488" xr:uid="{F97F8FCE-DB9C-4ED6-9814-F9DEB01A046C}"/>
    <cellStyle name="Normal 4 2 2 7 3" xfId="5132" xr:uid="{00000000-0005-0000-0000-000020130000}"/>
    <cellStyle name="Normal 4 2 2 7 3 2" xfId="13561" xr:uid="{1334D9A8-BD21-4D78-8F74-0C9D191B6BCC}"/>
    <cellStyle name="Normal 4 2 2 7 4" xfId="9343" xr:uid="{13BA3D79-170F-4B0B-A872-FB09797CC930}"/>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3CBB9D67-898E-4A68-A82A-1CBC84815503}"/>
    <cellStyle name="Normal 4 2 2 8 2 3" xfId="11901" xr:uid="{4CC4FD38-EADA-433F-A846-E235C3DA5C6B}"/>
    <cellStyle name="Normal 4 2 2 8 3" xfId="5545" xr:uid="{00000000-0005-0000-0000-000024130000}"/>
    <cellStyle name="Normal 4 2 2 8 3 2" xfId="13974" xr:uid="{90708B54-B3C9-4E81-8522-886171EA32FB}"/>
    <cellStyle name="Normal 4 2 2 8 4" xfId="9756" xr:uid="{62F8268C-E5DD-4198-88D2-44B0715FAF92}"/>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B825BEB4-787F-4E77-91E1-EB1528F67ED4}"/>
    <cellStyle name="Normal 4 2 2 9 2 3" xfId="12314" xr:uid="{4C944715-CE63-4CEF-A7A6-9C61711FC0A8}"/>
    <cellStyle name="Normal 4 2 2 9 3" xfId="5958" xr:uid="{00000000-0005-0000-0000-000028130000}"/>
    <cellStyle name="Normal 4 2 2 9 3 2" xfId="14387" xr:uid="{ABC30FE4-3E7B-49BC-B581-8FCAB34C8528}"/>
    <cellStyle name="Normal 4 2 2 9 4" xfId="10169" xr:uid="{593977F0-E55E-4991-8C1C-879F44E96767}"/>
    <cellStyle name="Normal 4 2 3" xfId="354" xr:uid="{00000000-0005-0000-0000-000029130000}"/>
    <cellStyle name="Normal 4 2 4" xfId="355" xr:uid="{00000000-0005-0000-0000-00002A130000}"/>
    <cellStyle name="Normal 4 2 4 10" xfId="4735" xr:uid="{00000000-0005-0000-0000-00002B130000}"/>
    <cellStyle name="Normal 4 2 4 10 2" xfId="13164" xr:uid="{2DBA81D7-E216-42CD-AFBE-4B86C2C87542}"/>
    <cellStyle name="Normal 4 2 4 11" xfId="8946" xr:uid="{B9D4C3D8-5015-486C-A726-4779E86B94C1}"/>
    <cellStyle name="Normal 4 2 4 2" xfId="356" xr:uid="{00000000-0005-0000-0000-00002C130000}"/>
    <cellStyle name="Normal 4 2 4 2 10" xfId="8947" xr:uid="{59E2E38E-707E-4CD6-AD5D-40B8F6530A0C}"/>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AF9871FB-F752-48AE-939C-3004E94EB581}"/>
    <cellStyle name="Normal 4 2 4 2 2 2 2 2 3" xfId="11507" xr:uid="{F5898774-A8BD-43D5-9D81-2DAF0F89F515}"/>
    <cellStyle name="Normal 4 2 4 2 2 2 2 3" xfId="5151" xr:uid="{00000000-0005-0000-0000-000032130000}"/>
    <cellStyle name="Normal 4 2 4 2 2 2 2 3 2" xfId="13580" xr:uid="{4FCC73B8-68E6-4FB0-A3F5-14E088B52B7E}"/>
    <cellStyle name="Normal 4 2 4 2 2 2 2 4" xfId="9362" xr:uid="{D580B850-1D1F-4B6A-8BBD-6CB6D3696E2E}"/>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3D4E5EA0-F651-46B2-97ED-B45445485E4D}"/>
    <cellStyle name="Normal 4 2 4 2 2 2 3 2 3" xfId="11920" xr:uid="{6C1F8513-43A7-436D-B830-438686A25EF6}"/>
    <cellStyle name="Normal 4 2 4 2 2 2 3 3" xfId="5564" xr:uid="{00000000-0005-0000-0000-000036130000}"/>
    <cellStyle name="Normal 4 2 4 2 2 2 3 3 2" xfId="13993" xr:uid="{12378CD6-4588-4862-962A-9E9680AC9F4C}"/>
    <cellStyle name="Normal 4 2 4 2 2 2 3 4" xfId="9775" xr:uid="{9AFA7ECF-A666-43D7-903C-4A7192A57819}"/>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E518E2F9-861F-4B02-A189-B8A2A7F41105}"/>
    <cellStyle name="Normal 4 2 4 2 2 2 4 2 3" xfId="12333" xr:uid="{9CEB879B-3C50-4190-935C-F4809FD49EF2}"/>
    <cellStyle name="Normal 4 2 4 2 2 2 4 3" xfId="5977" xr:uid="{00000000-0005-0000-0000-00003A130000}"/>
    <cellStyle name="Normal 4 2 4 2 2 2 4 3 2" xfId="14406" xr:uid="{6055B3AC-6D0B-4324-BE77-293319C5D78F}"/>
    <cellStyle name="Normal 4 2 4 2 2 2 4 4" xfId="10188" xr:uid="{1C378994-F099-4240-BC48-5C35ABBF016E}"/>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3592E068-C535-4B9B-AA34-98DC010ACE7A}"/>
    <cellStyle name="Normal 4 2 4 2 2 2 5 2 3" xfId="12746" xr:uid="{C5481C12-9B03-4B1A-A6E3-7C1F2D1A3991}"/>
    <cellStyle name="Normal 4 2 4 2 2 2 5 3" xfId="6390" xr:uid="{00000000-0005-0000-0000-00003E130000}"/>
    <cellStyle name="Normal 4 2 4 2 2 2 5 3 2" xfId="14819" xr:uid="{06472702-2496-48FA-8FD1-5BCA2FC67441}"/>
    <cellStyle name="Normal 4 2 4 2 2 2 5 4" xfId="10601" xr:uid="{EFCAF57E-6B77-4D25-B432-B625F2E97C77}"/>
    <cellStyle name="Normal 4 2 4 2 2 2 6" xfId="2518" xr:uid="{00000000-0005-0000-0000-00003F130000}"/>
    <cellStyle name="Normal 4 2 4 2 2 2 6 2" xfId="6803" xr:uid="{00000000-0005-0000-0000-000040130000}"/>
    <cellStyle name="Normal 4 2 4 2 2 2 6 2 2" xfId="15232" xr:uid="{8A8844A5-D3AB-484A-9012-D9A60212B7E0}"/>
    <cellStyle name="Normal 4 2 4 2 2 2 6 3" xfId="11014" xr:uid="{3D77B754-6A4D-4E4B-9EB4-43FA8E1AF6C1}"/>
    <cellStyle name="Normal 4 2 4 2 2 2 7" xfId="4738" xr:uid="{00000000-0005-0000-0000-000041130000}"/>
    <cellStyle name="Normal 4 2 4 2 2 2 7 2" xfId="13167" xr:uid="{E2535232-7778-40B1-8D2A-FC6CD5F2121D}"/>
    <cellStyle name="Normal 4 2 4 2 2 2 8" xfId="8949" xr:uid="{90181565-6825-4BA3-BEF3-9680CDFC4E12}"/>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A3C2C90C-618F-4C17-B20C-0E5C0E3CF711}"/>
    <cellStyle name="Normal 4 2 4 2 2 3 2 3" xfId="11506" xr:uid="{CD7D6CB9-F425-4DCB-9A9E-F9A769F47165}"/>
    <cellStyle name="Normal 4 2 4 2 2 3 3" xfId="5150" xr:uid="{00000000-0005-0000-0000-000045130000}"/>
    <cellStyle name="Normal 4 2 4 2 2 3 3 2" xfId="13579" xr:uid="{E6C82EF3-109B-4AC0-ABD1-F10893F1384F}"/>
    <cellStyle name="Normal 4 2 4 2 2 3 4" xfId="9361" xr:uid="{5F9E7320-2D4A-4BBC-AE7E-4D0A62D715E7}"/>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981EC683-64CA-4A56-8B22-DD28D489D42D}"/>
    <cellStyle name="Normal 4 2 4 2 2 4 2 3" xfId="11919" xr:uid="{4763D571-5B66-494B-9233-CC043710C7D6}"/>
    <cellStyle name="Normal 4 2 4 2 2 4 3" xfId="5563" xr:uid="{00000000-0005-0000-0000-000049130000}"/>
    <cellStyle name="Normal 4 2 4 2 2 4 3 2" xfId="13992" xr:uid="{E528A1BA-F143-49AE-9DCC-4B76326F1706}"/>
    <cellStyle name="Normal 4 2 4 2 2 4 4" xfId="9774" xr:uid="{05BFB76E-519A-4639-92BC-827F016AA3A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A6E6F250-02C8-43A3-979A-D5B010D39F02}"/>
    <cellStyle name="Normal 4 2 4 2 2 5 2 3" xfId="12332" xr:uid="{70F460E7-21D9-4559-9EF4-92C33CBF0193}"/>
    <cellStyle name="Normal 4 2 4 2 2 5 3" xfId="5976" xr:uid="{00000000-0005-0000-0000-00004D130000}"/>
    <cellStyle name="Normal 4 2 4 2 2 5 3 2" xfId="14405" xr:uid="{BD5ADEB5-C61C-4051-A62F-6230AAE790F1}"/>
    <cellStyle name="Normal 4 2 4 2 2 5 4" xfId="10187" xr:uid="{6A884599-869D-423A-BC3B-415D2C6675AA}"/>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A9925210-DF5F-4277-9933-7E3CD6B8ED8E}"/>
    <cellStyle name="Normal 4 2 4 2 2 6 2 3" xfId="12745" xr:uid="{B4846088-9B65-43C7-9A50-3A67592382D3}"/>
    <cellStyle name="Normal 4 2 4 2 2 6 3" xfId="6389" xr:uid="{00000000-0005-0000-0000-000051130000}"/>
    <cellStyle name="Normal 4 2 4 2 2 6 3 2" xfId="14818" xr:uid="{63C6BED3-C402-4D0E-89B6-69FA37356CC9}"/>
    <cellStyle name="Normal 4 2 4 2 2 6 4" xfId="10600" xr:uid="{7CB1723B-759F-4B96-82C2-619B257514B2}"/>
    <cellStyle name="Normal 4 2 4 2 2 7" xfId="2517" xr:uid="{00000000-0005-0000-0000-000052130000}"/>
    <cellStyle name="Normal 4 2 4 2 2 7 2" xfId="6802" xr:uid="{00000000-0005-0000-0000-000053130000}"/>
    <cellStyle name="Normal 4 2 4 2 2 7 2 2" xfId="15231" xr:uid="{2917E0FC-3EE9-451A-93F3-6757FE754FFF}"/>
    <cellStyle name="Normal 4 2 4 2 2 7 3" xfId="11013" xr:uid="{4678B788-83A0-4B2D-800F-25DB4BC5B450}"/>
    <cellStyle name="Normal 4 2 4 2 2 8" xfId="4737" xr:uid="{00000000-0005-0000-0000-000054130000}"/>
    <cellStyle name="Normal 4 2 4 2 2 8 2" xfId="13166" xr:uid="{2CD77950-7D1E-46BF-ACA9-A1529E9C1EC7}"/>
    <cellStyle name="Normal 4 2 4 2 2 9" xfId="8948" xr:uid="{2AD6BE70-EE85-4E30-85A5-E34667A2E045}"/>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2EF2E518-286C-4F9C-857C-61811963A692}"/>
    <cellStyle name="Normal 4 2 4 2 3 2 2 3" xfId="11508" xr:uid="{0B3F56A8-5102-4103-936F-DA8BD286AD7B}"/>
    <cellStyle name="Normal 4 2 4 2 3 2 3" xfId="5152" xr:uid="{00000000-0005-0000-0000-000059130000}"/>
    <cellStyle name="Normal 4 2 4 2 3 2 3 2" xfId="13581" xr:uid="{FC728771-A700-4961-9DEC-78646F2B357F}"/>
    <cellStyle name="Normal 4 2 4 2 3 2 4" xfId="9363" xr:uid="{43EFEC76-4A95-4EEA-A128-59AB923108DA}"/>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3960B80D-3AC3-4B39-A8C5-36A6AF75F00B}"/>
    <cellStyle name="Normal 4 2 4 2 3 3 2 3" xfId="11921" xr:uid="{F2B3B764-36FA-405D-A1B0-C6322DD5AC79}"/>
    <cellStyle name="Normal 4 2 4 2 3 3 3" xfId="5565" xr:uid="{00000000-0005-0000-0000-00005D130000}"/>
    <cellStyle name="Normal 4 2 4 2 3 3 3 2" xfId="13994" xr:uid="{B3E7BF5D-B057-4E74-9F69-B6F50F0CE5DE}"/>
    <cellStyle name="Normal 4 2 4 2 3 3 4" xfId="9776" xr:uid="{C962D87D-CA3F-4328-9736-896395D70217}"/>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7C6F3A76-9691-4343-A9AD-E7E5FF798201}"/>
    <cellStyle name="Normal 4 2 4 2 3 4 2 3" xfId="12334" xr:uid="{E08C67F1-EEDE-49F0-8562-FFC4257A9ACB}"/>
    <cellStyle name="Normal 4 2 4 2 3 4 3" xfId="5978" xr:uid="{00000000-0005-0000-0000-000061130000}"/>
    <cellStyle name="Normal 4 2 4 2 3 4 3 2" xfId="14407" xr:uid="{0CDF2B82-9781-4584-ACE3-24FFA150D3F2}"/>
    <cellStyle name="Normal 4 2 4 2 3 4 4" xfId="10189" xr:uid="{2406A846-3419-481B-B551-521554B33255}"/>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5E06D674-1105-47DD-80D0-8568304747FF}"/>
    <cellStyle name="Normal 4 2 4 2 3 5 2 3" xfId="12747" xr:uid="{86BF5B91-4D1F-4A73-9021-0D9537DB4017}"/>
    <cellStyle name="Normal 4 2 4 2 3 5 3" xfId="6391" xr:uid="{00000000-0005-0000-0000-000065130000}"/>
    <cellStyle name="Normal 4 2 4 2 3 5 3 2" xfId="14820" xr:uid="{CD1D6936-58F5-44C9-BBD1-97D99EED8988}"/>
    <cellStyle name="Normal 4 2 4 2 3 5 4" xfId="10602" xr:uid="{4DEBAF64-CA09-4130-86CD-39D1AB05B5CE}"/>
    <cellStyle name="Normal 4 2 4 2 3 6" xfId="2519" xr:uid="{00000000-0005-0000-0000-000066130000}"/>
    <cellStyle name="Normal 4 2 4 2 3 6 2" xfId="6804" xr:uid="{00000000-0005-0000-0000-000067130000}"/>
    <cellStyle name="Normal 4 2 4 2 3 6 2 2" xfId="15233" xr:uid="{21018343-3FA1-4C07-ADC7-2B48FAC0CD0D}"/>
    <cellStyle name="Normal 4 2 4 2 3 6 3" xfId="11015" xr:uid="{710B638D-3784-4EAB-9520-2CBB26EE4E4E}"/>
    <cellStyle name="Normal 4 2 4 2 3 7" xfId="4739" xr:uid="{00000000-0005-0000-0000-000068130000}"/>
    <cellStyle name="Normal 4 2 4 2 3 7 2" xfId="13168" xr:uid="{C3AFB69F-2B29-469E-9D19-A3BD135DAF76}"/>
    <cellStyle name="Normal 4 2 4 2 3 8" xfId="8950" xr:uid="{50408995-2BF0-43D2-9B62-BB6D247D7FF3}"/>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977DBE6E-AD47-4F66-9CFB-F5B89994F291}"/>
    <cellStyle name="Normal 4 2 4 2 4 2 3" xfId="11505" xr:uid="{CA1F14A8-27CE-4BD7-B4B8-9A863A774C86}"/>
    <cellStyle name="Normal 4 2 4 2 4 3" xfId="5149" xr:uid="{00000000-0005-0000-0000-00006C130000}"/>
    <cellStyle name="Normal 4 2 4 2 4 3 2" xfId="13578" xr:uid="{02225CFE-4619-444F-91AD-0CE6AE8C987B}"/>
    <cellStyle name="Normal 4 2 4 2 4 4" xfId="9360" xr:uid="{03E1FE0B-55E6-41D3-9F9C-84FAD9E8AA4B}"/>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C24A9723-845D-4760-BD54-8D80802199E4}"/>
    <cellStyle name="Normal 4 2 4 2 5 2 3" xfId="11918" xr:uid="{6F52AF8C-866C-4292-9752-6923570282ED}"/>
    <cellStyle name="Normal 4 2 4 2 5 3" xfId="5562" xr:uid="{00000000-0005-0000-0000-000070130000}"/>
    <cellStyle name="Normal 4 2 4 2 5 3 2" xfId="13991" xr:uid="{ABDEA24B-8848-4F4C-86A5-028CFC2B9F29}"/>
    <cellStyle name="Normal 4 2 4 2 5 4" xfId="9773" xr:uid="{3EA5C889-3CE0-4ED6-BE64-E953A3FF1170}"/>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B1E5B02C-B4CA-49F3-85C7-453CEEF3441A}"/>
    <cellStyle name="Normal 4 2 4 2 6 2 3" xfId="12331" xr:uid="{8E15F24E-B7B2-4713-9C9B-279316CF5D92}"/>
    <cellStyle name="Normal 4 2 4 2 6 3" xfId="5975" xr:uid="{00000000-0005-0000-0000-000074130000}"/>
    <cellStyle name="Normal 4 2 4 2 6 3 2" xfId="14404" xr:uid="{A1CA0688-5714-4FD3-9309-2B1537EF134A}"/>
    <cellStyle name="Normal 4 2 4 2 6 4" xfId="10186" xr:uid="{191261D5-00D5-4B29-9122-C74CB483A0AA}"/>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DDBABDC3-D244-4775-BC4C-33646BD62245}"/>
    <cellStyle name="Normal 4 2 4 2 7 2 3" xfId="12744" xr:uid="{54E7E6A5-9C73-44A7-B0E9-E5851D92717F}"/>
    <cellStyle name="Normal 4 2 4 2 7 3" xfId="6388" xr:uid="{00000000-0005-0000-0000-000078130000}"/>
    <cellStyle name="Normal 4 2 4 2 7 3 2" xfId="14817" xr:uid="{186673B4-5F33-4353-A11B-35F47B509B8D}"/>
    <cellStyle name="Normal 4 2 4 2 7 4" xfId="10599" xr:uid="{92578257-B3F9-4CA9-91F1-0DC9D29F2668}"/>
    <cellStyle name="Normal 4 2 4 2 8" xfId="2516" xr:uid="{00000000-0005-0000-0000-000079130000}"/>
    <cellStyle name="Normal 4 2 4 2 8 2" xfId="6801" xr:uid="{00000000-0005-0000-0000-00007A130000}"/>
    <cellStyle name="Normal 4 2 4 2 8 2 2" xfId="15230" xr:uid="{38F96B39-67E5-4630-A4B4-90EBE5509E81}"/>
    <cellStyle name="Normal 4 2 4 2 8 3" xfId="11012" xr:uid="{75A3C5E8-0528-4106-A259-8A6221D547F7}"/>
    <cellStyle name="Normal 4 2 4 2 9" xfId="4736" xr:uid="{00000000-0005-0000-0000-00007B130000}"/>
    <cellStyle name="Normal 4 2 4 2 9 2" xfId="13165" xr:uid="{85E4C068-122E-4D0F-B1D0-5BCE6EC25C54}"/>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34CDDA9C-DF45-47DC-82A4-68121962F0ED}"/>
    <cellStyle name="Normal 4 2 4 3 2 2 2 3" xfId="11510" xr:uid="{D67BCAFB-A2C1-475E-AA59-22FD4B74167F}"/>
    <cellStyle name="Normal 4 2 4 3 2 2 3" xfId="5154" xr:uid="{00000000-0005-0000-0000-000081130000}"/>
    <cellStyle name="Normal 4 2 4 3 2 2 3 2" xfId="13583" xr:uid="{C2D8F1CE-5BED-4EAB-A66D-90CF64ECAE98}"/>
    <cellStyle name="Normal 4 2 4 3 2 2 4" xfId="9365" xr:uid="{E2002F29-3C9A-41C5-84DF-7B325E16A1CE}"/>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0D5A3BB2-AA6F-48C1-8895-1F901D9DB559}"/>
    <cellStyle name="Normal 4 2 4 3 2 3 2 3" xfId="11923" xr:uid="{75F6B39D-9FCB-4DD9-B4F8-2B2959B8ED29}"/>
    <cellStyle name="Normal 4 2 4 3 2 3 3" xfId="5567" xr:uid="{00000000-0005-0000-0000-000085130000}"/>
    <cellStyle name="Normal 4 2 4 3 2 3 3 2" xfId="13996" xr:uid="{DAABE920-AE24-4842-B974-8FE478976F4A}"/>
    <cellStyle name="Normal 4 2 4 3 2 3 4" xfId="9778" xr:uid="{D41D4C80-4EA7-46C3-9FFD-1C3A8ED7566A}"/>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11D1EAAB-DC0A-4CDF-BE23-4E3FB7A60B15}"/>
    <cellStyle name="Normal 4 2 4 3 2 4 2 3" xfId="12336" xr:uid="{43C9AC17-3997-4559-9E52-D05D3E1C4BFD}"/>
    <cellStyle name="Normal 4 2 4 3 2 4 3" xfId="5980" xr:uid="{00000000-0005-0000-0000-000089130000}"/>
    <cellStyle name="Normal 4 2 4 3 2 4 3 2" xfId="14409" xr:uid="{C6F4CAF7-A1EA-4BA5-8B1D-14DA41EF79E9}"/>
    <cellStyle name="Normal 4 2 4 3 2 4 4" xfId="10191" xr:uid="{E20F311F-701C-438D-8C91-95DC6DFC0163}"/>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C916E1C2-47DB-4E10-9AFA-62849CEBF471}"/>
    <cellStyle name="Normal 4 2 4 3 2 5 2 3" xfId="12749" xr:uid="{6840AAF2-41E9-457F-9231-75F3C307ACF1}"/>
    <cellStyle name="Normal 4 2 4 3 2 5 3" xfId="6393" xr:uid="{00000000-0005-0000-0000-00008D130000}"/>
    <cellStyle name="Normal 4 2 4 3 2 5 3 2" xfId="14822" xr:uid="{2F2B14BD-60CC-4C44-A806-C80A585A9F09}"/>
    <cellStyle name="Normal 4 2 4 3 2 5 4" xfId="10604" xr:uid="{41E12EA0-CF74-4D9C-8B2F-2A9D258E6072}"/>
    <cellStyle name="Normal 4 2 4 3 2 6" xfId="2521" xr:uid="{00000000-0005-0000-0000-00008E130000}"/>
    <cellStyle name="Normal 4 2 4 3 2 6 2" xfId="6806" xr:uid="{00000000-0005-0000-0000-00008F130000}"/>
    <cellStyle name="Normal 4 2 4 3 2 6 2 2" xfId="15235" xr:uid="{B37BCC4C-AA9A-4F0E-B2ED-DED2BC99121B}"/>
    <cellStyle name="Normal 4 2 4 3 2 6 3" xfId="11017" xr:uid="{4591D445-CD84-41D3-8D33-8ACD1ED29B03}"/>
    <cellStyle name="Normal 4 2 4 3 2 7" xfId="4741" xr:uid="{00000000-0005-0000-0000-000090130000}"/>
    <cellStyle name="Normal 4 2 4 3 2 7 2" xfId="13170" xr:uid="{9CE7A10A-4DF7-4DFE-BD86-9BE27345DB1A}"/>
    <cellStyle name="Normal 4 2 4 3 2 8" xfId="8952" xr:uid="{925500B9-EB8C-4A86-9C37-19B7FF5A2129}"/>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15781DB6-F07A-4127-8F5D-A6674DC18AB8}"/>
    <cellStyle name="Normal 4 2 4 3 3 2 3" xfId="11509" xr:uid="{D72D9FF7-E2F6-4F75-B6AC-5D6B2316881C}"/>
    <cellStyle name="Normal 4 2 4 3 3 3" xfId="5153" xr:uid="{00000000-0005-0000-0000-000094130000}"/>
    <cellStyle name="Normal 4 2 4 3 3 3 2" xfId="13582" xr:uid="{49F8E8FA-CD30-450E-A9FC-F9FF1BE4AD8F}"/>
    <cellStyle name="Normal 4 2 4 3 3 4" xfId="9364" xr:uid="{A2383630-EAC0-45D0-9B2E-6A927A63E7C1}"/>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79FAFFD2-801A-41B9-8796-1AC57FBC93E8}"/>
    <cellStyle name="Normal 4 2 4 3 4 2 3" xfId="11922" xr:uid="{A2C17A66-F771-4F51-8B0F-7521F2BE3096}"/>
    <cellStyle name="Normal 4 2 4 3 4 3" xfId="5566" xr:uid="{00000000-0005-0000-0000-000098130000}"/>
    <cellStyle name="Normal 4 2 4 3 4 3 2" xfId="13995" xr:uid="{D194C11F-B529-4DFB-914B-ADDC1536F77A}"/>
    <cellStyle name="Normal 4 2 4 3 4 4" xfId="9777" xr:uid="{EE5FF3CC-033F-4583-BB18-1520A9E57D56}"/>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E535A49B-1D5E-4EC0-9F90-B4072A83B082}"/>
    <cellStyle name="Normal 4 2 4 3 5 2 3" xfId="12335" xr:uid="{3780EC68-832C-41D8-8166-E5BA36A72D11}"/>
    <cellStyle name="Normal 4 2 4 3 5 3" xfId="5979" xr:uid="{00000000-0005-0000-0000-00009C130000}"/>
    <cellStyle name="Normal 4 2 4 3 5 3 2" xfId="14408" xr:uid="{FB22DDA7-3171-4229-8E71-1FCE41EDD409}"/>
    <cellStyle name="Normal 4 2 4 3 5 4" xfId="10190" xr:uid="{F7AB4214-70BE-4C7A-8C2A-AC09708FD471}"/>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3F91B751-4880-4ED2-BA93-AA5740546592}"/>
    <cellStyle name="Normal 4 2 4 3 6 2 3" xfId="12748" xr:uid="{D36DCB0E-01CB-4568-86BD-DA502374748A}"/>
    <cellStyle name="Normal 4 2 4 3 6 3" xfId="6392" xr:uid="{00000000-0005-0000-0000-0000A0130000}"/>
    <cellStyle name="Normal 4 2 4 3 6 3 2" xfId="14821" xr:uid="{C7748897-47AC-4073-BE98-520CEFF0DA13}"/>
    <cellStyle name="Normal 4 2 4 3 6 4" xfId="10603" xr:uid="{B08D2101-C7CE-4189-9A7B-950310155848}"/>
    <cellStyle name="Normal 4 2 4 3 7" xfId="2520" xr:uid="{00000000-0005-0000-0000-0000A1130000}"/>
    <cellStyle name="Normal 4 2 4 3 7 2" xfId="6805" xr:uid="{00000000-0005-0000-0000-0000A2130000}"/>
    <cellStyle name="Normal 4 2 4 3 7 2 2" xfId="15234" xr:uid="{912D7DD0-0493-4119-A909-EDD32A9E8412}"/>
    <cellStyle name="Normal 4 2 4 3 7 3" xfId="11016" xr:uid="{70AEE876-1E34-4F3D-B466-6F82B743A516}"/>
    <cellStyle name="Normal 4 2 4 3 8" xfId="4740" xr:uid="{00000000-0005-0000-0000-0000A3130000}"/>
    <cellStyle name="Normal 4 2 4 3 8 2" xfId="13169" xr:uid="{03A9D159-79CC-4328-8FA7-B6F487BBFCF4}"/>
    <cellStyle name="Normal 4 2 4 3 9" xfId="8951" xr:uid="{B7B4C735-2150-46A8-84A9-251AEBD4832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18AD6F99-7C6C-4B1B-A8A2-D63D7839EE95}"/>
    <cellStyle name="Normal 4 2 4 4 2 2 3" xfId="11511" xr:uid="{ED3C2A40-EBEF-431B-B199-A457E372C5E7}"/>
    <cellStyle name="Normal 4 2 4 4 2 3" xfId="5155" xr:uid="{00000000-0005-0000-0000-0000A8130000}"/>
    <cellStyle name="Normal 4 2 4 4 2 3 2" xfId="13584" xr:uid="{673A1C36-632B-4683-B480-9F595FC2CF3E}"/>
    <cellStyle name="Normal 4 2 4 4 2 4" xfId="9366" xr:uid="{C444553A-EAFA-43BC-BE40-7A1A87936359}"/>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E73B1C57-B5CF-4F53-9061-2BD88E33A805}"/>
    <cellStyle name="Normal 4 2 4 4 3 2 3" xfId="11924" xr:uid="{1EF6DC3D-8743-4F72-8EB6-D005B6D2A684}"/>
    <cellStyle name="Normal 4 2 4 4 3 3" xfId="5568" xr:uid="{00000000-0005-0000-0000-0000AC130000}"/>
    <cellStyle name="Normal 4 2 4 4 3 3 2" xfId="13997" xr:uid="{B6A32589-29EE-4FFC-93D0-25629654594F}"/>
    <cellStyle name="Normal 4 2 4 4 3 4" xfId="9779" xr:uid="{E538A9CD-EE14-42B3-BF52-C90A87285612}"/>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757933EF-715A-48E8-B962-A94D11A501E8}"/>
    <cellStyle name="Normal 4 2 4 4 4 2 3" xfId="12337" xr:uid="{0858CC91-E460-4169-88CD-F39727CDD78A}"/>
    <cellStyle name="Normal 4 2 4 4 4 3" xfId="5981" xr:uid="{00000000-0005-0000-0000-0000B0130000}"/>
    <cellStyle name="Normal 4 2 4 4 4 3 2" xfId="14410" xr:uid="{AB9AD0D0-C119-454B-A598-FE055ED9FC3A}"/>
    <cellStyle name="Normal 4 2 4 4 4 4" xfId="10192" xr:uid="{70E3B1D3-312F-44F6-B05B-7474BC11DA3F}"/>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9A4516DE-F947-4B2D-B9DA-DEC60E4706EB}"/>
    <cellStyle name="Normal 4 2 4 4 5 2 3" xfId="12750" xr:uid="{4D48068C-CDB3-4BD1-8ADF-70A266662AD2}"/>
    <cellStyle name="Normal 4 2 4 4 5 3" xfId="6394" xr:uid="{00000000-0005-0000-0000-0000B4130000}"/>
    <cellStyle name="Normal 4 2 4 4 5 3 2" xfId="14823" xr:uid="{F0D8101D-BF47-4CBC-8A16-B9EA943ADC67}"/>
    <cellStyle name="Normal 4 2 4 4 5 4" xfId="10605" xr:uid="{C80E9F26-CB75-455B-A2DE-1E0A4586766B}"/>
    <cellStyle name="Normal 4 2 4 4 6" xfId="2522" xr:uid="{00000000-0005-0000-0000-0000B5130000}"/>
    <cellStyle name="Normal 4 2 4 4 6 2" xfId="6807" xr:uid="{00000000-0005-0000-0000-0000B6130000}"/>
    <cellStyle name="Normal 4 2 4 4 6 2 2" xfId="15236" xr:uid="{90BF1BD6-9E11-4808-B61C-F7286E21F992}"/>
    <cellStyle name="Normal 4 2 4 4 6 3" xfId="11018" xr:uid="{55FBD578-BF87-42EC-8C33-3887EBC80625}"/>
    <cellStyle name="Normal 4 2 4 4 7" xfId="4742" xr:uid="{00000000-0005-0000-0000-0000B7130000}"/>
    <cellStyle name="Normal 4 2 4 4 7 2" xfId="13171" xr:uid="{DFD7173F-E56D-4A13-A87E-D9C915CA950D}"/>
    <cellStyle name="Normal 4 2 4 4 8" xfId="8953" xr:uid="{CF49DF65-B74A-4DEA-B84C-0B05BC3BC201}"/>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BFBC767A-DD0D-422F-BC37-E0398EB46A8F}"/>
    <cellStyle name="Normal 4 2 4 5 2 3" xfId="11504" xr:uid="{3B9BB74A-BE19-4CA8-BAAD-E08B5394A26B}"/>
    <cellStyle name="Normal 4 2 4 5 3" xfId="5148" xr:uid="{00000000-0005-0000-0000-0000BB130000}"/>
    <cellStyle name="Normal 4 2 4 5 3 2" xfId="13577" xr:uid="{AF224537-05C9-451F-ACE7-028E28C4EE1D}"/>
    <cellStyle name="Normal 4 2 4 5 4" xfId="9359" xr:uid="{B07A3F0F-3EFF-424F-B355-C7E1A3AAEF30}"/>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3CAD48D3-1EF0-4DAB-8738-21149450223E}"/>
    <cellStyle name="Normal 4 2 4 6 2 3" xfId="11917" xr:uid="{F61E80B2-DAD7-4C52-B2D3-ED833391E68A}"/>
    <cellStyle name="Normal 4 2 4 6 3" xfId="5561" xr:uid="{00000000-0005-0000-0000-0000BF130000}"/>
    <cellStyle name="Normal 4 2 4 6 3 2" xfId="13990" xr:uid="{B0FB6512-ACE3-46FD-A662-0AEE566513ED}"/>
    <cellStyle name="Normal 4 2 4 6 4" xfId="9772" xr:uid="{79B692EF-1B93-4EEB-B575-780A6FA4F38C}"/>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521BD783-5DFF-4A0A-B016-E5DC4D84ED88}"/>
    <cellStyle name="Normal 4 2 4 7 2 3" xfId="12330" xr:uid="{6755E095-C05E-4F95-BB56-7515A3E1193F}"/>
    <cellStyle name="Normal 4 2 4 7 3" xfId="5974" xr:uid="{00000000-0005-0000-0000-0000C3130000}"/>
    <cellStyle name="Normal 4 2 4 7 3 2" xfId="14403" xr:uid="{1872B921-FD4E-4E93-82D8-CC914F36A538}"/>
    <cellStyle name="Normal 4 2 4 7 4" xfId="10185" xr:uid="{AAF9AC9D-E926-4BCE-B211-209A60FE1EC6}"/>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B3FFADF7-3286-4EAF-9063-C42EC21704F7}"/>
    <cellStyle name="Normal 4 2 4 8 2 3" xfId="12743" xr:uid="{E18CA492-C5F5-469C-9CB3-FDCE43548D15}"/>
    <cellStyle name="Normal 4 2 4 8 3" xfId="6387" xr:uid="{00000000-0005-0000-0000-0000C7130000}"/>
    <cellStyle name="Normal 4 2 4 8 3 2" xfId="14816" xr:uid="{78AADD21-6A97-4C62-ACB7-5703C213779E}"/>
    <cellStyle name="Normal 4 2 4 8 4" xfId="10598" xr:uid="{B129D59E-2670-4A1A-AAE9-1778007F7C0D}"/>
    <cellStyle name="Normal 4 2 4 9" xfId="2515" xr:uid="{00000000-0005-0000-0000-0000C8130000}"/>
    <cellStyle name="Normal 4 2 4 9 2" xfId="6800" xr:uid="{00000000-0005-0000-0000-0000C9130000}"/>
    <cellStyle name="Normal 4 2 4 9 2 2" xfId="15229" xr:uid="{84C595E0-68BC-43B1-BD63-CC3C8E427DDF}"/>
    <cellStyle name="Normal 4 2 4 9 3" xfId="11011" xr:uid="{E868A10D-13CD-4533-A113-17E78DABB831}"/>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E11D91CF-645C-443D-BBB6-6BD647F3BA83}"/>
    <cellStyle name="Normal 4 2 5 2 2 2 3" xfId="11513" xr:uid="{AAC2BC22-850F-4CC8-A5DB-B9809D11CB40}"/>
    <cellStyle name="Normal 4 2 5 2 2 3" xfId="5157" xr:uid="{00000000-0005-0000-0000-0000CF130000}"/>
    <cellStyle name="Normal 4 2 5 2 2 3 2" xfId="13586" xr:uid="{784B8D04-2508-4F23-BA0D-0234AB8DDDFE}"/>
    <cellStyle name="Normal 4 2 5 2 2 4" xfId="9368" xr:uid="{8C662F1C-EEDA-4654-9D90-65E0E9A7077D}"/>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60DC0D0A-45D1-4DE1-A6CD-87811D2D9E97}"/>
    <cellStyle name="Normal 4 2 5 2 3 2 3" xfId="11926" xr:uid="{851DC244-D56C-4C47-8D41-32B4DA7C5EE2}"/>
    <cellStyle name="Normal 4 2 5 2 3 3" xfId="5570" xr:uid="{00000000-0005-0000-0000-0000D3130000}"/>
    <cellStyle name="Normal 4 2 5 2 3 3 2" xfId="13999" xr:uid="{1B64D83F-BDE2-4EC4-87BF-F4BEFC5B56FC}"/>
    <cellStyle name="Normal 4 2 5 2 3 4" xfId="9781" xr:uid="{F5FEEA93-EAD8-4D44-A2B2-76F7C1DD568F}"/>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3DA58128-9BAE-4017-9FEB-CB7BC047CD22}"/>
    <cellStyle name="Normal 4 2 5 2 4 2 3" xfId="12339" xr:uid="{C12BA3E8-6E66-4E39-AAF6-C220E226E24C}"/>
    <cellStyle name="Normal 4 2 5 2 4 3" xfId="5983" xr:uid="{00000000-0005-0000-0000-0000D7130000}"/>
    <cellStyle name="Normal 4 2 5 2 4 3 2" xfId="14412" xr:uid="{B72622E9-03E5-4A53-8E5B-F6A23CCCEA34}"/>
    <cellStyle name="Normal 4 2 5 2 4 4" xfId="10194" xr:uid="{957AB893-819C-47D5-AD03-F7BB4D655A8D}"/>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9769260A-1CEC-4905-A4A0-289591B1AFD4}"/>
    <cellStyle name="Normal 4 2 5 2 5 2 3" xfId="12752" xr:uid="{4C28A3A2-2705-43BA-9511-8DDAE8D645ED}"/>
    <cellStyle name="Normal 4 2 5 2 5 3" xfId="6396" xr:uid="{00000000-0005-0000-0000-0000DB130000}"/>
    <cellStyle name="Normal 4 2 5 2 5 3 2" xfId="14825" xr:uid="{3FB5B968-BEBD-497A-978A-5BA864DBB7FD}"/>
    <cellStyle name="Normal 4 2 5 2 5 4" xfId="10607" xr:uid="{ED6E140C-2D12-48B0-B0DF-38BE8ECF111F}"/>
    <cellStyle name="Normal 4 2 5 2 6" xfId="2524" xr:uid="{00000000-0005-0000-0000-0000DC130000}"/>
    <cellStyle name="Normal 4 2 5 2 6 2" xfId="6809" xr:uid="{00000000-0005-0000-0000-0000DD130000}"/>
    <cellStyle name="Normal 4 2 5 2 6 2 2" xfId="15238" xr:uid="{9E5F2A4D-4619-41A3-8074-573621597769}"/>
    <cellStyle name="Normal 4 2 5 2 6 3" xfId="11020" xr:uid="{32FC63CF-FB55-4988-B672-4C3AD7F893E8}"/>
    <cellStyle name="Normal 4 2 5 2 7" xfId="4744" xr:uid="{00000000-0005-0000-0000-0000DE130000}"/>
    <cellStyle name="Normal 4 2 5 2 7 2" xfId="13173" xr:uid="{115782E3-EA0B-43F5-95F3-BB30A06FC457}"/>
    <cellStyle name="Normal 4 2 5 2 8" xfId="8955" xr:uid="{C172F56A-90D6-459D-B0BD-70EF4D61D54B}"/>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B09372B7-2D3E-4750-AFD0-C6D500C702AC}"/>
    <cellStyle name="Normal 4 2 5 3 2 3" xfId="11512" xr:uid="{607CB740-131B-42F5-B9EC-ECF2139761F8}"/>
    <cellStyle name="Normal 4 2 5 3 3" xfId="5156" xr:uid="{00000000-0005-0000-0000-0000E2130000}"/>
    <cellStyle name="Normal 4 2 5 3 3 2" xfId="13585" xr:uid="{CCDF7370-BF99-4E5D-A7CD-BA36E45A6A30}"/>
    <cellStyle name="Normal 4 2 5 3 4" xfId="9367" xr:uid="{B955D7CB-A842-4DD9-A66B-CC903C3A967F}"/>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87C9E32E-CC9A-4A7E-9584-1522618351ED}"/>
    <cellStyle name="Normal 4 2 5 4 2 3" xfId="11925" xr:uid="{E6D665C1-E64F-4CE2-9D61-6AAF5C2027A7}"/>
    <cellStyle name="Normal 4 2 5 4 3" xfId="5569" xr:uid="{00000000-0005-0000-0000-0000E6130000}"/>
    <cellStyle name="Normal 4 2 5 4 3 2" xfId="13998" xr:uid="{FADCC9AC-FBB1-4E1F-8C24-BDBAB3274699}"/>
    <cellStyle name="Normal 4 2 5 4 4" xfId="9780" xr:uid="{3F0002DB-F74A-4351-83E8-5E077FBC72A7}"/>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BF70C7E6-B6AF-43EE-8C4A-BE7F19142079}"/>
    <cellStyle name="Normal 4 2 5 5 2 3" xfId="12338" xr:uid="{8B8E2A08-C020-43D0-A922-6016A8EE2579}"/>
    <cellStyle name="Normal 4 2 5 5 3" xfId="5982" xr:uid="{00000000-0005-0000-0000-0000EA130000}"/>
    <cellStyle name="Normal 4 2 5 5 3 2" xfId="14411" xr:uid="{22B811F6-605A-475A-B3BF-5A8190F2C4BE}"/>
    <cellStyle name="Normal 4 2 5 5 4" xfId="10193" xr:uid="{424AA991-DC1D-41A5-BF94-7925F5AF32C8}"/>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EDAE7BBE-DF4A-471E-9A33-B757FEE28F53}"/>
    <cellStyle name="Normal 4 2 5 6 2 3" xfId="12751" xr:uid="{2448DB3A-BA78-43B4-A390-D29FFD37868E}"/>
    <cellStyle name="Normal 4 2 5 6 3" xfId="6395" xr:uid="{00000000-0005-0000-0000-0000EE130000}"/>
    <cellStyle name="Normal 4 2 5 6 3 2" xfId="14824" xr:uid="{21121A4B-7140-481C-88CD-6DC0B84E946E}"/>
    <cellStyle name="Normal 4 2 5 6 4" xfId="10606" xr:uid="{FE52E706-19EA-49A3-8A4D-770DDD5D8AFE}"/>
    <cellStyle name="Normal 4 2 5 7" xfId="2523" xr:uid="{00000000-0005-0000-0000-0000EF130000}"/>
    <cellStyle name="Normal 4 2 5 7 2" xfId="6808" xr:uid="{00000000-0005-0000-0000-0000F0130000}"/>
    <cellStyle name="Normal 4 2 5 7 2 2" xfId="15237" xr:uid="{4883F1E2-E6F8-4569-8983-392761424587}"/>
    <cellStyle name="Normal 4 2 5 7 3" xfId="11019" xr:uid="{FFE40910-C40A-4FFC-8BA8-3EEFD77F3A35}"/>
    <cellStyle name="Normal 4 2 5 8" xfId="4743" xr:uid="{00000000-0005-0000-0000-0000F1130000}"/>
    <cellStyle name="Normal 4 2 5 8 2" xfId="13172" xr:uid="{0AA882CE-3DF7-44E5-B4F4-54C418A32DFE}"/>
    <cellStyle name="Normal 4 2 5 9" xfId="8954" xr:uid="{DD124346-C5DA-4B25-B565-101ABCC6B33F}"/>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CEE04050-9EE6-4ECA-BA5E-4EF3B788246A}"/>
    <cellStyle name="Normal 4 2 6 2 2 3" xfId="11514" xr:uid="{2AD227E8-8415-4AF7-9C9E-4DD83ECAB24A}"/>
    <cellStyle name="Normal 4 2 6 2 3" xfId="5158" xr:uid="{00000000-0005-0000-0000-0000F6130000}"/>
    <cellStyle name="Normal 4 2 6 2 3 2" xfId="13587" xr:uid="{1E425EB1-9808-49DF-80D6-B15B328FDCE9}"/>
    <cellStyle name="Normal 4 2 6 2 4" xfId="9369" xr:uid="{0A1C6577-3C0A-4F73-B525-63FD8DCEEBFC}"/>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970D70FF-F35F-4787-838E-0076A28ED339}"/>
    <cellStyle name="Normal 4 2 6 3 2 3" xfId="11927" xr:uid="{48F66211-5D89-4443-B50A-E0B407A27628}"/>
    <cellStyle name="Normal 4 2 6 3 3" xfId="5571" xr:uid="{00000000-0005-0000-0000-0000FA130000}"/>
    <cellStyle name="Normal 4 2 6 3 3 2" xfId="14000" xr:uid="{A84B966E-87EA-4A7A-8A01-D9D5F0DB512D}"/>
    <cellStyle name="Normal 4 2 6 3 4" xfId="9782" xr:uid="{3C712E15-4509-4829-B6CB-6006A170B2A0}"/>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C4B4EA4E-6D12-47FF-8E33-521990B2C996}"/>
    <cellStyle name="Normal 4 2 6 4 2 3" xfId="12340" xr:uid="{6E5C720A-FC16-4519-A14F-7DA02F22587D}"/>
    <cellStyle name="Normal 4 2 6 4 3" xfId="5984" xr:uid="{00000000-0005-0000-0000-0000FE130000}"/>
    <cellStyle name="Normal 4 2 6 4 3 2" xfId="14413" xr:uid="{0661864B-40D5-45A1-95E2-AFF12A7A4066}"/>
    <cellStyle name="Normal 4 2 6 4 4" xfId="10195" xr:uid="{AD628893-E832-47FD-86A5-E51AAED38A0F}"/>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0B54ECBA-420A-4483-B080-6AA46CDDA61D}"/>
    <cellStyle name="Normal 4 2 6 5 2 3" xfId="12753" xr:uid="{F004751D-0E42-43A5-ACD6-F4B09DB24A36}"/>
    <cellStyle name="Normal 4 2 6 5 3" xfId="6397" xr:uid="{00000000-0005-0000-0000-000002140000}"/>
    <cellStyle name="Normal 4 2 6 5 3 2" xfId="14826" xr:uid="{B581915A-13F7-4C08-B43B-977846A7BF6C}"/>
    <cellStyle name="Normal 4 2 6 5 4" xfId="10608" xr:uid="{33FB6384-6BDE-404B-8F6C-AFB933645FD6}"/>
    <cellStyle name="Normal 4 2 6 6" xfId="2525" xr:uid="{00000000-0005-0000-0000-000003140000}"/>
    <cellStyle name="Normal 4 2 6 6 2" xfId="6810" xr:uid="{00000000-0005-0000-0000-000004140000}"/>
    <cellStyle name="Normal 4 2 6 6 2 2" xfId="15239" xr:uid="{1BD8BA09-1CEB-4349-B622-69A607E04D43}"/>
    <cellStyle name="Normal 4 2 6 6 3" xfId="11021" xr:uid="{D4F357DB-608D-4D9C-8451-CA66AF07A3F2}"/>
    <cellStyle name="Normal 4 2 6 7" xfId="4745" xr:uid="{00000000-0005-0000-0000-000005140000}"/>
    <cellStyle name="Normal 4 2 6 7 2" xfId="13174" xr:uid="{04380399-2E74-45A2-AC32-0847B4BA8B7D}"/>
    <cellStyle name="Normal 4 2 6 8" xfId="8956" xr:uid="{D5362158-6CB4-4071-A709-0D2EA25C8488}"/>
    <cellStyle name="Normal 4 3" xfId="366" xr:uid="{00000000-0005-0000-0000-000006140000}"/>
    <cellStyle name="Normal 4 3 10" xfId="8957" xr:uid="{563C5AB3-518B-4F57-A40F-04D1FE025740}"/>
    <cellStyle name="Normal 4 3 2" xfId="367" xr:uid="{00000000-0005-0000-0000-000007140000}"/>
    <cellStyle name="Normal 4 3 2 2" xfId="368" xr:uid="{00000000-0005-0000-0000-000008140000}"/>
    <cellStyle name="Normal 4 3 2 2 2" xfId="369" xr:uid="{00000000-0005-0000-0000-000009140000}"/>
    <cellStyle name="Normal 4 3 2 2 2 10" xfId="8958" xr:uid="{0B929B2E-4F49-454A-A100-FF5BD33BC7FC}"/>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5A59D5A7-B95B-4F65-B7FA-32632D53F6A0}"/>
    <cellStyle name="Normal 4 3 2 2 2 2 2 2 2 3" xfId="11518" xr:uid="{E74498EF-F031-4480-80B2-44A89AEA5C6D}"/>
    <cellStyle name="Normal 4 3 2 2 2 2 2 2 3" xfId="5162" xr:uid="{00000000-0005-0000-0000-00000F140000}"/>
    <cellStyle name="Normal 4 3 2 2 2 2 2 2 3 2" xfId="13591" xr:uid="{3AA0D78B-F9D1-44A4-8C4B-AB802B11D724}"/>
    <cellStyle name="Normal 4 3 2 2 2 2 2 2 4" xfId="9373" xr:uid="{7311CFBC-793A-4F15-9A27-97556F25A081}"/>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B3FC508A-1FCE-49F2-8788-34AF5DB7F218}"/>
    <cellStyle name="Normal 4 3 2 2 2 2 2 3 2 3" xfId="11931" xr:uid="{7FBE927E-AB55-4B88-96D6-A4E816159CD7}"/>
    <cellStyle name="Normal 4 3 2 2 2 2 2 3 3" xfId="5575" xr:uid="{00000000-0005-0000-0000-000013140000}"/>
    <cellStyle name="Normal 4 3 2 2 2 2 2 3 3 2" xfId="14004" xr:uid="{7ABB93B0-4B59-46FE-B6B2-7CDB59E8AEFC}"/>
    <cellStyle name="Normal 4 3 2 2 2 2 2 3 4" xfId="9786" xr:uid="{7D385CB0-E6DB-42DE-86F4-0C54DC150FF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4CC3C200-D6B6-4982-B0CB-56E30FC7CF82}"/>
    <cellStyle name="Normal 4 3 2 2 2 2 2 4 2 3" xfId="12344" xr:uid="{1D58A890-11E1-47D3-8A74-F2A6C3C3F296}"/>
    <cellStyle name="Normal 4 3 2 2 2 2 2 4 3" xfId="5988" xr:uid="{00000000-0005-0000-0000-000017140000}"/>
    <cellStyle name="Normal 4 3 2 2 2 2 2 4 3 2" xfId="14417" xr:uid="{DF4986FD-084F-49DC-91FB-B3245DB29727}"/>
    <cellStyle name="Normal 4 3 2 2 2 2 2 4 4" xfId="10199" xr:uid="{1D77E930-3AF6-4995-B881-FB77A3A40759}"/>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C9940E8C-0B97-4B24-A4CF-BD86EDAA9640}"/>
    <cellStyle name="Normal 4 3 2 2 2 2 2 5 2 3" xfId="12757" xr:uid="{D24C1C42-6A68-4A32-B8FC-97414F5CC0DC}"/>
    <cellStyle name="Normal 4 3 2 2 2 2 2 5 3" xfId="6401" xr:uid="{00000000-0005-0000-0000-00001B140000}"/>
    <cellStyle name="Normal 4 3 2 2 2 2 2 5 3 2" xfId="14830" xr:uid="{A18627FA-51D4-4BF0-BAAA-DA45418F77F9}"/>
    <cellStyle name="Normal 4 3 2 2 2 2 2 5 4" xfId="10612" xr:uid="{4B804AC7-2893-44F5-8D54-CE8F38708C9A}"/>
    <cellStyle name="Normal 4 3 2 2 2 2 2 6" xfId="2529" xr:uid="{00000000-0005-0000-0000-00001C140000}"/>
    <cellStyle name="Normal 4 3 2 2 2 2 2 6 2" xfId="6814" xr:uid="{00000000-0005-0000-0000-00001D140000}"/>
    <cellStyle name="Normal 4 3 2 2 2 2 2 6 2 2" xfId="15243" xr:uid="{711F737B-46E7-4060-BD9A-876B0C997DB5}"/>
    <cellStyle name="Normal 4 3 2 2 2 2 2 6 3" xfId="11025" xr:uid="{9CEA8953-4325-46FF-A93B-CAC201CA2785}"/>
    <cellStyle name="Normal 4 3 2 2 2 2 2 7" xfId="4749" xr:uid="{00000000-0005-0000-0000-00001E140000}"/>
    <cellStyle name="Normal 4 3 2 2 2 2 2 7 2" xfId="13178" xr:uid="{A652A84E-9208-4FAC-A6F0-88730157AAA8}"/>
    <cellStyle name="Normal 4 3 2 2 2 2 2 8" xfId="8960" xr:uid="{46D5FDFA-0877-4B30-B827-04D1E09008F5}"/>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B0C5E35E-39C2-47AD-B621-CB64AD05CF00}"/>
    <cellStyle name="Normal 4 3 2 2 2 2 3 2 3" xfId="11517" xr:uid="{F88EC855-BD59-45E6-BE68-E3B08AB44FF2}"/>
    <cellStyle name="Normal 4 3 2 2 2 2 3 3" xfId="5161" xr:uid="{00000000-0005-0000-0000-000022140000}"/>
    <cellStyle name="Normal 4 3 2 2 2 2 3 3 2" xfId="13590" xr:uid="{F1628F8E-BE91-4314-98DC-61B60F0D02A6}"/>
    <cellStyle name="Normal 4 3 2 2 2 2 3 4" xfId="9372" xr:uid="{11446DE2-5131-4A44-9090-16CFF5A99E63}"/>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0D562217-3665-48C2-A6FE-F8E0DA5CB094}"/>
    <cellStyle name="Normal 4 3 2 2 2 2 4 2 3" xfId="11930" xr:uid="{65F5E545-4368-49FD-B952-A6F40047B539}"/>
    <cellStyle name="Normal 4 3 2 2 2 2 4 3" xfId="5574" xr:uid="{00000000-0005-0000-0000-000026140000}"/>
    <cellStyle name="Normal 4 3 2 2 2 2 4 3 2" xfId="14003" xr:uid="{F0A0659A-B010-486A-816B-611FA3038DB7}"/>
    <cellStyle name="Normal 4 3 2 2 2 2 4 4" xfId="9785" xr:uid="{707DA4D3-EB3E-4F47-A9A1-570615D8F878}"/>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9C951EAF-993D-4D87-BD8B-A761E5EBBD8A}"/>
    <cellStyle name="Normal 4 3 2 2 2 2 5 2 3" xfId="12343" xr:uid="{D3178C65-4610-4839-8AF5-73ED75F118A7}"/>
    <cellStyle name="Normal 4 3 2 2 2 2 5 3" xfId="5987" xr:uid="{00000000-0005-0000-0000-00002A140000}"/>
    <cellStyle name="Normal 4 3 2 2 2 2 5 3 2" xfId="14416" xr:uid="{E3E99AC4-891F-4343-B5CA-FF5AFE7505E4}"/>
    <cellStyle name="Normal 4 3 2 2 2 2 5 4" xfId="10198" xr:uid="{06B1B31A-2FEA-4FA4-914D-A0EB065FA193}"/>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34B69489-28B5-4914-95C4-D35293D3678F}"/>
    <cellStyle name="Normal 4 3 2 2 2 2 6 2 3" xfId="12756" xr:uid="{043DE463-C666-4226-9BE3-719D817F87A6}"/>
    <cellStyle name="Normal 4 3 2 2 2 2 6 3" xfId="6400" xr:uid="{00000000-0005-0000-0000-00002E140000}"/>
    <cellStyle name="Normal 4 3 2 2 2 2 6 3 2" xfId="14829" xr:uid="{A103ADA9-CAB1-4C30-A8F2-D0D7EEF1D302}"/>
    <cellStyle name="Normal 4 3 2 2 2 2 6 4" xfId="10611" xr:uid="{346882DB-22E1-49AC-91B5-7987EA917445}"/>
    <cellStyle name="Normal 4 3 2 2 2 2 7" xfId="2528" xr:uid="{00000000-0005-0000-0000-00002F140000}"/>
    <cellStyle name="Normal 4 3 2 2 2 2 7 2" xfId="6813" xr:uid="{00000000-0005-0000-0000-000030140000}"/>
    <cellStyle name="Normal 4 3 2 2 2 2 7 2 2" xfId="15242" xr:uid="{9142DCB3-A30F-41E9-952D-CC0F0D177983}"/>
    <cellStyle name="Normal 4 3 2 2 2 2 7 3" xfId="11024" xr:uid="{F924A017-DFF6-47F7-8DCD-775985F7678A}"/>
    <cellStyle name="Normal 4 3 2 2 2 2 8" xfId="4748" xr:uid="{00000000-0005-0000-0000-000031140000}"/>
    <cellStyle name="Normal 4 3 2 2 2 2 8 2" xfId="13177" xr:uid="{FC37D4C6-4EB6-41F4-87DA-6877D280CE9D}"/>
    <cellStyle name="Normal 4 3 2 2 2 2 9" xfId="8959" xr:uid="{7253002A-B8E9-4E56-AE10-52E9726B7C6B}"/>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3EEFE058-89A0-4956-BD14-FD0691B18C67}"/>
    <cellStyle name="Normal 4 3 2 2 2 3 2 2 3" xfId="11519" xr:uid="{886C615A-4EE4-4198-890D-EE1B8C731DF4}"/>
    <cellStyle name="Normal 4 3 2 2 2 3 2 3" xfId="5163" xr:uid="{00000000-0005-0000-0000-000036140000}"/>
    <cellStyle name="Normal 4 3 2 2 2 3 2 3 2" xfId="13592" xr:uid="{13AC54EA-D12B-490A-9AAA-920563340ACA}"/>
    <cellStyle name="Normal 4 3 2 2 2 3 2 4" xfId="9374" xr:uid="{D0864205-94B5-498B-93F0-4C6BA648E856}"/>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E0875AD7-838E-440D-BD76-A1C2ACD50A58}"/>
    <cellStyle name="Normal 4 3 2 2 2 3 3 2 3" xfId="11932" xr:uid="{C4AB2CCF-64CA-4885-A32A-EBA40ABC1071}"/>
    <cellStyle name="Normal 4 3 2 2 2 3 3 3" xfId="5576" xr:uid="{00000000-0005-0000-0000-00003A140000}"/>
    <cellStyle name="Normal 4 3 2 2 2 3 3 3 2" xfId="14005" xr:uid="{77874C5C-456F-4E74-A855-B4197FD6397C}"/>
    <cellStyle name="Normal 4 3 2 2 2 3 3 4" xfId="9787" xr:uid="{EE5D5478-FBE8-4974-8291-921AF40E27AE}"/>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22B97BD0-792F-4ED5-A2C2-F08CEEF5A368}"/>
    <cellStyle name="Normal 4 3 2 2 2 3 4 2 3" xfId="12345" xr:uid="{0F37E149-8D53-47E9-ADED-58E1BBA9432D}"/>
    <cellStyle name="Normal 4 3 2 2 2 3 4 3" xfId="5989" xr:uid="{00000000-0005-0000-0000-00003E140000}"/>
    <cellStyle name="Normal 4 3 2 2 2 3 4 3 2" xfId="14418" xr:uid="{6ACF6BAE-CBD6-4796-9B97-FD7F0FFA2CB0}"/>
    <cellStyle name="Normal 4 3 2 2 2 3 4 4" xfId="10200" xr:uid="{F55C75D2-63C7-4AC7-9702-962F7B732A02}"/>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54FC4D4F-CBEC-44F3-BBB4-9A62778EC5DB}"/>
    <cellStyle name="Normal 4 3 2 2 2 3 5 2 3" xfId="12758" xr:uid="{4E30B72B-2CB9-4533-8452-DADC3EF9083E}"/>
    <cellStyle name="Normal 4 3 2 2 2 3 5 3" xfId="6402" xr:uid="{00000000-0005-0000-0000-000042140000}"/>
    <cellStyle name="Normal 4 3 2 2 2 3 5 3 2" xfId="14831" xr:uid="{488269F7-4F45-406A-BE72-7A7248124042}"/>
    <cellStyle name="Normal 4 3 2 2 2 3 5 4" xfId="10613" xr:uid="{A2ABF17E-BCE0-4D78-B58C-A07FF6C00615}"/>
    <cellStyle name="Normal 4 3 2 2 2 3 6" xfId="2530" xr:uid="{00000000-0005-0000-0000-000043140000}"/>
    <cellStyle name="Normal 4 3 2 2 2 3 6 2" xfId="6815" xr:uid="{00000000-0005-0000-0000-000044140000}"/>
    <cellStyle name="Normal 4 3 2 2 2 3 6 2 2" xfId="15244" xr:uid="{C2985E25-73B8-4E7C-9264-D7DA3DE553D2}"/>
    <cellStyle name="Normal 4 3 2 2 2 3 6 3" xfId="11026" xr:uid="{422F743A-5BA2-40D5-9AC6-32855D611820}"/>
    <cellStyle name="Normal 4 3 2 2 2 3 7" xfId="4750" xr:uid="{00000000-0005-0000-0000-000045140000}"/>
    <cellStyle name="Normal 4 3 2 2 2 3 7 2" xfId="13179" xr:uid="{47CE1D93-1CF9-4D83-89E3-8E31A477E5C6}"/>
    <cellStyle name="Normal 4 3 2 2 2 3 8" xfId="8961" xr:uid="{43A848ED-63A6-456F-927F-68EED9B3D8BE}"/>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11588D27-DB08-4A6D-98D8-3629B9C3C738}"/>
    <cellStyle name="Normal 4 3 2 2 2 4 2 3" xfId="11516" xr:uid="{7C92E12C-CE3D-426C-BFA3-B73B2D4DC256}"/>
    <cellStyle name="Normal 4 3 2 2 2 4 3" xfId="5160" xr:uid="{00000000-0005-0000-0000-000049140000}"/>
    <cellStyle name="Normal 4 3 2 2 2 4 3 2" xfId="13589" xr:uid="{48DF7694-F3FA-4F24-82D2-21DDCA8C27E4}"/>
    <cellStyle name="Normal 4 3 2 2 2 4 4" xfId="9371" xr:uid="{442A215C-AAF3-4E8C-9C40-7020304305BA}"/>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E8E71372-61E6-4DAA-8893-256AF06DA4CD}"/>
    <cellStyle name="Normal 4 3 2 2 2 5 2 3" xfId="11929" xr:uid="{6A0499E0-295E-46F3-A640-9C2B08234C9A}"/>
    <cellStyle name="Normal 4 3 2 2 2 5 3" xfId="5573" xr:uid="{00000000-0005-0000-0000-00004D140000}"/>
    <cellStyle name="Normal 4 3 2 2 2 5 3 2" xfId="14002" xr:uid="{CB6B2466-0794-44B7-88B2-45D6B5EED677}"/>
    <cellStyle name="Normal 4 3 2 2 2 5 4" xfId="9784" xr:uid="{E10588D7-6031-4F44-AF27-72D5269CC4F6}"/>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D28A1ADD-429E-4A98-B8FC-90259171211C}"/>
    <cellStyle name="Normal 4 3 2 2 2 6 2 3" xfId="12342" xr:uid="{227F1A3B-0B72-4048-8B2D-C327C7552A4F}"/>
    <cellStyle name="Normal 4 3 2 2 2 6 3" xfId="5986" xr:uid="{00000000-0005-0000-0000-000051140000}"/>
    <cellStyle name="Normal 4 3 2 2 2 6 3 2" xfId="14415" xr:uid="{560B70A5-A6D0-4B26-B09E-E90ED38BA5E1}"/>
    <cellStyle name="Normal 4 3 2 2 2 6 4" xfId="10197" xr:uid="{C8A98484-A5A9-4F14-B60C-38F7DE0E7DB8}"/>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6992198E-17D4-4D77-A4B4-EFE3571204D0}"/>
    <cellStyle name="Normal 4 3 2 2 2 7 2 3" xfId="12755" xr:uid="{C24805F9-E839-4BCB-B61D-034F8F1CC227}"/>
    <cellStyle name="Normal 4 3 2 2 2 7 3" xfId="6399" xr:uid="{00000000-0005-0000-0000-000055140000}"/>
    <cellStyle name="Normal 4 3 2 2 2 7 3 2" xfId="14828" xr:uid="{D47F690D-833D-4E98-9330-17D639D8557C}"/>
    <cellStyle name="Normal 4 3 2 2 2 7 4" xfId="10610" xr:uid="{35803407-BF03-4F9F-8A36-7BF2BE8E4C23}"/>
    <cellStyle name="Normal 4 3 2 2 2 8" xfId="2527" xr:uid="{00000000-0005-0000-0000-000056140000}"/>
    <cellStyle name="Normal 4 3 2 2 2 8 2" xfId="6812" xr:uid="{00000000-0005-0000-0000-000057140000}"/>
    <cellStyle name="Normal 4 3 2 2 2 8 2 2" xfId="15241" xr:uid="{58E46D74-3C27-41EC-8188-18ACE4FA4A8F}"/>
    <cellStyle name="Normal 4 3 2 2 2 8 3" xfId="11023" xr:uid="{014F341C-8939-4F14-8477-956CD1696D33}"/>
    <cellStyle name="Normal 4 3 2 2 2 9" xfId="4747" xr:uid="{00000000-0005-0000-0000-000058140000}"/>
    <cellStyle name="Normal 4 3 2 2 2 9 2" xfId="13176" xr:uid="{B80D6832-784D-4086-BC88-5029DE02F844}"/>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6E60F83D-0C4B-4B98-9D05-ADBF4961CBA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70E29296-43C4-4862-B3D6-F679E5A5AD28}"/>
    <cellStyle name="Normal 4 3 3 2 2 2 2 3" xfId="11522" xr:uid="{C6D79FF8-5E13-475D-B251-3BCF4EC2A08C}"/>
    <cellStyle name="Normal 4 3 3 2 2 2 3" xfId="5166" xr:uid="{00000000-0005-0000-0000-000062140000}"/>
    <cellStyle name="Normal 4 3 3 2 2 2 3 2" xfId="13595" xr:uid="{CEDD1768-46CA-437D-8716-3F3D3AFCC84C}"/>
    <cellStyle name="Normal 4 3 3 2 2 2 4" xfId="9377" xr:uid="{503EAC13-4B82-4C97-A282-28225397989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2E629E3D-55E2-41D4-87CA-C3BEAF07C837}"/>
    <cellStyle name="Normal 4 3 3 2 2 3 2 3" xfId="11935" xr:uid="{BD8506AF-8DD7-486E-BBDA-0418DA9F06C6}"/>
    <cellStyle name="Normal 4 3 3 2 2 3 3" xfId="5579" xr:uid="{00000000-0005-0000-0000-000066140000}"/>
    <cellStyle name="Normal 4 3 3 2 2 3 3 2" xfId="14008" xr:uid="{040D9B5B-4E01-4053-8B35-C8A0AE6CCBE5}"/>
    <cellStyle name="Normal 4 3 3 2 2 3 4" xfId="9790" xr:uid="{3960EA3D-1B25-4941-A35D-9B3E62D15F05}"/>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AF1402A0-7A2A-4F2D-8B8A-FEA9D6537D8F}"/>
    <cellStyle name="Normal 4 3 3 2 2 4 2 3" xfId="12348" xr:uid="{C6DAD092-5586-4F9C-9349-673FC715A4C0}"/>
    <cellStyle name="Normal 4 3 3 2 2 4 3" xfId="5992" xr:uid="{00000000-0005-0000-0000-00006A140000}"/>
    <cellStyle name="Normal 4 3 3 2 2 4 3 2" xfId="14421" xr:uid="{8F3308C0-DD54-4C40-AB47-65ADB4B3D785}"/>
    <cellStyle name="Normal 4 3 3 2 2 4 4" xfId="10203" xr:uid="{96407C3B-CA70-47BD-9F5B-4C9ACE7DF8CF}"/>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354E9D3A-C900-4251-AD0D-5AB263F4520D}"/>
    <cellStyle name="Normal 4 3 3 2 2 5 2 3" xfId="12761" xr:uid="{481F204B-6176-4D9E-9031-44D8ACF64243}"/>
    <cellStyle name="Normal 4 3 3 2 2 5 3" xfId="6405" xr:uid="{00000000-0005-0000-0000-00006E140000}"/>
    <cellStyle name="Normal 4 3 3 2 2 5 3 2" xfId="14834" xr:uid="{2B95CEA1-9D0C-4ADA-B586-679E887F073E}"/>
    <cellStyle name="Normal 4 3 3 2 2 5 4" xfId="10616" xr:uid="{DE8387EB-39A2-4C3C-9A8C-2CBF90295E98}"/>
    <cellStyle name="Normal 4 3 3 2 2 6" xfId="2533" xr:uid="{00000000-0005-0000-0000-00006F140000}"/>
    <cellStyle name="Normal 4 3 3 2 2 6 2" xfId="6818" xr:uid="{00000000-0005-0000-0000-000070140000}"/>
    <cellStyle name="Normal 4 3 3 2 2 6 2 2" xfId="15247" xr:uid="{E7637553-D5C8-4EF9-A46E-9DF836755186}"/>
    <cellStyle name="Normal 4 3 3 2 2 6 3" xfId="11029" xr:uid="{24BDF69A-0BA8-45D4-9F3E-E572DECC9C9A}"/>
    <cellStyle name="Normal 4 3 3 2 2 7" xfId="4753" xr:uid="{00000000-0005-0000-0000-000071140000}"/>
    <cellStyle name="Normal 4 3 3 2 2 7 2" xfId="13182" xr:uid="{2A9C54F4-CF35-41D8-8449-AD814DDF562F}"/>
    <cellStyle name="Normal 4 3 3 2 2 8" xfId="8964" xr:uid="{F4A4E11C-A543-44D8-8C11-93F3A35D2E39}"/>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42666279-F44F-467C-A7CC-F7A5FEC80B9D}"/>
    <cellStyle name="Normal 4 3 3 2 3 2 3" xfId="11521" xr:uid="{C170C18A-56DE-4E2E-A1ED-53CCC9989DE3}"/>
    <cellStyle name="Normal 4 3 3 2 3 3" xfId="5165" xr:uid="{00000000-0005-0000-0000-000075140000}"/>
    <cellStyle name="Normal 4 3 3 2 3 3 2" xfId="13594" xr:uid="{7E5EF027-8CDB-48E0-8543-569E11FB1812}"/>
    <cellStyle name="Normal 4 3 3 2 3 4" xfId="9376" xr:uid="{58640424-D4CD-4130-83F7-C6F93438F900}"/>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A7C7D7F2-15CB-4F2B-9271-E631620E6C69}"/>
    <cellStyle name="Normal 4 3 3 2 4 2 3" xfId="11934" xr:uid="{652765A4-E1D5-48E3-A494-C2A6F9B5DC55}"/>
    <cellStyle name="Normal 4 3 3 2 4 3" xfId="5578" xr:uid="{00000000-0005-0000-0000-000079140000}"/>
    <cellStyle name="Normal 4 3 3 2 4 3 2" xfId="14007" xr:uid="{D62C073B-5622-4BD3-81DC-485F44BDDFBF}"/>
    <cellStyle name="Normal 4 3 3 2 4 4" xfId="9789" xr:uid="{AF46F855-B6D8-4F59-ABF5-53AABFD4A940}"/>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7C3C291B-AF03-44AE-B493-FFEE909170D8}"/>
    <cellStyle name="Normal 4 3 3 2 5 2 3" xfId="12347" xr:uid="{90D2670D-A521-4283-A3E4-95F161035E8F}"/>
    <cellStyle name="Normal 4 3 3 2 5 3" xfId="5991" xr:uid="{00000000-0005-0000-0000-00007D140000}"/>
    <cellStyle name="Normal 4 3 3 2 5 3 2" xfId="14420" xr:uid="{FB80C608-7E6C-4A85-9F3A-D89A6702FB05}"/>
    <cellStyle name="Normal 4 3 3 2 5 4" xfId="10202" xr:uid="{8486B828-1C00-47C2-92F7-D82B800BE9A5}"/>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FEAA9980-6B20-49BF-9608-F5B4986A254C}"/>
    <cellStyle name="Normal 4 3 3 2 6 2 3" xfId="12760" xr:uid="{3E936047-D1FD-4279-B5CE-F7068C2668E2}"/>
    <cellStyle name="Normal 4 3 3 2 6 3" xfId="6404" xr:uid="{00000000-0005-0000-0000-000081140000}"/>
    <cellStyle name="Normal 4 3 3 2 6 3 2" xfId="14833" xr:uid="{72FA70ED-B513-47DA-9D14-F240C8561071}"/>
    <cellStyle name="Normal 4 3 3 2 6 4" xfId="10615" xr:uid="{15FFAB74-DBD3-485A-8662-5C5AEA588FD7}"/>
    <cellStyle name="Normal 4 3 3 2 7" xfId="2532" xr:uid="{00000000-0005-0000-0000-000082140000}"/>
    <cellStyle name="Normal 4 3 3 2 7 2" xfId="6817" xr:uid="{00000000-0005-0000-0000-000083140000}"/>
    <cellStyle name="Normal 4 3 3 2 7 2 2" xfId="15246" xr:uid="{DE737CF3-ABDE-4757-824E-2D8F4AF20FE0}"/>
    <cellStyle name="Normal 4 3 3 2 7 3" xfId="11028" xr:uid="{76680B4C-A238-4B22-ACAA-7E636538F841}"/>
    <cellStyle name="Normal 4 3 3 2 8" xfId="4752" xr:uid="{00000000-0005-0000-0000-000084140000}"/>
    <cellStyle name="Normal 4 3 3 2 8 2" xfId="13181" xr:uid="{B2B3AEE7-B2FE-4388-8549-64794917AC3B}"/>
    <cellStyle name="Normal 4 3 3 2 9" xfId="8963" xr:uid="{0170C5E0-081D-4D1B-A79B-DAF23EECD207}"/>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0E4043A4-3F6C-4CD6-927D-59CA170B7851}"/>
    <cellStyle name="Normal 4 3 3 3 2 2 3" xfId="11523" xr:uid="{2E6AE351-3947-4944-BBD1-8D97F7ADD087}"/>
    <cellStyle name="Normal 4 3 3 3 2 3" xfId="5167" xr:uid="{00000000-0005-0000-0000-000089140000}"/>
    <cellStyle name="Normal 4 3 3 3 2 3 2" xfId="13596" xr:uid="{D9B981DD-4E60-4E29-8C6E-B852C3FFAE9D}"/>
    <cellStyle name="Normal 4 3 3 3 2 4" xfId="9378" xr:uid="{F84FE41B-3285-473B-B81B-7BDD5F6682D6}"/>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F6D345A8-71A6-4E35-A323-CBC9064F6FBB}"/>
    <cellStyle name="Normal 4 3 3 3 3 2 3" xfId="11936" xr:uid="{1F943523-0183-4F7F-8C87-B065CA2D797B}"/>
    <cellStyle name="Normal 4 3 3 3 3 3" xfId="5580" xr:uid="{00000000-0005-0000-0000-00008D140000}"/>
    <cellStyle name="Normal 4 3 3 3 3 3 2" xfId="14009" xr:uid="{FA814CB0-A720-40AA-A7AC-BBA48E4E7D96}"/>
    <cellStyle name="Normal 4 3 3 3 3 4" xfId="9791" xr:uid="{26F302DB-2293-415F-9C75-FA2E1F5996D9}"/>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6EDDE654-D369-49D7-AE88-FC8C371E92A2}"/>
    <cellStyle name="Normal 4 3 3 3 4 2 3" xfId="12349" xr:uid="{D53409DD-C155-4BFC-83EA-88E4A9AF2B52}"/>
    <cellStyle name="Normal 4 3 3 3 4 3" xfId="5993" xr:uid="{00000000-0005-0000-0000-000091140000}"/>
    <cellStyle name="Normal 4 3 3 3 4 3 2" xfId="14422" xr:uid="{50A20951-3877-4E71-B26F-DEC9F9B3C49E}"/>
    <cellStyle name="Normal 4 3 3 3 4 4" xfId="10204" xr:uid="{1A051229-89E4-4951-AFAD-DD821819F66A}"/>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B11B2746-38F1-4F48-830E-692C392566B0}"/>
    <cellStyle name="Normal 4 3 3 3 5 2 3" xfId="12762" xr:uid="{1AD81E60-3DF2-4979-A4FA-D78E82228DDD}"/>
    <cellStyle name="Normal 4 3 3 3 5 3" xfId="6406" xr:uid="{00000000-0005-0000-0000-000095140000}"/>
    <cellStyle name="Normal 4 3 3 3 5 3 2" xfId="14835" xr:uid="{E2F60DA2-60A8-4D4D-8EE7-967CDCB59D76}"/>
    <cellStyle name="Normal 4 3 3 3 5 4" xfId="10617" xr:uid="{3FAF780E-9D5A-468D-BDCC-17B7BD912780}"/>
    <cellStyle name="Normal 4 3 3 3 6" xfId="2534" xr:uid="{00000000-0005-0000-0000-000096140000}"/>
    <cellStyle name="Normal 4 3 3 3 6 2" xfId="6819" xr:uid="{00000000-0005-0000-0000-000097140000}"/>
    <cellStyle name="Normal 4 3 3 3 6 2 2" xfId="15248" xr:uid="{1BA329EE-35E7-4384-9858-37ABFD23BD82}"/>
    <cellStyle name="Normal 4 3 3 3 6 3" xfId="11030" xr:uid="{B7AA0D6A-8B85-4074-97B3-FA03EA56C2F4}"/>
    <cellStyle name="Normal 4 3 3 3 7" xfId="4754" xr:uid="{00000000-0005-0000-0000-000098140000}"/>
    <cellStyle name="Normal 4 3 3 3 7 2" xfId="13183" xr:uid="{CDAA9E1B-3C1F-4358-A5E2-6972FA03B118}"/>
    <cellStyle name="Normal 4 3 3 3 8" xfId="8965" xr:uid="{A534DEB0-25F4-43C8-B72E-53F5FFE2A58B}"/>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BFD76DDD-8E9A-40FA-B0A3-C2241F148A1D}"/>
    <cellStyle name="Normal 4 3 3 4 2 3" xfId="11520" xr:uid="{94494B9C-6F53-48BC-8D23-27CE94CABCA0}"/>
    <cellStyle name="Normal 4 3 3 4 3" xfId="5164" xr:uid="{00000000-0005-0000-0000-00009C140000}"/>
    <cellStyle name="Normal 4 3 3 4 3 2" xfId="13593" xr:uid="{A7388AD3-D7AE-43E9-9333-8DAC1DB2C33A}"/>
    <cellStyle name="Normal 4 3 3 4 4" xfId="9375" xr:uid="{FD3D8939-2372-447D-9520-118E3F7E5E19}"/>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4F951A88-553A-4E25-95D8-9893B9EA77EF}"/>
    <cellStyle name="Normal 4 3 3 5 2 3" xfId="11933" xr:uid="{ED2C1B99-8FDE-487C-AAD3-4A498CAA8071}"/>
    <cellStyle name="Normal 4 3 3 5 3" xfId="5577" xr:uid="{00000000-0005-0000-0000-0000A0140000}"/>
    <cellStyle name="Normal 4 3 3 5 3 2" xfId="14006" xr:uid="{DCF1E03C-A0BC-49EE-8AC9-74B09C23F87A}"/>
    <cellStyle name="Normal 4 3 3 5 4" xfId="9788" xr:uid="{8FB77FBA-2753-403B-858C-04B06BC7B5DB}"/>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9B04D9B6-5689-450D-B215-30FF01829956}"/>
    <cellStyle name="Normal 4 3 3 6 2 3" xfId="12346" xr:uid="{D5BAD585-4C50-42A8-A7E3-F386085F85BA}"/>
    <cellStyle name="Normal 4 3 3 6 3" xfId="5990" xr:uid="{00000000-0005-0000-0000-0000A4140000}"/>
    <cellStyle name="Normal 4 3 3 6 3 2" xfId="14419" xr:uid="{C751D0D4-C9DF-4845-8272-875D15CA3E6D}"/>
    <cellStyle name="Normal 4 3 3 6 4" xfId="10201" xr:uid="{622E46C2-2299-4CF4-8B75-173A6695B484}"/>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401AC592-021A-4656-874A-67C6780CBC46}"/>
    <cellStyle name="Normal 4 3 3 7 2 3" xfId="12759" xr:uid="{9478B443-035F-4A22-A501-9F0E4EF6F09F}"/>
    <cellStyle name="Normal 4 3 3 7 3" xfId="6403" xr:uid="{00000000-0005-0000-0000-0000A8140000}"/>
    <cellStyle name="Normal 4 3 3 7 3 2" xfId="14832" xr:uid="{059B8F77-CE7B-4B4C-A198-04ACD8F14B8F}"/>
    <cellStyle name="Normal 4 3 3 7 4" xfId="10614" xr:uid="{7A20BC6D-6C64-4AA1-8BBE-27B4DE235D35}"/>
    <cellStyle name="Normal 4 3 3 8" xfId="2531" xr:uid="{00000000-0005-0000-0000-0000A9140000}"/>
    <cellStyle name="Normal 4 3 3 8 2" xfId="6816" xr:uid="{00000000-0005-0000-0000-0000AA140000}"/>
    <cellStyle name="Normal 4 3 3 8 2 2" xfId="15245" xr:uid="{3CFA277A-CE4F-48B3-BCAF-456CC5DD1256}"/>
    <cellStyle name="Normal 4 3 3 8 3" xfId="11027" xr:uid="{1237466F-DC83-4CA0-B397-011FA3B72E66}"/>
    <cellStyle name="Normal 4 3 3 9" xfId="4751" xr:uid="{00000000-0005-0000-0000-0000AB140000}"/>
    <cellStyle name="Normal 4 3 3 9 2" xfId="13180" xr:uid="{E1701150-7DC0-469C-AD06-2388EA765FA1}"/>
    <cellStyle name="Normal 4 3 4" xfId="843" xr:uid="{00000000-0005-0000-0000-0000AC140000}"/>
    <cellStyle name="Normal 4 3 4 2" xfId="3080" xr:uid="{00000000-0005-0000-0000-0000AD140000}"/>
    <cellStyle name="Normal 4 3 4 2 2" xfId="7304" xr:uid="{00000000-0005-0000-0000-0000AE140000}"/>
    <cellStyle name="Normal 4 3 4 2 2 2" xfId="15733" xr:uid="{64AEA960-01C3-4996-B166-9670BE95F536}"/>
    <cellStyle name="Normal 4 3 4 2 3" xfId="11515" xr:uid="{FFE3EE8B-423C-4450-A594-1F8FC83E3B86}"/>
    <cellStyle name="Normal 4 3 4 3" xfId="5159" xr:uid="{00000000-0005-0000-0000-0000AF140000}"/>
    <cellStyle name="Normal 4 3 4 3 2" xfId="13588" xr:uid="{8BFAAD52-04A0-4698-A230-1F0E5DE0F772}"/>
    <cellStyle name="Normal 4 3 4 4" xfId="9370" xr:uid="{8D51C676-8B3A-47A3-AD07-0E2E649BCE85}"/>
    <cellStyle name="Normal 4 3 5" xfId="1263" xr:uid="{00000000-0005-0000-0000-0000B0140000}"/>
    <cellStyle name="Normal 4 3 5 2" xfId="3493" xr:uid="{00000000-0005-0000-0000-0000B1140000}"/>
    <cellStyle name="Normal 4 3 5 2 2" xfId="7717" xr:uid="{00000000-0005-0000-0000-0000B2140000}"/>
    <cellStyle name="Normal 4 3 5 2 2 2" xfId="16146" xr:uid="{7C98B5BB-4340-4687-857E-5998CD202F65}"/>
    <cellStyle name="Normal 4 3 5 2 3" xfId="11928" xr:uid="{A0F0407E-48F3-4EC2-A742-00A247943EBA}"/>
    <cellStyle name="Normal 4 3 5 3" xfId="5572" xr:uid="{00000000-0005-0000-0000-0000B3140000}"/>
    <cellStyle name="Normal 4 3 5 3 2" xfId="14001" xr:uid="{F94FBE60-8FAD-492C-B0C4-F8E8D3A9B0F7}"/>
    <cellStyle name="Normal 4 3 5 4" xfId="9783" xr:uid="{F646E920-0CC6-4FDC-9022-A74C4EABE718}"/>
    <cellStyle name="Normal 4 3 6" xfId="1676" xr:uid="{00000000-0005-0000-0000-0000B4140000}"/>
    <cellStyle name="Normal 4 3 6 2" xfId="3906" xr:uid="{00000000-0005-0000-0000-0000B5140000}"/>
    <cellStyle name="Normal 4 3 6 2 2" xfId="8130" xr:uid="{00000000-0005-0000-0000-0000B6140000}"/>
    <cellStyle name="Normal 4 3 6 2 2 2" xfId="16559" xr:uid="{0CD17C0E-3022-40C9-902F-392CDC553AB6}"/>
    <cellStyle name="Normal 4 3 6 2 3" xfId="12341" xr:uid="{FF4BB0C0-77DA-4831-9F35-2AA2D8FEB4C0}"/>
    <cellStyle name="Normal 4 3 6 3" xfId="5985" xr:uid="{00000000-0005-0000-0000-0000B7140000}"/>
    <cellStyle name="Normal 4 3 6 3 2" xfId="14414" xr:uid="{3B171DFC-3E1F-465B-88D7-55B8AC5BD6B6}"/>
    <cellStyle name="Normal 4 3 6 4" xfId="10196" xr:uid="{C1C92BAA-D314-4EC3-8E9B-D9FC2A68A5CC}"/>
    <cellStyle name="Normal 4 3 7" xfId="2090" xr:uid="{00000000-0005-0000-0000-0000B8140000}"/>
    <cellStyle name="Normal 4 3 7 2" xfId="4319" xr:uid="{00000000-0005-0000-0000-0000B9140000}"/>
    <cellStyle name="Normal 4 3 7 2 2" xfId="8543" xr:uid="{00000000-0005-0000-0000-0000BA140000}"/>
    <cellStyle name="Normal 4 3 7 2 2 2" xfId="16972" xr:uid="{2C7F0BD5-1489-4C7F-85A8-BBBA9C9804A7}"/>
    <cellStyle name="Normal 4 3 7 2 3" xfId="12754" xr:uid="{3F21CFE5-B211-487A-AD94-E1FCBD4C5BEC}"/>
    <cellStyle name="Normal 4 3 7 3" xfId="6398" xr:uid="{00000000-0005-0000-0000-0000BB140000}"/>
    <cellStyle name="Normal 4 3 7 3 2" xfId="14827" xr:uid="{2132C6B9-78D1-4379-8094-F1AE4A3C44DC}"/>
    <cellStyle name="Normal 4 3 7 4" xfId="10609" xr:uid="{3E951078-6803-45B0-BD91-46106CFFB868}"/>
    <cellStyle name="Normal 4 3 8" xfId="2526" xr:uid="{00000000-0005-0000-0000-0000BC140000}"/>
    <cellStyle name="Normal 4 3 8 2" xfId="6811" xr:uid="{00000000-0005-0000-0000-0000BD140000}"/>
    <cellStyle name="Normal 4 3 8 2 2" xfId="15240" xr:uid="{E3C43AB2-8BEC-4FDC-8D44-A31B78C18066}"/>
    <cellStyle name="Normal 4 3 8 3" xfId="11022" xr:uid="{37B31EDA-5C9A-41E4-8B19-48AD1F06117E}"/>
    <cellStyle name="Normal 4 3 9" xfId="4746" xr:uid="{00000000-0005-0000-0000-0000BE140000}"/>
    <cellStyle name="Normal 4 3 9 2" xfId="13175" xr:uid="{772A9A64-DB0A-42EC-8A23-9C98B4BAD7A7}"/>
    <cellStyle name="Normal 4 4" xfId="378" xr:uid="{00000000-0005-0000-0000-0000BF140000}"/>
    <cellStyle name="Normal 4 4 10" xfId="2535" xr:uid="{00000000-0005-0000-0000-0000C0140000}"/>
    <cellStyle name="Normal 4 4 10 2" xfId="6820" xr:uid="{00000000-0005-0000-0000-0000C1140000}"/>
    <cellStyle name="Normal 4 4 10 2 2" xfId="15249" xr:uid="{CA0AC0E4-1DAF-4EFB-AC07-3732636086E8}"/>
    <cellStyle name="Normal 4 4 10 3" xfId="11031" xr:uid="{378DD081-2356-4468-BBC3-F249BDBE7727}"/>
    <cellStyle name="Normal 4 4 11" xfId="4755" xr:uid="{00000000-0005-0000-0000-0000C2140000}"/>
    <cellStyle name="Normal 4 4 11 2" xfId="13184" xr:uid="{2C93F320-9AA9-4353-8D55-7DAEEB765FE6}"/>
    <cellStyle name="Normal 4 4 12" xfId="8966" xr:uid="{B2B89F96-57C5-4F83-8591-33C36306B193}"/>
    <cellStyle name="Normal 4 4 2" xfId="379" xr:uid="{00000000-0005-0000-0000-0000C3140000}"/>
    <cellStyle name="Normal 4 4 2 10" xfId="4756" xr:uid="{00000000-0005-0000-0000-0000C4140000}"/>
    <cellStyle name="Normal 4 4 2 10 2" xfId="13185" xr:uid="{47A97C23-3D8A-409E-A141-46843601F254}"/>
    <cellStyle name="Normal 4 4 2 11" xfId="8967" xr:uid="{6A5721E6-2FFD-48E0-956E-962BE2C9E016}"/>
    <cellStyle name="Normal 4 4 2 2" xfId="380" xr:uid="{00000000-0005-0000-0000-0000C5140000}"/>
    <cellStyle name="Normal 4 4 2 2 10" xfId="8968" xr:uid="{3D6571C8-2345-4B86-A736-96333A96F037}"/>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8587F073-66B1-46A8-B005-2EF56F39B170}"/>
    <cellStyle name="Normal 4 4 2 2 2 2 2 2 3" xfId="11528" xr:uid="{6807784C-CAAA-416E-B3DD-316EF451BA16}"/>
    <cellStyle name="Normal 4 4 2 2 2 2 2 3" xfId="5172" xr:uid="{00000000-0005-0000-0000-0000CB140000}"/>
    <cellStyle name="Normal 4 4 2 2 2 2 2 3 2" xfId="13601" xr:uid="{9E101D5F-72A3-4D83-A659-C71271A9A371}"/>
    <cellStyle name="Normal 4 4 2 2 2 2 2 4" xfId="9383" xr:uid="{9027CD04-BFD2-48AA-9CE1-13F6FA9E9428}"/>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243C3103-430F-459B-B34D-8528AFFB7178}"/>
    <cellStyle name="Normal 4 4 2 2 2 2 3 2 3" xfId="11941" xr:uid="{83199513-BF6B-4C6D-9237-32E45A1B3B27}"/>
    <cellStyle name="Normal 4 4 2 2 2 2 3 3" xfId="5585" xr:uid="{00000000-0005-0000-0000-0000CF140000}"/>
    <cellStyle name="Normal 4 4 2 2 2 2 3 3 2" xfId="14014" xr:uid="{36784B9E-D7C6-4EC4-A1F3-9ADF8EFC5E6A}"/>
    <cellStyle name="Normal 4 4 2 2 2 2 3 4" xfId="9796" xr:uid="{9EE70188-5AD2-4588-A178-E7AEE1C9ECC5}"/>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629D05AF-EAC9-4535-9A28-A65A56965270}"/>
    <cellStyle name="Normal 4 4 2 2 2 2 4 2 3" xfId="12354" xr:uid="{65575E35-F73C-4663-AB00-2F76AC0B815C}"/>
    <cellStyle name="Normal 4 4 2 2 2 2 4 3" xfId="5998" xr:uid="{00000000-0005-0000-0000-0000D3140000}"/>
    <cellStyle name="Normal 4 4 2 2 2 2 4 3 2" xfId="14427" xr:uid="{45E607E5-2194-4A12-A0F0-D25BC9B06B29}"/>
    <cellStyle name="Normal 4 4 2 2 2 2 4 4" xfId="10209" xr:uid="{B1A9B581-D37B-487C-8B3B-6A18A1399BA4}"/>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B0C5FFAC-4404-462C-A33A-1FF76B896701}"/>
    <cellStyle name="Normal 4 4 2 2 2 2 5 2 3" xfId="12767" xr:uid="{C2841716-1F10-4BF3-A7E8-AC52168DC51C}"/>
    <cellStyle name="Normal 4 4 2 2 2 2 5 3" xfId="6411" xr:uid="{00000000-0005-0000-0000-0000D7140000}"/>
    <cellStyle name="Normal 4 4 2 2 2 2 5 3 2" xfId="14840" xr:uid="{4138F0B5-7ED7-4987-8730-D908EFA98386}"/>
    <cellStyle name="Normal 4 4 2 2 2 2 5 4" xfId="10622" xr:uid="{3E8C1B37-F26A-4AFD-952A-7DA53FD078AA}"/>
    <cellStyle name="Normal 4 4 2 2 2 2 6" xfId="2539" xr:uid="{00000000-0005-0000-0000-0000D8140000}"/>
    <cellStyle name="Normal 4 4 2 2 2 2 6 2" xfId="6824" xr:uid="{00000000-0005-0000-0000-0000D9140000}"/>
    <cellStyle name="Normal 4 4 2 2 2 2 6 2 2" xfId="15253" xr:uid="{856358DC-004A-4C7D-B1ED-D86F88ABFE36}"/>
    <cellStyle name="Normal 4 4 2 2 2 2 6 3" xfId="11035" xr:uid="{A3C76438-D29B-4E98-84C7-11AEC0A82FC2}"/>
    <cellStyle name="Normal 4 4 2 2 2 2 7" xfId="4759" xr:uid="{00000000-0005-0000-0000-0000DA140000}"/>
    <cellStyle name="Normal 4 4 2 2 2 2 7 2" xfId="13188" xr:uid="{52E1152E-8DFB-4106-807C-36A1F6961543}"/>
    <cellStyle name="Normal 4 4 2 2 2 2 8" xfId="8970" xr:uid="{75918342-BB12-4975-A60B-0AEFA7441EBF}"/>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2FD185F3-6B92-4BC7-B9A6-F703ECF58E3A}"/>
    <cellStyle name="Normal 4 4 2 2 2 3 2 3" xfId="11527" xr:uid="{BD969B4E-9370-4278-8906-5B8CD75EB049}"/>
    <cellStyle name="Normal 4 4 2 2 2 3 3" xfId="5171" xr:uid="{00000000-0005-0000-0000-0000DE140000}"/>
    <cellStyle name="Normal 4 4 2 2 2 3 3 2" xfId="13600" xr:uid="{D6C359B9-0E0D-40C1-B5C6-CBB343F65E69}"/>
    <cellStyle name="Normal 4 4 2 2 2 3 4" xfId="9382" xr:uid="{B614A27D-6A32-46C9-AFC4-13121E7D5DDD}"/>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F97B523F-6DC2-4CE7-9075-8E025017206C}"/>
    <cellStyle name="Normal 4 4 2 2 2 4 2 3" xfId="11940" xr:uid="{91A35EC0-8E9F-426B-9665-36F8B1DFBB91}"/>
    <cellStyle name="Normal 4 4 2 2 2 4 3" xfId="5584" xr:uid="{00000000-0005-0000-0000-0000E2140000}"/>
    <cellStyle name="Normal 4 4 2 2 2 4 3 2" xfId="14013" xr:uid="{24F675B4-BCE9-4BCC-AD9F-3E929F0AD28F}"/>
    <cellStyle name="Normal 4 4 2 2 2 4 4" xfId="9795" xr:uid="{FA39FE0D-4676-4B5B-8CC9-43CD2D8256A6}"/>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FAEF6DF8-BF2B-449D-AA84-650B72048B78}"/>
    <cellStyle name="Normal 4 4 2 2 2 5 2 3" xfId="12353" xr:uid="{7029F7CD-6362-4C87-AEF4-FFBFF59A0BA0}"/>
    <cellStyle name="Normal 4 4 2 2 2 5 3" xfId="5997" xr:uid="{00000000-0005-0000-0000-0000E6140000}"/>
    <cellStyle name="Normal 4 4 2 2 2 5 3 2" xfId="14426" xr:uid="{09E0ECF4-CED2-40A7-A615-60F447D4625B}"/>
    <cellStyle name="Normal 4 4 2 2 2 5 4" xfId="10208" xr:uid="{3EA32D14-97F3-415E-A0CC-CB685B839687}"/>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40F48367-A761-4878-B802-C3C45AC0B926}"/>
    <cellStyle name="Normal 4 4 2 2 2 6 2 3" xfId="12766" xr:uid="{653F11BD-B86E-4E9D-8B79-14684E30E8C1}"/>
    <cellStyle name="Normal 4 4 2 2 2 6 3" xfId="6410" xr:uid="{00000000-0005-0000-0000-0000EA140000}"/>
    <cellStyle name="Normal 4 4 2 2 2 6 3 2" xfId="14839" xr:uid="{A339735B-A2F9-4EF8-A686-8BBED6DD4056}"/>
    <cellStyle name="Normal 4 4 2 2 2 6 4" xfId="10621" xr:uid="{6E8ADA70-404F-4265-A880-A404B7BC1E6A}"/>
    <cellStyle name="Normal 4 4 2 2 2 7" xfId="2538" xr:uid="{00000000-0005-0000-0000-0000EB140000}"/>
    <cellStyle name="Normal 4 4 2 2 2 7 2" xfId="6823" xr:uid="{00000000-0005-0000-0000-0000EC140000}"/>
    <cellStyle name="Normal 4 4 2 2 2 7 2 2" xfId="15252" xr:uid="{9D4CC735-CBBE-452E-AEED-B40250C8DB63}"/>
    <cellStyle name="Normal 4 4 2 2 2 7 3" xfId="11034" xr:uid="{DF42F569-E027-45DE-AE73-93CDBBBD86DF}"/>
    <cellStyle name="Normal 4 4 2 2 2 8" xfId="4758" xr:uid="{00000000-0005-0000-0000-0000ED140000}"/>
    <cellStyle name="Normal 4 4 2 2 2 8 2" xfId="13187" xr:uid="{2CD3CD9D-A999-4935-BF25-C9E1B49CB03E}"/>
    <cellStyle name="Normal 4 4 2 2 2 9" xfId="8969" xr:uid="{006A681C-CB90-4882-BE93-8CAC20E4C4B8}"/>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19E1F616-C5F1-4F44-B992-208E0B3FD962}"/>
    <cellStyle name="Normal 4 4 2 2 3 2 2 3" xfId="11529" xr:uid="{CA55101A-70A7-40F6-B8F5-2C2FC424E2FA}"/>
    <cellStyle name="Normal 4 4 2 2 3 2 3" xfId="5173" xr:uid="{00000000-0005-0000-0000-0000F2140000}"/>
    <cellStyle name="Normal 4 4 2 2 3 2 3 2" xfId="13602" xr:uid="{160DF1C2-94DF-49FE-9019-F3EF19029C53}"/>
    <cellStyle name="Normal 4 4 2 2 3 2 4" xfId="9384" xr:uid="{196A7A31-2319-4208-8A5F-DF7D32F5AE97}"/>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5C2E19C1-47E9-4E21-87A9-E6150A67D0D3}"/>
    <cellStyle name="Normal 4 4 2 2 3 3 2 3" xfId="11942" xr:uid="{D1F338BE-D9A1-480B-A1C5-E89BCA779AA8}"/>
    <cellStyle name="Normal 4 4 2 2 3 3 3" xfId="5586" xr:uid="{00000000-0005-0000-0000-0000F6140000}"/>
    <cellStyle name="Normal 4 4 2 2 3 3 3 2" xfId="14015" xr:uid="{8CE5DA11-6B46-44F8-894A-11CF97EDC0D8}"/>
    <cellStyle name="Normal 4 4 2 2 3 3 4" xfId="9797" xr:uid="{5FF70ECE-BFFB-4244-B9B7-2CE88C0EFFA7}"/>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905F94DF-84B6-4B77-816B-115AA02AEF0E}"/>
    <cellStyle name="Normal 4 4 2 2 3 4 2 3" xfId="12355" xr:uid="{3436E7A0-3210-475D-A4E4-3B57B65CF587}"/>
    <cellStyle name="Normal 4 4 2 2 3 4 3" xfId="5999" xr:uid="{00000000-0005-0000-0000-0000FA140000}"/>
    <cellStyle name="Normal 4 4 2 2 3 4 3 2" xfId="14428" xr:uid="{FFF9F5CC-5C08-485E-B676-1A594803009F}"/>
    <cellStyle name="Normal 4 4 2 2 3 4 4" xfId="10210" xr:uid="{26D84E21-92DE-4D2B-A989-2B7D91553676}"/>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A5AED1C9-40DF-43FC-9819-79701E09F0EF}"/>
    <cellStyle name="Normal 4 4 2 2 3 5 2 3" xfId="12768" xr:uid="{F91A30D9-46F9-457C-A380-44082C065096}"/>
    <cellStyle name="Normal 4 4 2 2 3 5 3" xfId="6412" xr:uid="{00000000-0005-0000-0000-0000FE140000}"/>
    <cellStyle name="Normal 4 4 2 2 3 5 3 2" xfId="14841" xr:uid="{2242381B-CE62-4275-A8E5-DAF9EE73FFD8}"/>
    <cellStyle name="Normal 4 4 2 2 3 5 4" xfId="10623" xr:uid="{C656ADB5-B8C8-4E77-9BDE-78B0FE1A1C77}"/>
    <cellStyle name="Normal 4 4 2 2 3 6" xfId="2540" xr:uid="{00000000-0005-0000-0000-0000FF140000}"/>
    <cellStyle name="Normal 4 4 2 2 3 6 2" xfId="6825" xr:uid="{00000000-0005-0000-0000-000000150000}"/>
    <cellStyle name="Normal 4 4 2 2 3 6 2 2" xfId="15254" xr:uid="{F84F1594-5E1F-45EE-AEEF-2DB81E0978FB}"/>
    <cellStyle name="Normal 4 4 2 2 3 6 3" xfId="11036" xr:uid="{CED7BD8B-3450-4FC4-AAE9-C134D67DE153}"/>
    <cellStyle name="Normal 4 4 2 2 3 7" xfId="4760" xr:uid="{00000000-0005-0000-0000-000001150000}"/>
    <cellStyle name="Normal 4 4 2 2 3 7 2" xfId="13189" xr:uid="{D5213521-0D9B-432D-8955-17A3EEB32795}"/>
    <cellStyle name="Normal 4 4 2 2 3 8" xfId="8971" xr:uid="{568FF820-9CF4-4A44-9292-624C1E2C6A69}"/>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632BA3FA-3713-4D76-9CFC-D4166D249D5D}"/>
    <cellStyle name="Normal 4 4 2 2 4 2 3" xfId="11526" xr:uid="{F0E1C1C8-355F-41D7-854D-425C749C0E98}"/>
    <cellStyle name="Normal 4 4 2 2 4 3" xfId="5170" xr:uid="{00000000-0005-0000-0000-000005150000}"/>
    <cellStyle name="Normal 4 4 2 2 4 3 2" xfId="13599" xr:uid="{CE2DC811-D94D-486D-A1D0-36B3B232F5C9}"/>
    <cellStyle name="Normal 4 4 2 2 4 4" xfId="9381" xr:uid="{28D5AA38-EBE7-4C9E-BCA9-BC6B1868C132}"/>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F88602B0-ACCE-4AEC-85C8-294DA98EF9B5}"/>
    <cellStyle name="Normal 4 4 2 2 5 2 3" xfId="11939" xr:uid="{7FBF7C07-8D10-4329-9548-216D5E32EAFB}"/>
    <cellStyle name="Normal 4 4 2 2 5 3" xfId="5583" xr:uid="{00000000-0005-0000-0000-000009150000}"/>
    <cellStyle name="Normal 4 4 2 2 5 3 2" xfId="14012" xr:uid="{AE6EDC2A-615C-40EE-BEF1-73670AF561E6}"/>
    <cellStyle name="Normal 4 4 2 2 5 4" xfId="9794" xr:uid="{2494F949-0713-403F-8634-B6A448B3730C}"/>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CFE0474E-57A0-4929-B3B4-01967BAC5F6A}"/>
    <cellStyle name="Normal 4 4 2 2 6 2 3" xfId="12352" xr:uid="{B3BA4998-3DA1-4A68-808E-73D9B1B6F7DF}"/>
    <cellStyle name="Normal 4 4 2 2 6 3" xfId="5996" xr:uid="{00000000-0005-0000-0000-00000D150000}"/>
    <cellStyle name="Normal 4 4 2 2 6 3 2" xfId="14425" xr:uid="{FFEB5349-3DFB-4E5B-93E4-8B5BB9EF6BB9}"/>
    <cellStyle name="Normal 4 4 2 2 6 4" xfId="10207" xr:uid="{1D1BA240-7844-4C84-9AC6-7C0F14B35C0C}"/>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4393D067-B1A0-487D-B97B-D494D1E1739A}"/>
    <cellStyle name="Normal 4 4 2 2 7 2 3" xfId="12765" xr:uid="{FF1B5322-3A80-42E2-AA3A-DCEF4EFE6B1E}"/>
    <cellStyle name="Normal 4 4 2 2 7 3" xfId="6409" xr:uid="{00000000-0005-0000-0000-000011150000}"/>
    <cellStyle name="Normal 4 4 2 2 7 3 2" xfId="14838" xr:uid="{8638DA16-675D-4C40-9B0C-1C775F1A467E}"/>
    <cellStyle name="Normal 4 4 2 2 7 4" xfId="10620" xr:uid="{4B2E5BE4-75FF-4A00-A00A-30095E830630}"/>
    <cellStyle name="Normal 4 4 2 2 8" xfId="2537" xr:uid="{00000000-0005-0000-0000-000012150000}"/>
    <cellStyle name="Normal 4 4 2 2 8 2" xfId="6822" xr:uid="{00000000-0005-0000-0000-000013150000}"/>
    <cellStyle name="Normal 4 4 2 2 8 2 2" xfId="15251" xr:uid="{29424C8E-6178-47E8-B10B-6931FCC9EF70}"/>
    <cellStyle name="Normal 4 4 2 2 8 3" xfId="11033" xr:uid="{2A1849B2-CCD9-4D69-ABE6-07C48CB04E88}"/>
    <cellStyle name="Normal 4 4 2 2 9" xfId="4757" xr:uid="{00000000-0005-0000-0000-000014150000}"/>
    <cellStyle name="Normal 4 4 2 2 9 2" xfId="13186" xr:uid="{FAC5582A-A635-419F-AED8-38D0CA9DCBBC}"/>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AE73FBC5-69CB-4837-AA34-49A92738B1C2}"/>
    <cellStyle name="Normal 4 4 2 3 2 2 2 3" xfId="11531" xr:uid="{54F560AC-8338-4D8F-994E-46ED2541FBFA}"/>
    <cellStyle name="Normal 4 4 2 3 2 2 3" xfId="5175" xr:uid="{00000000-0005-0000-0000-00001A150000}"/>
    <cellStyle name="Normal 4 4 2 3 2 2 3 2" xfId="13604" xr:uid="{6EEC41DB-A4D9-42F5-95FA-EAE4D37C1C08}"/>
    <cellStyle name="Normal 4 4 2 3 2 2 4" xfId="9386" xr:uid="{68D4EB16-E6FA-4027-8BF7-142F7173E863}"/>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19CFDF3E-2E2F-4D81-B57F-F2DA5BC17238}"/>
    <cellStyle name="Normal 4 4 2 3 2 3 2 3" xfId="11944" xr:uid="{5C8EC0C6-4BA3-4B10-8EF7-669BCC188F7C}"/>
    <cellStyle name="Normal 4 4 2 3 2 3 3" xfId="5588" xr:uid="{00000000-0005-0000-0000-00001E150000}"/>
    <cellStyle name="Normal 4 4 2 3 2 3 3 2" xfId="14017" xr:uid="{95A4BAEB-DBE1-4F4B-BC78-C40BABC502D8}"/>
    <cellStyle name="Normal 4 4 2 3 2 3 4" xfId="9799" xr:uid="{95C4D757-4BEA-423F-B1D4-AA7F203144F7}"/>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9388F310-7626-488F-B962-CD05A670DA08}"/>
    <cellStyle name="Normal 4 4 2 3 2 4 2 3" xfId="12357" xr:uid="{7226B8B5-7EFF-403B-9EED-F84A8E16ED60}"/>
    <cellStyle name="Normal 4 4 2 3 2 4 3" xfId="6001" xr:uid="{00000000-0005-0000-0000-000022150000}"/>
    <cellStyle name="Normal 4 4 2 3 2 4 3 2" xfId="14430" xr:uid="{2E5ED70A-E36F-4CFD-8CB0-413EC3ED4E2D}"/>
    <cellStyle name="Normal 4 4 2 3 2 4 4" xfId="10212" xr:uid="{A61B323B-C709-4854-A4C1-2A67E7A9276A}"/>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B06FD620-FC94-48CB-8108-DFAEF4348840}"/>
    <cellStyle name="Normal 4 4 2 3 2 5 2 3" xfId="12770" xr:uid="{CA5466BE-E6EC-412F-8D0C-7A0D31DF237C}"/>
    <cellStyle name="Normal 4 4 2 3 2 5 3" xfId="6414" xr:uid="{00000000-0005-0000-0000-000026150000}"/>
    <cellStyle name="Normal 4 4 2 3 2 5 3 2" xfId="14843" xr:uid="{D6117A18-9F11-422D-81CB-63D7BF082F2C}"/>
    <cellStyle name="Normal 4 4 2 3 2 5 4" xfId="10625" xr:uid="{0FDB6F4E-9DFD-4A71-A475-A7BC8773FBAC}"/>
    <cellStyle name="Normal 4 4 2 3 2 6" xfId="2542" xr:uid="{00000000-0005-0000-0000-000027150000}"/>
    <cellStyle name="Normal 4 4 2 3 2 6 2" xfId="6827" xr:uid="{00000000-0005-0000-0000-000028150000}"/>
    <cellStyle name="Normal 4 4 2 3 2 6 2 2" xfId="15256" xr:uid="{6F01E65E-3603-4490-98D3-6AD07783EA8D}"/>
    <cellStyle name="Normal 4 4 2 3 2 6 3" xfId="11038" xr:uid="{50526BB7-DFAC-463A-885F-F5CF2BCF9A96}"/>
    <cellStyle name="Normal 4 4 2 3 2 7" xfId="4762" xr:uid="{00000000-0005-0000-0000-000029150000}"/>
    <cellStyle name="Normal 4 4 2 3 2 7 2" xfId="13191" xr:uid="{96E6E0FE-FB75-4B50-AF4F-ED6ED75E8FE7}"/>
    <cellStyle name="Normal 4 4 2 3 2 8" xfId="8973" xr:uid="{70131CDD-E991-4F7B-850F-54659D7BB97D}"/>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03977D8C-294C-4937-97DC-FE17AA698186}"/>
    <cellStyle name="Normal 4 4 2 3 3 2 3" xfId="11530" xr:uid="{05A1C493-03F4-49E0-84EF-D004D9005CDD}"/>
    <cellStyle name="Normal 4 4 2 3 3 3" xfId="5174" xr:uid="{00000000-0005-0000-0000-00002D150000}"/>
    <cellStyle name="Normal 4 4 2 3 3 3 2" xfId="13603" xr:uid="{FC44F7FF-E861-48E9-AD16-3E83D8AAE6D8}"/>
    <cellStyle name="Normal 4 4 2 3 3 4" xfId="9385" xr:uid="{BE84B6E8-10A2-4070-8BFF-70EEDF404EE3}"/>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FF375039-E7ED-4486-98E4-B0951D8CAC45}"/>
    <cellStyle name="Normal 4 4 2 3 4 2 3" xfId="11943" xr:uid="{2D81AB91-89EC-421E-BC9D-420B0F6EA6CE}"/>
    <cellStyle name="Normal 4 4 2 3 4 3" xfId="5587" xr:uid="{00000000-0005-0000-0000-000031150000}"/>
    <cellStyle name="Normal 4 4 2 3 4 3 2" xfId="14016" xr:uid="{F03E9377-B335-408E-85D4-3B90F16DFCE9}"/>
    <cellStyle name="Normal 4 4 2 3 4 4" xfId="9798" xr:uid="{D8037416-558E-4DE2-865C-16165F34E409}"/>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A8356A89-2359-4698-BDB1-629F2201B6E9}"/>
    <cellStyle name="Normal 4 4 2 3 5 2 3" xfId="12356" xr:uid="{DF1E834C-0A20-41A0-A76C-2927D44116D8}"/>
    <cellStyle name="Normal 4 4 2 3 5 3" xfId="6000" xr:uid="{00000000-0005-0000-0000-000035150000}"/>
    <cellStyle name="Normal 4 4 2 3 5 3 2" xfId="14429" xr:uid="{EDE68F4A-CE99-43D6-967F-8F4EBDF8F030}"/>
    <cellStyle name="Normal 4 4 2 3 5 4" xfId="10211" xr:uid="{DAD01953-032B-4BF6-BD9D-AD5A1D610570}"/>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73318033-EC40-4F78-8EF4-DA94B212D5FC}"/>
    <cellStyle name="Normal 4 4 2 3 6 2 3" xfId="12769" xr:uid="{BBED7EAB-A17C-4332-9111-D769CAF3DFAB}"/>
    <cellStyle name="Normal 4 4 2 3 6 3" xfId="6413" xr:uid="{00000000-0005-0000-0000-000039150000}"/>
    <cellStyle name="Normal 4 4 2 3 6 3 2" xfId="14842" xr:uid="{82B83E86-5322-4B2E-BA8E-0500BB3083D6}"/>
    <cellStyle name="Normal 4 4 2 3 6 4" xfId="10624" xr:uid="{365B5155-3CC1-4CCE-B27F-385667F8FCA9}"/>
    <cellStyle name="Normal 4 4 2 3 7" xfId="2541" xr:uid="{00000000-0005-0000-0000-00003A150000}"/>
    <cellStyle name="Normal 4 4 2 3 7 2" xfId="6826" xr:uid="{00000000-0005-0000-0000-00003B150000}"/>
    <cellStyle name="Normal 4 4 2 3 7 2 2" xfId="15255" xr:uid="{F533C74C-0B54-4794-B9F1-0F87509C3887}"/>
    <cellStyle name="Normal 4 4 2 3 7 3" xfId="11037" xr:uid="{9BAD14C5-67C4-4161-BA32-F27692771A60}"/>
    <cellStyle name="Normal 4 4 2 3 8" xfId="4761" xr:uid="{00000000-0005-0000-0000-00003C150000}"/>
    <cellStyle name="Normal 4 4 2 3 8 2" xfId="13190" xr:uid="{F080CBAE-73C1-40C0-B182-1AA4C8AC9980}"/>
    <cellStyle name="Normal 4 4 2 3 9" xfId="8972" xr:uid="{3A882B8C-B618-4144-BEFD-DBF41E56742A}"/>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4B12C6D3-C367-4A53-8F70-C45B339DE609}"/>
    <cellStyle name="Normal 4 4 2 4 2 2 3" xfId="11532" xr:uid="{E220FB40-2333-48A2-9D9F-25EEF4200BFE}"/>
    <cellStyle name="Normal 4 4 2 4 2 3" xfId="5176" xr:uid="{00000000-0005-0000-0000-000041150000}"/>
    <cellStyle name="Normal 4 4 2 4 2 3 2" xfId="13605" xr:uid="{DBCB4952-EAB7-46F9-A9C4-3DE75C0C51D3}"/>
    <cellStyle name="Normal 4 4 2 4 2 4" xfId="9387" xr:uid="{7EC8ACB5-4317-40AC-AB0B-7EFD440F3C94}"/>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BA61F222-437B-491D-8050-FE5E2F53DD17}"/>
    <cellStyle name="Normal 4 4 2 4 3 2 3" xfId="11945" xr:uid="{17EB2797-EEF0-47E7-A9D1-B0B95269AD95}"/>
    <cellStyle name="Normal 4 4 2 4 3 3" xfId="5589" xr:uid="{00000000-0005-0000-0000-000045150000}"/>
    <cellStyle name="Normal 4 4 2 4 3 3 2" xfId="14018" xr:uid="{41B89E8D-A2B5-4AAA-9B5E-0BE87DC24324}"/>
    <cellStyle name="Normal 4 4 2 4 3 4" xfId="9800" xr:uid="{73D27B18-E047-4AE7-B803-D376A78FA454}"/>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C352E7C0-C84E-4A29-AB4F-F180F7DAC7D4}"/>
    <cellStyle name="Normal 4 4 2 4 4 2 3" xfId="12358" xr:uid="{760074AC-99E7-4ACE-A1FB-95611DA5C09B}"/>
    <cellStyle name="Normal 4 4 2 4 4 3" xfId="6002" xr:uid="{00000000-0005-0000-0000-000049150000}"/>
    <cellStyle name="Normal 4 4 2 4 4 3 2" xfId="14431" xr:uid="{5D59FC02-9281-46DC-9254-400D32B0A536}"/>
    <cellStyle name="Normal 4 4 2 4 4 4" xfId="10213" xr:uid="{DB1222F2-13FE-4BDE-8E19-F2B3D92D8B95}"/>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B556A713-4F86-4D6C-BB83-56CC167E7696}"/>
    <cellStyle name="Normal 4 4 2 4 5 2 3" xfId="12771" xr:uid="{1834CD6E-CB18-4AE1-B967-0727858E8685}"/>
    <cellStyle name="Normal 4 4 2 4 5 3" xfId="6415" xr:uid="{00000000-0005-0000-0000-00004D150000}"/>
    <cellStyle name="Normal 4 4 2 4 5 3 2" xfId="14844" xr:uid="{6CBEB414-C0A9-4345-BA3F-650406E76584}"/>
    <cellStyle name="Normal 4 4 2 4 5 4" xfId="10626" xr:uid="{31ACF562-AF62-4FEA-A4B4-61743B7D1464}"/>
    <cellStyle name="Normal 4 4 2 4 6" xfId="2543" xr:uid="{00000000-0005-0000-0000-00004E150000}"/>
    <cellStyle name="Normal 4 4 2 4 6 2" xfId="6828" xr:uid="{00000000-0005-0000-0000-00004F150000}"/>
    <cellStyle name="Normal 4 4 2 4 6 2 2" xfId="15257" xr:uid="{603E6215-296C-4D16-B353-5E1386DBBD83}"/>
    <cellStyle name="Normal 4 4 2 4 6 3" xfId="11039" xr:uid="{21A10900-24D3-4847-9624-6DF75F6662D8}"/>
    <cellStyle name="Normal 4 4 2 4 7" xfId="4763" xr:uid="{00000000-0005-0000-0000-000050150000}"/>
    <cellStyle name="Normal 4 4 2 4 7 2" xfId="13192" xr:uid="{F9B4E9B5-5A67-4424-8F2F-9DA0776F1A54}"/>
    <cellStyle name="Normal 4 4 2 4 8" xfId="8974" xr:uid="{416A5463-EDDD-4873-ABF8-F61BF19A7185}"/>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76FD2C4E-47B4-4492-9758-90E5782FE1C3}"/>
    <cellStyle name="Normal 4 4 2 5 2 3" xfId="11525" xr:uid="{5058C047-B389-41F2-B165-AB4124D82B21}"/>
    <cellStyle name="Normal 4 4 2 5 3" xfId="5169" xr:uid="{00000000-0005-0000-0000-000054150000}"/>
    <cellStyle name="Normal 4 4 2 5 3 2" xfId="13598" xr:uid="{0314CB04-5FCA-4FF6-9036-A4D8AE6C833E}"/>
    <cellStyle name="Normal 4 4 2 5 4" xfId="9380" xr:uid="{C1EE535C-8259-4A89-996A-4EF66BBBE922}"/>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D212ABAE-0B70-476F-BF43-E3C166067A5F}"/>
    <cellStyle name="Normal 4 4 2 6 2 3" xfId="11938" xr:uid="{6311DEA6-8503-4640-A290-3B8D80161CE5}"/>
    <cellStyle name="Normal 4 4 2 6 3" xfId="5582" xr:uid="{00000000-0005-0000-0000-000058150000}"/>
    <cellStyle name="Normal 4 4 2 6 3 2" xfId="14011" xr:uid="{C8EA2619-DB1F-4BC0-82CE-A950C107A53E}"/>
    <cellStyle name="Normal 4 4 2 6 4" xfId="9793" xr:uid="{EE02AAF7-79F0-4072-8DD3-669426B37B10}"/>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C08C9726-748C-4E2E-8A34-16E9A856BE9C}"/>
    <cellStyle name="Normal 4 4 2 7 2 3" xfId="12351" xr:uid="{9C618571-0D27-4546-A9C3-25CFA9593C8B}"/>
    <cellStyle name="Normal 4 4 2 7 3" xfId="5995" xr:uid="{00000000-0005-0000-0000-00005C150000}"/>
    <cellStyle name="Normal 4 4 2 7 3 2" xfId="14424" xr:uid="{DE62041F-D559-43E5-B210-392AF608C435}"/>
    <cellStyle name="Normal 4 4 2 7 4" xfId="10206" xr:uid="{5A534707-227C-45D8-8D59-F890AC12DD4A}"/>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459C15B7-B417-4238-9DFB-3FC68DD56DCF}"/>
    <cellStyle name="Normal 4 4 2 8 2 3" xfId="12764" xr:uid="{554CC0E6-B446-4E29-9779-BEF2DB15A441}"/>
    <cellStyle name="Normal 4 4 2 8 3" xfId="6408" xr:uid="{00000000-0005-0000-0000-000060150000}"/>
    <cellStyle name="Normal 4 4 2 8 3 2" xfId="14837" xr:uid="{E147FF19-2B53-49F3-9860-7A28A6BD65C4}"/>
    <cellStyle name="Normal 4 4 2 8 4" xfId="10619" xr:uid="{84379169-6784-4E73-A13C-911FCAA96AED}"/>
    <cellStyle name="Normal 4 4 2 9" xfId="2536" xr:uid="{00000000-0005-0000-0000-000061150000}"/>
    <cellStyle name="Normal 4 4 2 9 2" xfId="6821" xr:uid="{00000000-0005-0000-0000-000062150000}"/>
    <cellStyle name="Normal 4 4 2 9 2 2" xfId="15250" xr:uid="{6285336A-1A97-4ADC-B96F-8BB164943809}"/>
    <cellStyle name="Normal 4 4 2 9 3" xfId="11032" xr:uid="{BCFF4227-CBAD-4ADE-9043-938514424918}"/>
    <cellStyle name="Normal 4 4 3" xfId="387" xr:uid="{00000000-0005-0000-0000-000063150000}"/>
    <cellStyle name="Normal 4 4 3 10" xfId="8975" xr:uid="{A2A37667-474D-455C-9414-99E3F9E5D89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4B9DAF12-65A1-4174-BB15-1D0A48EB4174}"/>
    <cellStyle name="Normal 4 4 3 2 2 2 2 3" xfId="11535" xr:uid="{4FAF2F82-EE05-4599-A5E6-9B6A3F21CED6}"/>
    <cellStyle name="Normal 4 4 3 2 2 2 3" xfId="5179" xr:uid="{00000000-0005-0000-0000-000069150000}"/>
    <cellStyle name="Normal 4 4 3 2 2 2 3 2" xfId="13608" xr:uid="{5B45C570-3CEC-4489-9D66-4636703C7F6C}"/>
    <cellStyle name="Normal 4 4 3 2 2 2 4" xfId="9390" xr:uid="{E80B61E8-27EC-4190-8078-2AA9C72B43FC}"/>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40364C91-A8D9-420B-A372-DC286AB2815C}"/>
    <cellStyle name="Normal 4 4 3 2 2 3 2 3" xfId="11948" xr:uid="{4104F33D-1A0E-4045-B738-642812D30A4D}"/>
    <cellStyle name="Normal 4 4 3 2 2 3 3" xfId="5592" xr:uid="{00000000-0005-0000-0000-00006D150000}"/>
    <cellStyle name="Normal 4 4 3 2 2 3 3 2" xfId="14021" xr:uid="{47DF604B-8492-4789-A5B7-BFE1E74BD9C3}"/>
    <cellStyle name="Normal 4 4 3 2 2 3 4" xfId="9803" xr:uid="{3383380A-D879-4B49-9304-27539827DB6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01F56279-0122-4E5B-BDDE-814CEA54608A}"/>
    <cellStyle name="Normal 4 4 3 2 2 4 2 3" xfId="12361" xr:uid="{EFD02C60-AD24-4722-9341-4CEFA5A38C14}"/>
    <cellStyle name="Normal 4 4 3 2 2 4 3" xfId="6005" xr:uid="{00000000-0005-0000-0000-000071150000}"/>
    <cellStyle name="Normal 4 4 3 2 2 4 3 2" xfId="14434" xr:uid="{28D21D93-D075-4F01-847D-C4C7FCA0069A}"/>
    <cellStyle name="Normal 4 4 3 2 2 4 4" xfId="10216" xr:uid="{A0DF67AA-4A4F-48A8-816A-FA4D3423736D}"/>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E888048A-CC18-4C5B-B854-9B39A104FC06}"/>
    <cellStyle name="Normal 4 4 3 2 2 5 2 3" xfId="12774" xr:uid="{19219AA7-56D7-4194-9148-96D2F08B2BBF}"/>
    <cellStyle name="Normal 4 4 3 2 2 5 3" xfId="6418" xr:uid="{00000000-0005-0000-0000-000075150000}"/>
    <cellStyle name="Normal 4 4 3 2 2 5 3 2" xfId="14847" xr:uid="{058086F5-7D22-4691-8F29-CFB313E4169C}"/>
    <cellStyle name="Normal 4 4 3 2 2 5 4" xfId="10629" xr:uid="{6B6CBF87-B843-43D7-9EB7-918850F39D0B}"/>
    <cellStyle name="Normal 4 4 3 2 2 6" xfId="2546" xr:uid="{00000000-0005-0000-0000-000076150000}"/>
    <cellStyle name="Normal 4 4 3 2 2 6 2" xfId="6831" xr:uid="{00000000-0005-0000-0000-000077150000}"/>
    <cellStyle name="Normal 4 4 3 2 2 6 2 2" xfId="15260" xr:uid="{2B54F87E-7A68-46BD-BB05-2C7BAB770163}"/>
    <cellStyle name="Normal 4 4 3 2 2 6 3" xfId="11042" xr:uid="{7CC8ED24-D50D-48E5-A4F3-2CFF11A41980}"/>
    <cellStyle name="Normal 4 4 3 2 2 7" xfId="4766" xr:uid="{00000000-0005-0000-0000-000078150000}"/>
    <cellStyle name="Normal 4 4 3 2 2 7 2" xfId="13195" xr:uid="{385D5F77-CDEB-48ED-B52A-2799E70D9B58}"/>
    <cellStyle name="Normal 4 4 3 2 2 8" xfId="8977" xr:uid="{E7CFEDCB-52BB-4093-A95A-078696EB5DA9}"/>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A0C0A139-3305-4A92-8FCA-8C40ED3DF7B5}"/>
    <cellStyle name="Normal 4 4 3 2 3 2 3" xfId="11534" xr:uid="{2917AA67-A34E-492D-B8F1-0F51622314D4}"/>
    <cellStyle name="Normal 4 4 3 2 3 3" xfId="5178" xr:uid="{00000000-0005-0000-0000-00007C150000}"/>
    <cellStyle name="Normal 4 4 3 2 3 3 2" xfId="13607" xr:uid="{7DB9D526-50FF-4CAB-8B7C-1707A46CE5FB}"/>
    <cellStyle name="Normal 4 4 3 2 3 4" xfId="9389" xr:uid="{635DBDFE-9DC7-455B-8C27-246095BDB661}"/>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DBB4903A-AFF2-4FD4-B571-C948BCA80CE9}"/>
    <cellStyle name="Normal 4 4 3 2 4 2 3" xfId="11947" xr:uid="{783CB1D2-F984-4566-B023-C9507F135F4F}"/>
    <cellStyle name="Normal 4 4 3 2 4 3" xfId="5591" xr:uid="{00000000-0005-0000-0000-000080150000}"/>
    <cellStyle name="Normal 4 4 3 2 4 3 2" xfId="14020" xr:uid="{67C179AB-7DE1-4215-8670-329E0A70EE21}"/>
    <cellStyle name="Normal 4 4 3 2 4 4" xfId="9802" xr:uid="{6271A0C7-29BF-406B-8A87-457338FA2C32}"/>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9752EE59-37F8-4A9C-AEC3-A4B23AC87A78}"/>
    <cellStyle name="Normal 4 4 3 2 5 2 3" xfId="12360" xr:uid="{FEF327B1-9DA4-461A-9F6A-F221916475B6}"/>
    <cellStyle name="Normal 4 4 3 2 5 3" xfId="6004" xr:uid="{00000000-0005-0000-0000-000084150000}"/>
    <cellStyle name="Normal 4 4 3 2 5 3 2" xfId="14433" xr:uid="{41AA8BD2-D78F-4E8C-BDBD-5DDC2B3F0C8F}"/>
    <cellStyle name="Normal 4 4 3 2 5 4" xfId="10215" xr:uid="{8832F9EC-066B-4EE8-87A2-05013B9B57F1}"/>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365CE39D-06A2-4E16-94A0-3504BE9215B7}"/>
    <cellStyle name="Normal 4 4 3 2 6 2 3" xfId="12773" xr:uid="{8C6CD92E-FEB3-4E4D-AC4B-4DE117CBF1EE}"/>
    <cellStyle name="Normal 4 4 3 2 6 3" xfId="6417" xr:uid="{00000000-0005-0000-0000-000088150000}"/>
    <cellStyle name="Normal 4 4 3 2 6 3 2" xfId="14846" xr:uid="{2FA3023A-616C-4F2C-8FDF-19918AD9B1A2}"/>
    <cellStyle name="Normal 4 4 3 2 6 4" xfId="10628" xr:uid="{840C30BE-0691-4DF7-9696-5E9D34208A72}"/>
    <cellStyle name="Normal 4 4 3 2 7" xfId="2545" xr:uid="{00000000-0005-0000-0000-000089150000}"/>
    <cellStyle name="Normal 4 4 3 2 7 2" xfId="6830" xr:uid="{00000000-0005-0000-0000-00008A150000}"/>
    <cellStyle name="Normal 4 4 3 2 7 2 2" xfId="15259" xr:uid="{0DCEEBFE-4843-46D6-AF8D-2FCBB4CC3C2F}"/>
    <cellStyle name="Normal 4 4 3 2 7 3" xfId="11041" xr:uid="{7CA2C017-AFE6-469B-8C92-869101911910}"/>
    <cellStyle name="Normal 4 4 3 2 8" xfId="4765" xr:uid="{00000000-0005-0000-0000-00008B150000}"/>
    <cellStyle name="Normal 4 4 3 2 8 2" xfId="13194" xr:uid="{FBBC9042-4696-49DA-9DFE-2CA7EAFA26EB}"/>
    <cellStyle name="Normal 4 4 3 2 9" xfId="8976" xr:uid="{07F7CC8E-163F-42BF-9A31-E2BE5C88A98E}"/>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D24C5F5A-072B-42DD-81F4-ADBCC19AEB5C}"/>
    <cellStyle name="Normal 4 4 3 3 2 2 3" xfId="11536" xr:uid="{19BC58C8-EBCA-40B3-AA23-C12574F77812}"/>
    <cellStyle name="Normal 4 4 3 3 2 3" xfId="5180" xr:uid="{00000000-0005-0000-0000-000090150000}"/>
    <cellStyle name="Normal 4 4 3 3 2 3 2" xfId="13609" xr:uid="{020B4453-005A-42AC-831A-9D1C7B5872BA}"/>
    <cellStyle name="Normal 4 4 3 3 2 4" xfId="9391" xr:uid="{280ACF42-E9B5-4090-8834-ED450D6540CA}"/>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A730664B-4B28-411C-9E4E-36BF1A1FD2FB}"/>
    <cellStyle name="Normal 4 4 3 3 3 2 3" xfId="11949" xr:uid="{424D9C66-6707-440E-9EDA-41AF6BC715DB}"/>
    <cellStyle name="Normal 4 4 3 3 3 3" xfId="5593" xr:uid="{00000000-0005-0000-0000-000094150000}"/>
    <cellStyle name="Normal 4 4 3 3 3 3 2" xfId="14022" xr:uid="{70CDBD3F-A9C7-4A00-BC84-C29789EA2AB4}"/>
    <cellStyle name="Normal 4 4 3 3 3 4" xfId="9804" xr:uid="{F363EAD9-3DD2-4C6C-8566-3C2CC6FC78C1}"/>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829AD0EE-B939-40AD-A2A0-DB6F1AB65DF8}"/>
    <cellStyle name="Normal 4 4 3 3 4 2 3" xfId="12362" xr:uid="{94457148-AAAD-4645-A1E3-DF7F9BF357B1}"/>
    <cellStyle name="Normal 4 4 3 3 4 3" xfId="6006" xr:uid="{00000000-0005-0000-0000-000098150000}"/>
    <cellStyle name="Normal 4 4 3 3 4 3 2" xfId="14435" xr:uid="{7EE708F9-88B5-40CD-A2F1-4D5A4A94C065}"/>
    <cellStyle name="Normal 4 4 3 3 4 4" xfId="10217" xr:uid="{82FA6A38-14B6-4682-9C25-CD4E94E5A9C7}"/>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D4B5FCC1-B430-4027-AFF5-6FA9373D49AF}"/>
    <cellStyle name="Normal 4 4 3 3 5 2 3" xfId="12775" xr:uid="{7DF11136-0E36-46EE-A811-11E62A4E008F}"/>
    <cellStyle name="Normal 4 4 3 3 5 3" xfId="6419" xr:uid="{00000000-0005-0000-0000-00009C150000}"/>
    <cellStyle name="Normal 4 4 3 3 5 3 2" xfId="14848" xr:uid="{1EA2677E-7B4F-4233-AE3A-6E39FE35D85C}"/>
    <cellStyle name="Normal 4 4 3 3 5 4" xfId="10630" xr:uid="{526E2162-3BFA-4353-AAB3-13B5C4559B22}"/>
    <cellStyle name="Normal 4 4 3 3 6" xfId="2547" xr:uid="{00000000-0005-0000-0000-00009D150000}"/>
    <cellStyle name="Normal 4 4 3 3 6 2" xfId="6832" xr:uid="{00000000-0005-0000-0000-00009E150000}"/>
    <cellStyle name="Normal 4 4 3 3 6 2 2" xfId="15261" xr:uid="{2A87D01F-6B8B-497F-9C5E-80F30AB7DE87}"/>
    <cellStyle name="Normal 4 4 3 3 6 3" xfId="11043" xr:uid="{F16329CD-1783-43C6-BF61-17D99793A3C3}"/>
    <cellStyle name="Normal 4 4 3 3 7" xfId="4767" xr:uid="{00000000-0005-0000-0000-00009F150000}"/>
    <cellStyle name="Normal 4 4 3 3 7 2" xfId="13196" xr:uid="{BA4C49ED-9DF0-4A27-B3EE-8C4A194F245A}"/>
    <cellStyle name="Normal 4 4 3 3 8" xfId="8978" xr:uid="{2BA560AF-15BB-42CE-A057-A07D622ED7A4}"/>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BC65A99A-870B-4500-881B-164A7B12CC8F}"/>
    <cellStyle name="Normal 4 4 3 4 2 3" xfId="11533" xr:uid="{9AAA48A2-9A3E-4DF1-A227-945FD35EDF2C}"/>
    <cellStyle name="Normal 4 4 3 4 3" xfId="5177" xr:uid="{00000000-0005-0000-0000-0000A3150000}"/>
    <cellStyle name="Normal 4 4 3 4 3 2" xfId="13606" xr:uid="{ABEF1B21-6AB8-4C30-AAD5-5BB4995C9E6E}"/>
    <cellStyle name="Normal 4 4 3 4 4" xfId="9388" xr:uid="{E1E194C3-16F4-41DA-A254-ECB2A9B49E53}"/>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8D558E4B-65EE-4A8B-AA70-A0F6C8FAC575}"/>
    <cellStyle name="Normal 4 4 3 5 2 3" xfId="11946" xr:uid="{BE092AE5-6AFA-4BFE-A1C5-C5175EED4C40}"/>
    <cellStyle name="Normal 4 4 3 5 3" xfId="5590" xr:uid="{00000000-0005-0000-0000-0000A7150000}"/>
    <cellStyle name="Normal 4 4 3 5 3 2" xfId="14019" xr:uid="{F775FBAD-6C1C-4CE8-9703-8758CD2EC81B}"/>
    <cellStyle name="Normal 4 4 3 5 4" xfId="9801" xr:uid="{6C326C33-61CE-4646-9092-F3772EB09A9B}"/>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D744C22D-C20B-4A76-A046-67B85B9BC682}"/>
    <cellStyle name="Normal 4 4 3 6 2 3" xfId="12359" xr:uid="{09C1160E-0305-42AD-90F8-C48F51F74E8D}"/>
    <cellStyle name="Normal 4 4 3 6 3" xfId="6003" xr:uid="{00000000-0005-0000-0000-0000AB150000}"/>
    <cellStyle name="Normal 4 4 3 6 3 2" xfId="14432" xr:uid="{DEA277A0-AAEE-4A08-BE2C-10483FF29B01}"/>
    <cellStyle name="Normal 4 4 3 6 4" xfId="10214" xr:uid="{9C131EA1-4F12-4704-997E-76671559C9D2}"/>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A9CDE119-2849-4C62-A663-0D8D29F97675}"/>
    <cellStyle name="Normal 4 4 3 7 2 3" xfId="12772" xr:uid="{C287ADA3-24BC-49A6-8064-351633BAB1F6}"/>
    <cellStyle name="Normal 4 4 3 7 3" xfId="6416" xr:uid="{00000000-0005-0000-0000-0000AF150000}"/>
    <cellStyle name="Normal 4 4 3 7 3 2" xfId="14845" xr:uid="{E4FABAA7-8E85-4CAC-8AB1-53FFDD8468F0}"/>
    <cellStyle name="Normal 4 4 3 7 4" xfId="10627" xr:uid="{A8E74088-F9CD-4E46-9C0C-55A1C2E095AE}"/>
    <cellStyle name="Normal 4 4 3 8" xfId="2544" xr:uid="{00000000-0005-0000-0000-0000B0150000}"/>
    <cellStyle name="Normal 4 4 3 8 2" xfId="6829" xr:uid="{00000000-0005-0000-0000-0000B1150000}"/>
    <cellStyle name="Normal 4 4 3 8 2 2" xfId="15258" xr:uid="{6BADCBB8-2768-4666-B7A7-F4D7F2BBE520}"/>
    <cellStyle name="Normal 4 4 3 8 3" xfId="11040" xr:uid="{4A36041B-7113-4322-9C5C-F1B72A87252D}"/>
    <cellStyle name="Normal 4 4 3 9" xfId="4764" xr:uid="{00000000-0005-0000-0000-0000B2150000}"/>
    <cellStyle name="Normal 4 4 3 9 2" xfId="13193" xr:uid="{ADD7AA2B-FDA0-406E-8C0E-D8391A1AF4D3}"/>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1C1A85A6-485F-41A6-9845-A44302018CD9}"/>
    <cellStyle name="Normal 4 4 4 2 2 2 3" xfId="11538" xr:uid="{A67F96F8-09DA-498C-BE30-F15C1DE755D5}"/>
    <cellStyle name="Normal 4 4 4 2 2 3" xfId="5182" xr:uid="{00000000-0005-0000-0000-0000B8150000}"/>
    <cellStyle name="Normal 4 4 4 2 2 3 2" xfId="13611" xr:uid="{1F305ED3-F5DF-4255-A170-AC7C2B00A17B}"/>
    <cellStyle name="Normal 4 4 4 2 2 4" xfId="9393" xr:uid="{DFBD7D10-F42D-4221-A63F-DF4F5C5264B0}"/>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864607DF-C1E3-4928-8EA5-FB30C530BB4F}"/>
    <cellStyle name="Normal 4 4 4 2 3 2 3" xfId="11951" xr:uid="{0E0471CE-FA48-41AA-9EEF-BC5413920F7C}"/>
    <cellStyle name="Normal 4 4 4 2 3 3" xfId="5595" xr:uid="{00000000-0005-0000-0000-0000BC150000}"/>
    <cellStyle name="Normal 4 4 4 2 3 3 2" xfId="14024" xr:uid="{54ADFFB2-27CC-4244-AC91-7EADD3BE2CED}"/>
    <cellStyle name="Normal 4 4 4 2 3 4" xfId="9806" xr:uid="{1B48E73B-E3BF-4784-804E-58B3283AA23C}"/>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BFB8D0D3-EF0F-47CC-8CB0-864ED0E5CE30}"/>
    <cellStyle name="Normal 4 4 4 2 4 2 3" xfId="12364" xr:uid="{E9D1D8D6-F510-4526-B0DB-9BB905B3A3A1}"/>
    <cellStyle name="Normal 4 4 4 2 4 3" xfId="6008" xr:uid="{00000000-0005-0000-0000-0000C0150000}"/>
    <cellStyle name="Normal 4 4 4 2 4 3 2" xfId="14437" xr:uid="{51A29ECC-58D0-48B3-A5A7-2E5F0FDEEA7D}"/>
    <cellStyle name="Normal 4 4 4 2 4 4" xfId="10219" xr:uid="{2C167AEE-2662-4501-B09C-FF6EB678782C}"/>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C6FED8DF-743A-4B77-97B1-6B063541E90F}"/>
    <cellStyle name="Normal 4 4 4 2 5 2 3" xfId="12777" xr:uid="{8CF37EDD-C95C-419A-94F7-8D1C5B0D693D}"/>
    <cellStyle name="Normal 4 4 4 2 5 3" xfId="6421" xr:uid="{00000000-0005-0000-0000-0000C4150000}"/>
    <cellStyle name="Normal 4 4 4 2 5 3 2" xfId="14850" xr:uid="{05CB5A2C-9963-4CC4-A9F2-7F733073D3C8}"/>
    <cellStyle name="Normal 4 4 4 2 5 4" xfId="10632" xr:uid="{1C0F7A7E-CA46-4781-AE13-00DDF531E8C3}"/>
    <cellStyle name="Normal 4 4 4 2 6" xfId="2549" xr:uid="{00000000-0005-0000-0000-0000C5150000}"/>
    <cellStyle name="Normal 4 4 4 2 6 2" xfId="6834" xr:uid="{00000000-0005-0000-0000-0000C6150000}"/>
    <cellStyle name="Normal 4 4 4 2 6 2 2" xfId="15263" xr:uid="{F03D7403-CBF5-49B1-A13E-5C0E69A8D85B}"/>
    <cellStyle name="Normal 4 4 4 2 6 3" xfId="11045" xr:uid="{6D18E01F-606E-4C24-9B42-DF412D4AF8C2}"/>
    <cellStyle name="Normal 4 4 4 2 7" xfId="4769" xr:uid="{00000000-0005-0000-0000-0000C7150000}"/>
    <cellStyle name="Normal 4 4 4 2 7 2" xfId="13198" xr:uid="{1FF50C5D-35F3-4C93-B1C6-BD1BE6557939}"/>
    <cellStyle name="Normal 4 4 4 2 8" xfId="8980" xr:uid="{2D4E555A-875F-423E-ADA8-003C28D74EAB}"/>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67C8CC78-71D3-45F1-9BE7-BC58DC006FDC}"/>
    <cellStyle name="Normal 4 4 4 3 2 3" xfId="11537" xr:uid="{0DC0EA11-53C1-4EA6-AC6D-2128C636EDF5}"/>
    <cellStyle name="Normal 4 4 4 3 3" xfId="5181" xr:uid="{00000000-0005-0000-0000-0000CB150000}"/>
    <cellStyle name="Normal 4 4 4 3 3 2" xfId="13610" xr:uid="{6A124FAB-ACC7-4C06-905F-230A9363A333}"/>
    <cellStyle name="Normal 4 4 4 3 4" xfId="9392" xr:uid="{8ECF01F3-71BB-4811-BDC5-6AA05F5941A3}"/>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98459F33-2BED-46DB-9E79-3E9D7D04C80B}"/>
    <cellStyle name="Normal 4 4 4 4 2 3" xfId="11950" xr:uid="{0BF3E974-C18B-4B4B-9A40-3B6144FA06C0}"/>
    <cellStyle name="Normal 4 4 4 4 3" xfId="5594" xr:uid="{00000000-0005-0000-0000-0000CF150000}"/>
    <cellStyle name="Normal 4 4 4 4 3 2" xfId="14023" xr:uid="{C3DFFE21-E93C-4BE3-AE22-45121950A21C}"/>
    <cellStyle name="Normal 4 4 4 4 4" xfId="9805" xr:uid="{727F2D4B-CD97-48CB-AE6F-97507726B704}"/>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74548A8D-E138-4B4E-A50A-3D6AC7218F01}"/>
    <cellStyle name="Normal 4 4 4 5 2 3" xfId="12363" xr:uid="{475A83C8-E684-4F0C-8247-3514F6C6F3D0}"/>
    <cellStyle name="Normal 4 4 4 5 3" xfId="6007" xr:uid="{00000000-0005-0000-0000-0000D3150000}"/>
    <cellStyle name="Normal 4 4 4 5 3 2" xfId="14436" xr:uid="{9424B927-01FB-44E6-8551-19509917E220}"/>
    <cellStyle name="Normal 4 4 4 5 4" xfId="10218" xr:uid="{40C37038-316A-4389-AC4B-D3626ED74D37}"/>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E6FDB359-2F79-41CE-98A1-BC34860F9EB1}"/>
    <cellStyle name="Normal 4 4 4 6 2 3" xfId="12776" xr:uid="{26967CCF-537F-40D6-9B7D-76BDD21D2F03}"/>
    <cellStyle name="Normal 4 4 4 6 3" xfId="6420" xr:uid="{00000000-0005-0000-0000-0000D7150000}"/>
    <cellStyle name="Normal 4 4 4 6 3 2" xfId="14849" xr:uid="{85819E87-C8A2-4755-BD02-206301830B6C}"/>
    <cellStyle name="Normal 4 4 4 6 4" xfId="10631" xr:uid="{3323B11F-31CC-4C3C-8153-CCA77131BCAD}"/>
    <cellStyle name="Normal 4 4 4 7" xfId="2548" xr:uid="{00000000-0005-0000-0000-0000D8150000}"/>
    <cellStyle name="Normal 4 4 4 7 2" xfId="6833" xr:uid="{00000000-0005-0000-0000-0000D9150000}"/>
    <cellStyle name="Normal 4 4 4 7 2 2" xfId="15262" xr:uid="{550ADE21-98C8-496F-AC58-BC0C202C4D6D}"/>
    <cellStyle name="Normal 4 4 4 7 3" xfId="11044" xr:uid="{C4462DF4-53FC-4161-ACFE-7199822EB73F}"/>
    <cellStyle name="Normal 4 4 4 8" xfId="4768" xr:uid="{00000000-0005-0000-0000-0000DA150000}"/>
    <cellStyle name="Normal 4 4 4 8 2" xfId="13197" xr:uid="{5DB10AD2-371E-4283-BFDC-E87A609D5110}"/>
    <cellStyle name="Normal 4 4 4 9" xfId="8979" xr:uid="{392C9B22-19D8-463A-B479-6945510BE655}"/>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DB58AFC4-CE72-437A-B798-758B1D675133}"/>
    <cellStyle name="Normal 4 4 5 2 2 3" xfId="11539" xr:uid="{1F2F06CA-071B-4E3C-B522-D8971413560B}"/>
    <cellStyle name="Normal 4 4 5 2 3" xfId="5183" xr:uid="{00000000-0005-0000-0000-0000DF150000}"/>
    <cellStyle name="Normal 4 4 5 2 3 2" xfId="13612" xr:uid="{5F4F7FF9-FC61-4B0F-BABE-03B239328CA9}"/>
    <cellStyle name="Normal 4 4 5 2 4" xfId="9394" xr:uid="{553583AD-1F8A-4806-82C2-A773E6ADD133}"/>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A65448B7-7199-41AB-9B0F-1ACA4B1009B8}"/>
    <cellStyle name="Normal 4 4 5 3 2 3" xfId="11952" xr:uid="{0AC24AFE-F649-4657-9096-A93983A096B4}"/>
    <cellStyle name="Normal 4 4 5 3 3" xfId="5596" xr:uid="{00000000-0005-0000-0000-0000E3150000}"/>
    <cellStyle name="Normal 4 4 5 3 3 2" xfId="14025" xr:uid="{472BFD2C-DE47-4446-A62F-95EBD11CE878}"/>
    <cellStyle name="Normal 4 4 5 3 4" xfId="9807" xr:uid="{336C4C39-3A63-424F-A2C7-FF5A7B601628}"/>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0A5C8311-4854-4346-A068-BE13F39B940F}"/>
    <cellStyle name="Normal 4 4 5 4 2 3" xfId="12365" xr:uid="{09D05A78-F783-4C6C-BD5A-C4B7BE609773}"/>
    <cellStyle name="Normal 4 4 5 4 3" xfId="6009" xr:uid="{00000000-0005-0000-0000-0000E7150000}"/>
    <cellStyle name="Normal 4 4 5 4 3 2" xfId="14438" xr:uid="{B951A232-2FA8-487A-A34B-CE622C7C91F0}"/>
    <cellStyle name="Normal 4 4 5 4 4" xfId="10220" xr:uid="{A1068ADF-2474-4AA3-B148-143B1974927F}"/>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731CED05-D7D0-4A94-9D9B-4FD556E57796}"/>
    <cellStyle name="Normal 4 4 5 5 2 3" xfId="12778" xr:uid="{68E7CCC2-3D45-45DF-A5B4-2BC76F7F79B5}"/>
    <cellStyle name="Normal 4 4 5 5 3" xfId="6422" xr:uid="{00000000-0005-0000-0000-0000EB150000}"/>
    <cellStyle name="Normal 4 4 5 5 3 2" xfId="14851" xr:uid="{44EA10DD-11BD-43FB-B59F-D27A9502A68B}"/>
    <cellStyle name="Normal 4 4 5 5 4" xfId="10633" xr:uid="{B3164D98-C59B-42DB-9CAA-1163EB84F15B}"/>
    <cellStyle name="Normal 4 4 5 6" xfId="2550" xr:uid="{00000000-0005-0000-0000-0000EC150000}"/>
    <cellStyle name="Normal 4 4 5 6 2" xfId="6835" xr:uid="{00000000-0005-0000-0000-0000ED150000}"/>
    <cellStyle name="Normal 4 4 5 6 2 2" xfId="15264" xr:uid="{1C984755-B2B6-41FB-A270-CE53E445BE08}"/>
    <cellStyle name="Normal 4 4 5 6 3" xfId="11046" xr:uid="{F33AAC15-990F-4414-93AE-66F172F5AA4D}"/>
    <cellStyle name="Normal 4 4 5 7" xfId="4770" xr:uid="{00000000-0005-0000-0000-0000EE150000}"/>
    <cellStyle name="Normal 4 4 5 7 2" xfId="13199" xr:uid="{9A8A1907-9CA7-4482-BED8-D71A6FE1A8C2}"/>
    <cellStyle name="Normal 4 4 5 8" xfId="8981" xr:uid="{B7CA9454-E3D0-4D21-8152-C680F089FABD}"/>
    <cellStyle name="Normal 4 4 6" xfId="854" xr:uid="{00000000-0005-0000-0000-0000EF150000}"/>
    <cellStyle name="Normal 4 4 6 2" xfId="3089" xr:uid="{00000000-0005-0000-0000-0000F0150000}"/>
    <cellStyle name="Normal 4 4 6 2 2" xfId="7313" xr:uid="{00000000-0005-0000-0000-0000F1150000}"/>
    <cellStyle name="Normal 4 4 6 2 2 2" xfId="15742" xr:uid="{C9E84C01-6E2F-4A81-9202-06223E541562}"/>
    <cellStyle name="Normal 4 4 6 2 3" xfId="11524" xr:uid="{BB005DD8-4415-4A63-B872-4E8AF257518B}"/>
    <cellStyle name="Normal 4 4 6 3" xfId="5168" xr:uid="{00000000-0005-0000-0000-0000F2150000}"/>
    <cellStyle name="Normal 4 4 6 3 2" xfId="13597" xr:uid="{39DD9C8D-4DAA-4B18-A0E2-2D13D83259FE}"/>
    <cellStyle name="Normal 4 4 6 4" xfId="9379" xr:uid="{4E10A769-3272-4EDD-A30A-F3A8AF0C1C18}"/>
    <cellStyle name="Normal 4 4 7" xfId="1272" xr:uid="{00000000-0005-0000-0000-0000F3150000}"/>
    <cellStyle name="Normal 4 4 7 2" xfId="3502" xr:uid="{00000000-0005-0000-0000-0000F4150000}"/>
    <cellStyle name="Normal 4 4 7 2 2" xfId="7726" xr:uid="{00000000-0005-0000-0000-0000F5150000}"/>
    <cellStyle name="Normal 4 4 7 2 2 2" xfId="16155" xr:uid="{0B7BD2E7-8F54-467F-B84E-9C334C0EF192}"/>
    <cellStyle name="Normal 4 4 7 2 3" xfId="11937" xr:uid="{A1D6DABA-45F4-44BB-B84C-AFC55AB6BD71}"/>
    <cellStyle name="Normal 4 4 7 3" xfId="5581" xr:uid="{00000000-0005-0000-0000-0000F6150000}"/>
    <cellStyle name="Normal 4 4 7 3 2" xfId="14010" xr:uid="{1115147D-2748-4DF9-8178-EA10D3BFB91B}"/>
    <cellStyle name="Normal 4 4 7 4" xfId="9792" xr:uid="{0787A9BD-F948-4D91-81BC-4708458640AD}"/>
    <cellStyle name="Normal 4 4 8" xfId="1685" xr:uid="{00000000-0005-0000-0000-0000F7150000}"/>
    <cellStyle name="Normal 4 4 8 2" xfId="3915" xr:uid="{00000000-0005-0000-0000-0000F8150000}"/>
    <cellStyle name="Normal 4 4 8 2 2" xfId="8139" xr:uid="{00000000-0005-0000-0000-0000F9150000}"/>
    <cellStyle name="Normal 4 4 8 2 2 2" xfId="16568" xr:uid="{BC0FA287-DDBE-42DC-AA87-216EB45C5D98}"/>
    <cellStyle name="Normal 4 4 8 2 3" xfId="12350" xr:uid="{DE286783-0986-4759-82E0-ABEEEDB63712}"/>
    <cellStyle name="Normal 4 4 8 3" xfId="5994" xr:uid="{00000000-0005-0000-0000-0000FA150000}"/>
    <cellStyle name="Normal 4 4 8 3 2" xfId="14423" xr:uid="{005F523C-807B-4566-969F-E90C534CBC29}"/>
    <cellStyle name="Normal 4 4 8 4" xfId="10205" xr:uid="{CB03A05F-0836-409B-8C1C-49FF1E6FAA82}"/>
    <cellStyle name="Normal 4 4 9" xfId="2099" xr:uid="{00000000-0005-0000-0000-0000FB150000}"/>
    <cellStyle name="Normal 4 4 9 2" xfId="4328" xr:uid="{00000000-0005-0000-0000-0000FC150000}"/>
    <cellStyle name="Normal 4 4 9 2 2" xfId="8552" xr:uid="{00000000-0005-0000-0000-0000FD150000}"/>
    <cellStyle name="Normal 4 4 9 2 2 2" xfId="16981" xr:uid="{3E90027F-5270-46A7-8E3C-F93D9CDCA171}"/>
    <cellStyle name="Normal 4 4 9 2 3" xfId="12763" xr:uid="{07EE3104-A398-45B5-B496-4729E2670250}"/>
    <cellStyle name="Normal 4 4 9 3" xfId="6407" xr:uid="{00000000-0005-0000-0000-0000FE150000}"/>
    <cellStyle name="Normal 4 4 9 3 2" xfId="14836" xr:uid="{F0B55698-7D9E-49F1-88BE-CF6C6FB7EAD7}"/>
    <cellStyle name="Normal 4 4 9 4" xfId="10618" xr:uid="{4A2D0AC9-5311-41B4-B5FD-01A67EE4E88B}"/>
    <cellStyle name="Normal 4 5" xfId="394" xr:uid="{00000000-0005-0000-0000-0000FF150000}"/>
    <cellStyle name="Normal 4 6" xfId="395" xr:uid="{00000000-0005-0000-0000-000000160000}"/>
    <cellStyle name="Normal 4 6 10" xfId="4771" xr:uid="{00000000-0005-0000-0000-000001160000}"/>
    <cellStyle name="Normal 4 6 10 2" xfId="13200" xr:uid="{F741E2EB-FF14-4093-8FA2-FB6328E0AC12}"/>
    <cellStyle name="Normal 4 6 11" xfId="8982" xr:uid="{6E77FE64-8EED-4447-9843-9AB870797BC2}"/>
    <cellStyle name="Normal 4 6 2" xfId="396" xr:uid="{00000000-0005-0000-0000-000002160000}"/>
    <cellStyle name="Normal 4 6 2 10" xfId="8983" xr:uid="{256FA3F1-DB4A-40E6-911C-23B848E9356F}"/>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B85F6B59-0A4E-4F08-8178-1E3D3FCE787A}"/>
    <cellStyle name="Normal 4 6 2 2 2 2 2 3" xfId="11543" xr:uid="{019E9290-8A68-428B-B68D-7BA93853B3AA}"/>
    <cellStyle name="Normal 4 6 2 2 2 2 3" xfId="5187" xr:uid="{00000000-0005-0000-0000-000008160000}"/>
    <cellStyle name="Normal 4 6 2 2 2 2 3 2" xfId="13616" xr:uid="{23540BEE-E1A9-4F4A-9B66-E0D394240A77}"/>
    <cellStyle name="Normal 4 6 2 2 2 2 4" xfId="9398" xr:uid="{54079CD1-8FDD-4F84-9206-BFB55677828A}"/>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733612B2-AC9C-4389-A205-5DB275DC2271}"/>
    <cellStyle name="Normal 4 6 2 2 2 3 2 3" xfId="11956" xr:uid="{F35579B3-EFE4-423D-864C-7B49AF5D5B62}"/>
    <cellStyle name="Normal 4 6 2 2 2 3 3" xfId="5600" xr:uid="{00000000-0005-0000-0000-00000C160000}"/>
    <cellStyle name="Normal 4 6 2 2 2 3 3 2" xfId="14029" xr:uid="{888DF973-F374-4F72-91A3-2211F86ED813}"/>
    <cellStyle name="Normal 4 6 2 2 2 3 4" xfId="9811" xr:uid="{6A2D40D4-78E1-45B4-8617-BE587743B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60CEE5EA-D410-49B7-B162-A55B8CF6E75D}"/>
    <cellStyle name="Normal 4 6 2 2 2 4 2 3" xfId="12369" xr:uid="{E09FBCC9-BB81-47C0-9814-9A44FEEB9D33}"/>
    <cellStyle name="Normal 4 6 2 2 2 4 3" xfId="6013" xr:uid="{00000000-0005-0000-0000-000010160000}"/>
    <cellStyle name="Normal 4 6 2 2 2 4 3 2" xfId="14442" xr:uid="{F2146B46-978A-42E7-B9ED-01AF0229AB8C}"/>
    <cellStyle name="Normal 4 6 2 2 2 4 4" xfId="10224" xr:uid="{FA15652A-C316-4487-B573-A480BA4B0434}"/>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779D1849-A97E-45BB-A231-41037B7C4A81}"/>
    <cellStyle name="Normal 4 6 2 2 2 5 2 3" xfId="12782" xr:uid="{9BBC2683-945B-44DC-A0A9-F0C7E5A814FA}"/>
    <cellStyle name="Normal 4 6 2 2 2 5 3" xfId="6426" xr:uid="{00000000-0005-0000-0000-000014160000}"/>
    <cellStyle name="Normal 4 6 2 2 2 5 3 2" xfId="14855" xr:uid="{04B535BA-D58C-4B6C-90E1-9D7157A2AC8B}"/>
    <cellStyle name="Normal 4 6 2 2 2 5 4" xfId="10637" xr:uid="{82B8DB94-913C-4AF0-9129-9CEA14B3B604}"/>
    <cellStyle name="Normal 4 6 2 2 2 6" xfId="2554" xr:uid="{00000000-0005-0000-0000-000015160000}"/>
    <cellStyle name="Normal 4 6 2 2 2 6 2" xfId="6839" xr:uid="{00000000-0005-0000-0000-000016160000}"/>
    <cellStyle name="Normal 4 6 2 2 2 6 2 2" xfId="15268" xr:uid="{AF39CF0E-B556-4239-AC73-FC8D77186227}"/>
    <cellStyle name="Normal 4 6 2 2 2 6 3" xfId="11050" xr:uid="{3193080D-42EF-434F-9A96-6145EAE39230}"/>
    <cellStyle name="Normal 4 6 2 2 2 7" xfId="4774" xr:uid="{00000000-0005-0000-0000-000017160000}"/>
    <cellStyle name="Normal 4 6 2 2 2 7 2" xfId="13203" xr:uid="{55628136-8CDB-4CD5-8B4C-93A1B22AE8AE}"/>
    <cellStyle name="Normal 4 6 2 2 2 8" xfId="8985" xr:uid="{DAEC887F-E60D-48C5-8BF5-0BDE2F615114}"/>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103F9308-1BAF-4FD9-9BA7-CBF92FB7D855}"/>
    <cellStyle name="Normal 4 6 2 2 3 2 3" xfId="11542" xr:uid="{3D58A437-C2E9-4BCE-8B9B-578E208BB08D}"/>
    <cellStyle name="Normal 4 6 2 2 3 3" xfId="5186" xr:uid="{00000000-0005-0000-0000-00001B160000}"/>
    <cellStyle name="Normal 4 6 2 2 3 3 2" xfId="13615" xr:uid="{9AFAA75E-8B61-4231-9C22-73E9DE0372BB}"/>
    <cellStyle name="Normal 4 6 2 2 3 4" xfId="9397" xr:uid="{19F87D82-3E0F-4455-8691-0AE9BA043D11}"/>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5B692B53-2387-4138-9C75-24703957343A}"/>
    <cellStyle name="Normal 4 6 2 2 4 2 3" xfId="11955" xr:uid="{5EA1A3EF-73FE-4DA9-A619-984C8D70C5C2}"/>
    <cellStyle name="Normal 4 6 2 2 4 3" xfId="5599" xr:uid="{00000000-0005-0000-0000-00001F160000}"/>
    <cellStyle name="Normal 4 6 2 2 4 3 2" xfId="14028" xr:uid="{0E75C877-4189-4B93-BE42-EFA13414D236}"/>
    <cellStyle name="Normal 4 6 2 2 4 4" xfId="9810" xr:uid="{D6136E7C-50FE-444D-A1BE-9A6BC505355B}"/>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57986DEC-FE6C-4624-AF68-9BCDF8F8F472}"/>
    <cellStyle name="Normal 4 6 2 2 5 2 3" xfId="12368" xr:uid="{BBA926FB-8FE5-4FD1-ACE6-41AE6777545D}"/>
    <cellStyle name="Normal 4 6 2 2 5 3" xfId="6012" xr:uid="{00000000-0005-0000-0000-000023160000}"/>
    <cellStyle name="Normal 4 6 2 2 5 3 2" xfId="14441" xr:uid="{3776E20A-298B-44F7-BE14-ADBF9D3975F4}"/>
    <cellStyle name="Normal 4 6 2 2 5 4" xfId="10223" xr:uid="{61B844B5-3C7B-49E5-8805-1D4902EFABF1}"/>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096D5214-7FA8-41F4-90CC-36A865EE203D}"/>
    <cellStyle name="Normal 4 6 2 2 6 2 3" xfId="12781" xr:uid="{0933C4C8-5A39-4754-9084-B1A99E85E324}"/>
    <cellStyle name="Normal 4 6 2 2 6 3" xfId="6425" xr:uid="{00000000-0005-0000-0000-000027160000}"/>
    <cellStyle name="Normal 4 6 2 2 6 3 2" xfId="14854" xr:uid="{86C07648-EC6F-4A77-85CE-6E3179CEB588}"/>
    <cellStyle name="Normal 4 6 2 2 6 4" xfId="10636" xr:uid="{59E4A7FF-F2A2-4D5F-9F68-9CCDB1E7E048}"/>
    <cellStyle name="Normal 4 6 2 2 7" xfId="2553" xr:uid="{00000000-0005-0000-0000-000028160000}"/>
    <cellStyle name="Normal 4 6 2 2 7 2" xfId="6838" xr:uid="{00000000-0005-0000-0000-000029160000}"/>
    <cellStyle name="Normal 4 6 2 2 7 2 2" xfId="15267" xr:uid="{D937F66F-E568-4926-8008-ABB883D39EBE}"/>
    <cellStyle name="Normal 4 6 2 2 7 3" xfId="11049" xr:uid="{627368E7-A0CD-46A8-8DFB-25AD5B6ACAB9}"/>
    <cellStyle name="Normal 4 6 2 2 8" xfId="4773" xr:uid="{00000000-0005-0000-0000-00002A160000}"/>
    <cellStyle name="Normal 4 6 2 2 8 2" xfId="13202" xr:uid="{09F44BE3-6F9E-4F53-BFBE-3A4446206E25}"/>
    <cellStyle name="Normal 4 6 2 2 9" xfId="8984" xr:uid="{D57D26FC-C3C2-4145-BF70-700CE37A19BE}"/>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724E7A69-1949-46CD-9735-E19FAC78A29D}"/>
    <cellStyle name="Normal 4 6 2 3 2 2 3" xfId="11544" xr:uid="{CC6A4BC4-5269-488D-9884-C99A1F08DD53}"/>
    <cellStyle name="Normal 4 6 2 3 2 3" xfId="5188" xr:uid="{00000000-0005-0000-0000-00002F160000}"/>
    <cellStyle name="Normal 4 6 2 3 2 3 2" xfId="13617" xr:uid="{0CE396F1-15B0-44BD-9442-A2912882FEAF}"/>
    <cellStyle name="Normal 4 6 2 3 2 4" xfId="9399" xr:uid="{3FE577B9-23CA-45BE-9171-011402B10C18}"/>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7D97D8CF-B41A-4046-88C7-DF08F24C8D6F}"/>
    <cellStyle name="Normal 4 6 2 3 3 2 3" xfId="11957" xr:uid="{E1D8ABC7-6F86-4CE2-8126-B47525EF5CE8}"/>
    <cellStyle name="Normal 4 6 2 3 3 3" xfId="5601" xr:uid="{00000000-0005-0000-0000-000033160000}"/>
    <cellStyle name="Normal 4 6 2 3 3 3 2" xfId="14030" xr:uid="{A54C9452-318E-419A-8740-791BF4CB41BF}"/>
    <cellStyle name="Normal 4 6 2 3 3 4" xfId="9812" xr:uid="{420F94AE-D21A-4B4D-B9FB-48291E2D32F6}"/>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ECA9E716-8DCE-41EA-876E-8D0C68AD4B08}"/>
    <cellStyle name="Normal 4 6 2 3 4 2 3" xfId="12370" xr:uid="{625F0B1A-81B7-425B-B2CF-D19AD061EC5A}"/>
    <cellStyle name="Normal 4 6 2 3 4 3" xfId="6014" xr:uid="{00000000-0005-0000-0000-000037160000}"/>
    <cellStyle name="Normal 4 6 2 3 4 3 2" xfId="14443" xr:uid="{3CD14E04-1998-4770-A3B0-4BF9F5AE5B22}"/>
    <cellStyle name="Normal 4 6 2 3 4 4" xfId="10225" xr:uid="{24E29721-537A-4A9C-A865-2544D1C7264A}"/>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0E9D3D06-B2F9-459A-B732-E6D505F0EEB5}"/>
    <cellStyle name="Normal 4 6 2 3 5 2 3" xfId="12783" xr:uid="{0D951FDE-F17E-48A6-A2CE-49463B2F80D7}"/>
    <cellStyle name="Normal 4 6 2 3 5 3" xfId="6427" xr:uid="{00000000-0005-0000-0000-00003B160000}"/>
    <cellStyle name="Normal 4 6 2 3 5 3 2" xfId="14856" xr:uid="{F93427C2-926C-4371-A014-23F233B5F3CB}"/>
    <cellStyle name="Normal 4 6 2 3 5 4" xfId="10638" xr:uid="{F8A7F597-B867-4A9D-B300-97013E8D0EF3}"/>
    <cellStyle name="Normal 4 6 2 3 6" xfId="2555" xr:uid="{00000000-0005-0000-0000-00003C160000}"/>
    <cellStyle name="Normal 4 6 2 3 6 2" xfId="6840" xr:uid="{00000000-0005-0000-0000-00003D160000}"/>
    <cellStyle name="Normal 4 6 2 3 6 2 2" xfId="15269" xr:uid="{D3297704-70F0-4B2A-B23B-2BB835A96C4C}"/>
    <cellStyle name="Normal 4 6 2 3 6 3" xfId="11051" xr:uid="{FCB914D1-0D5B-4241-AE7D-06CC295F1CB4}"/>
    <cellStyle name="Normal 4 6 2 3 7" xfId="4775" xr:uid="{00000000-0005-0000-0000-00003E160000}"/>
    <cellStyle name="Normal 4 6 2 3 7 2" xfId="13204" xr:uid="{A44B5C5C-A8CA-44E9-A254-D472F5100FDF}"/>
    <cellStyle name="Normal 4 6 2 3 8" xfId="8986" xr:uid="{6602208B-5A1A-41B4-8C2D-171812C03E7B}"/>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161F9D0B-1A7E-4527-AAF1-994AFF74F2E4}"/>
    <cellStyle name="Normal 4 6 2 4 2 3" xfId="11541" xr:uid="{59AFC025-3CAF-4613-AE1B-44AAB6C21C73}"/>
    <cellStyle name="Normal 4 6 2 4 3" xfId="5185" xr:uid="{00000000-0005-0000-0000-000042160000}"/>
    <cellStyle name="Normal 4 6 2 4 3 2" xfId="13614" xr:uid="{AA15D123-0A57-4984-8C0B-B2710AD7A03D}"/>
    <cellStyle name="Normal 4 6 2 4 4" xfId="9396" xr:uid="{F30A7639-5EA2-4AE4-BABF-CE3A1FA2B52C}"/>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167BC386-B782-4F2A-9C16-5B2598B1AEB3}"/>
    <cellStyle name="Normal 4 6 2 5 2 3" xfId="11954" xr:uid="{2D3782DD-459E-4359-B235-FAE6954BF5B7}"/>
    <cellStyle name="Normal 4 6 2 5 3" xfId="5598" xr:uid="{00000000-0005-0000-0000-000046160000}"/>
    <cellStyle name="Normal 4 6 2 5 3 2" xfId="14027" xr:uid="{FEB68F1A-B21D-4B44-A192-3D5186AE8E00}"/>
    <cellStyle name="Normal 4 6 2 5 4" xfId="9809" xr:uid="{19F8BBF3-D59B-4762-A353-88A938EE7C47}"/>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A6EEEB86-FB18-4D6B-9DD1-F2B371623732}"/>
    <cellStyle name="Normal 4 6 2 6 2 3" xfId="12367" xr:uid="{3D08933A-0A16-43BB-8481-6776DF3C7F11}"/>
    <cellStyle name="Normal 4 6 2 6 3" xfId="6011" xr:uid="{00000000-0005-0000-0000-00004A160000}"/>
    <cellStyle name="Normal 4 6 2 6 3 2" xfId="14440" xr:uid="{B6D68EA2-7A02-434C-85E2-AB0908DCBA0F}"/>
    <cellStyle name="Normal 4 6 2 6 4" xfId="10222" xr:uid="{69E85C2E-6835-4B73-961E-A53A9137B531}"/>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BB11756A-9409-49CD-A04D-89E1982F4742}"/>
    <cellStyle name="Normal 4 6 2 7 2 3" xfId="12780" xr:uid="{18EF96F4-379E-4989-9C77-36BEE052A6FF}"/>
    <cellStyle name="Normal 4 6 2 7 3" xfId="6424" xr:uid="{00000000-0005-0000-0000-00004E160000}"/>
    <cellStyle name="Normal 4 6 2 7 3 2" xfId="14853" xr:uid="{E7F68D61-4AE6-468F-B08A-DF5ED1FD1D9D}"/>
    <cellStyle name="Normal 4 6 2 7 4" xfId="10635" xr:uid="{B19F7C02-55C2-4B07-9598-33E57021E692}"/>
    <cellStyle name="Normal 4 6 2 8" xfId="2552" xr:uid="{00000000-0005-0000-0000-00004F160000}"/>
    <cellStyle name="Normal 4 6 2 8 2" xfId="6837" xr:uid="{00000000-0005-0000-0000-000050160000}"/>
    <cellStyle name="Normal 4 6 2 8 2 2" xfId="15266" xr:uid="{7F4BE5A9-4AE9-4539-A695-FA0B2A5A3B07}"/>
    <cellStyle name="Normal 4 6 2 8 3" xfId="11048" xr:uid="{CA2118F9-A493-4871-964C-C82E39DE4092}"/>
    <cellStyle name="Normal 4 6 2 9" xfId="4772" xr:uid="{00000000-0005-0000-0000-000051160000}"/>
    <cellStyle name="Normal 4 6 2 9 2" xfId="13201" xr:uid="{6C42296F-4ECE-4A0F-942D-CB6228F0BE18}"/>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59D4756A-60F2-42D5-A5DC-EA747CCC7FB7}"/>
    <cellStyle name="Normal 4 6 3 2 2 2 3" xfId="11546" xr:uid="{6474AF77-B273-4E27-9D29-FA91693C8DDD}"/>
    <cellStyle name="Normal 4 6 3 2 2 3" xfId="5190" xr:uid="{00000000-0005-0000-0000-000057160000}"/>
    <cellStyle name="Normal 4 6 3 2 2 3 2" xfId="13619" xr:uid="{0CE4F85C-8191-4C92-9582-255CBFD6C2C7}"/>
    <cellStyle name="Normal 4 6 3 2 2 4" xfId="9401" xr:uid="{9BADC36F-9FA2-47E6-A061-7F22BAE68F89}"/>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C263A7B3-F8F8-4862-88D0-63C4A1ED3F43}"/>
    <cellStyle name="Normal 4 6 3 2 3 2 3" xfId="11959" xr:uid="{8CAE5323-A8BA-458A-9D05-394005AF8965}"/>
    <cellStyle name="Normal 4 6 3 2 3 3" xfId="5603" xr:uid="{00000000-0005-0000-0000-00005B160000}"/>
    <cellStyle name="Normal 4 6 3 2 3 3 2" xfId="14032" xr:uid="{5FD11B03-E13A-4A89-ACFA-C8E32494C144}"/>
    <cellStyle name="Normal 4 6 3 2 3 4" xfId="9814" xr:uid="{25A9B0F1-1BF6-4E7C-923B-F019465100B1}"/>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FCA69AA8-1E94-4DF9-9CC8-3991268948EB}"/>
    <cellStyle name="Normal 4 6 3 2 4 2 3" xfId="12372" xr:uid="{2D8249C7-8443-45CD-8264-227C7C8F7BD1}"/>
    <cellStyle name="Normal 4 6 3 2 4 3" xfId="6016" xr:uid="{00000000-0005-0000-0000-00005F160000}"/>
    <cellStyle name="Normal 4 6 3 2 4 3 2" xfId="14445" xr:uid="{CAB277C8-748B-4B9B-BCE3-191F0EAE222B}"/>
    <cellStyle name="Normal 4 6 3 2 4 4" xfId="10227" xr:uid="{0DA98ED9-4983-4250-BDA6-74B50E9A7426}"/>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CC82F847-79AB-4160-B445-419CF65D669E}"/>
    <cellStyle name="Normal 4 6 3 2 5 2 3" xfId="12785" xr:uid="{FBE7A040-309B-4472-AC88-37A267E7EC7E}"/>
    <cellStyle name="Normal 4 6 3 2 5 3" xfId="6429" xr:uid="{00000000-0005-0000-0000-000063160000}"/>
    <cellStyle name="Normal 4 6 3 2 5 3 2" xfId="14858" xr:uid="{A70C2AAC-4531-40D2-90A9-EEA4EF1557B8}"/>
    <cellStyle name="Normal 4 6 3 2 5 4" xfId="10640" xr:uid="{0A468AC7-F273-4AD2-9E62-9EAA1B6E752D}"/>
    <cellStyle name="Normal 4 6 3 2 6" xfId="2557" xr:uid="{00000000-0005-0000-0000-000064160000}"/>
    <cellStyle name="Normal 4 6 3 2 6 2" xfId="6842" xr:uid="{00000000-0005-0000-0000-000065160000}"/>
    <cellStyle name="Normal 4 6 3 2 6 2 2" xfId="15271" xr:uid="{3AB5548B-F8E0-4C82-8B92-84B7D5637478}"/>
    <cellStyle name="Normal 4 6 3 2 6 3" xfId="11053" xr:uid="{B946A26D-B47C-4E5C-B34F-44D3CCC3F635}"/>
    <cellStyle name="Normal 4 6 3 2 7" xfId="4777" xr:uid="{00000000-0005-0000-0000-000066160000}"/>
    <cellStyle name="Normal 4 6 3 2 7 2" xfId="13206" xr:uid="{A0202C61-7F8D-4917-AC1F-626A901BD061}"/>
    <cellStyle name="Normal 4 6 3 2 8" xfId="8988" xr:uid="{27DF344D-4052-410E-9A91-24D9E3098F25}"/>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CEF096F4-32EC-41D2-A29A-C08AC101348E}"/>
    <cellStyle name="Normal 4 6 3 3 2 3" xfId="11545" xr:uid="{C6555987-3A5F-441F-AFC6-38CC818A6D3B}"/>
    <cellStyle name="Normal 4 6 3 3 3" xfId="5189" xr:uid="{00000000-0005-0000-0000-00006A160000}"/>
    <cellStyle name="Normal 4 6 3 3 3 2" xfId="13618" xr:uid="{56C47FCD-5E31-435A-BA55-64450C32CF43}"/>
    <cellStyle name="Normal 4 6 3 3 4" xfId="9400" xr:uid="{96F2E229-6EA9-4CD5-8B17-8B6A8164C264}"/>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D5A1269A-D944-49DD-8A85-2ABA5E3CDA52}"/>
    <cellStyle name="Normal 4 6 3 4 2 3" xfId="11958" xr:uid="{D33DCD7C-E364-42CA-A424-68FA0B681DC1}"/>
    <cellStyle name="Normal 4 6 3 4 3" xfId="5602" xr:uid="{00000000-0005-0000-0000-00006E160000}"/>
    <cellStyle name="Normal 4 6 3 4 3 2" xfId="14031" xr:uid="{87FC8F04-3B93-4D3C-8B9A-A0D216ED722A}"/>
    <cellStyle name="Normal 4 6 3 4 4" xfId="9813" xr:uid="{93034AFF-B1E9-4BF3-AF27-E345D8B2C7AA}"/>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231C62DF-BA9B-4D9E-BB80-5288E7073E4F}"/>
    <cellStyle name="Normal 4 6 3 5 2 3" xfId="12371" xr:uid="{AA0E2C7A-FAFD-4673-A59B-6E81D2FDD0E8}"/>
    <cellStyle name="Normal 4 6 3 5 3" xfId="6015" xr:uid="{00000000-0005-0000-0000-000072160000}"/>
    <cellStyle name="Normal 4 6 3 5 3 2" xfId="14444" xr:uid="{CE3EE9CF-C97A-4BF2-8826-8BA3A5D6B9E5}"/>
    <cellStyle name="Normal 4 6 3 5 4" xfId="10226" xr:uid="{E5C46F16-C4DE-4C03-945F-199381CB7011}"/>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8A7D5470-10B1-4F5E-8067-FBACAF95B429}"/>
    <cellStyle name="Normal 4 6 3 6 2 3" xfId="12784" xr:uid="{43A2EB46-EE83-4959-A133-50FBE022E5F2}"/>
    <cellStyle name="Normal 4 6 3 6 3" xfId="6428" xr:uid="{00000000-0005-0000-0000-000076160000}"/>
    <cellStyle name="Normal 4 6 3 6 3 2" xfId="14857" xr:uid="{BE561C12-C3AA-4960-B69E-28150BA77C9D}"/>
    <cellStyle name="Normal 4 6 3 6 4" xfId="10639" xr:uid="{DAE7EA85-2459-4734-966E-39E79DFF3796}"/>
    <cellStyle name="Normal 4 6 3 7" xfId="2556" xr:uid="{00000000-0005-0000-0000-000077160000}"/>
    <cellStyle name="Normal 4 6 3 7 2" xfId="6841" xr:uid="{00000000-0005-0000-0000-000078160000}"/>
    <cellStyle name="Normal 4 6 3 7 2 2" xfId="15270" xr:uid="{2759F709-A548-4B62-9C7E-E70CCD1929EC}"/>
    <cellStyle name="Normal 4 6 3 7 3" xfId="11052" xr:uid="{43BFD194-2802-4687-9DD7-99E43E954BAE}"/>
    <cellStyle name="Normal 4 6 3 8" xfId="4776" xr:uid="{00000000-0005-0000-0000-000079160000}"/>
    <cellStyle name="Normal 4 6 3 8 2" xfId="13205" xr:uid="{51CA3DEE-ACB5-49AC-8387-FE4EC0B3B4B3}"/>
    <cellStyle name="Normal 4 6 3 9" xfId="8987" xr:uid="{D9DB9F41-8F0B-42F7-BD80-82EA1273BFE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C01F7656-40E8-49E4-8C10-62F6D1F9D381}"/>
    <cellStyle name="Normal 4 6 4 2 2 3" xfId="11547" xr:uid="{0648975A-CC96-4B37-918F-48FF6031A40A}"/>
    <cellStyle name="Normal 4 6 4 2 3" xfId="5191" xr:uid="{00000000-0005-0000-0000-00007E160000}"/>
    <cellStyle name="Normal 4 6 4 2 3 2" xfId="13620" xr:uid="{8D2F7103-36EA-4511-A6BE-F4B45C48BD84}"/>
    <cellStyle name="Normal 4 6 4 2 4" xfId="9402" xr:uid="{63CC8B45-D277-4897-B609-9BCEA69EA9BA}"/>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279FB06E-3336-4607-AB50-C2B6BB836C08}"/>
    <cellStyle name="Normal 4 6 4 3 2 3" xfId="11960" xr:uid="{3E4A59E7-F029-45BA-9C59-8B265BBFC494}"/>
    <cellStyle name="Normal 4 6 4 3 3" xfId="5604" xr:uid="{00000000-0005-0000-0000-000082160000}"/>
    <cellStyle name="Normal 4 6 4 3 3 2" xfId="14033" xr:uid="{2C3CBF66-02B8-4736-8B65-543F08BAA9FC}"/>
    <cellStyle name="Normal 4 6 4 3 4" xfId="9815" xr:uid="{CCAD50E7-FAED-4B33-8F0F-8EA869CA305D}"/>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2B7C6ED6-64A7-43EF-946E-77C394E1C171}"/>
    <cellStyle name="Normal 4 6 4 4 2 3" xfId="12373" xr:uid="{39C9325B-6B97-4059-A452-4BD7A6281A72}"/>
    <cellStyle name="Normal 4 6 4 4 3" xfId="6017" xr:uid="{00000000-0005-0000-0000-000086160000}"/>
    <cellStyle name="Normal 4 6 4 4 3 2" xfId="14446" xr:uid="{2470A8A6-2174-4E82-9B49-80D463840391}"/>
    <cellStyle name="Normal 4 6 4 4 4" xfId="10228" xr:uid="{6DF08AAC-E159-4602-A0F2-0EDF76A6F477}"/>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DF1D7FD9-8BCC-4822-9179-E5DC40FB9B02}"/>
    <cellStyle name="Normal 4 6 4 5 2 3" xfId="12786" xr:uid="{E1C976E7-F275-407E-9AAE-B818598AFE0A}"/>
    <cellStyle name="Normal 4 6 4 5 3" xfId="6430" xr:uid="{00000000-0005-0000-0000-00008A160000}"/>
    <cellStyle name="Normal 4 6 4 5 3 2" xfId="14859" xr:uid="{CDB7ED6E-8311-41F5-8322-2C5A75E47419}"/>
    <cellStyle name="Normal 4 6 4 5 4" xfId="10641" xr:uid="{86E8D612-4193-4393-9DC1-C2346C470B14}"/>
    <cellStyle name="Normal 4 6 4 6" xfId="2558" xr:uid="{00000000-0005-0000-0000-00008B160000}"/>
    <cellStyle name="Normal 4 6 4 6 2" xfId="6843" xr:uid="{00000000-0005-0000-0000-00008C160000}"/>
    <cellStyle name="Normal 4 6 4 6 2 2" xfId="15272" xr:uid="{7EA18A18-D896-4CE5-B776-4CB47678CFFA}"/>
    <cellStyle name="Normal 4 6 4 6 3" xfId="11054" xr:uid="{25D41A45-B115-43D5-9188-81C40F423DFE}"/>
    <cellStyle name="Normal 4 6 4 7" xfId="4778" xr:uid="{00000000-0005-0000-0000-00008D160000}"/>
    <cellStyle name="Normal 4 6 4 7 2" xfId="13207" xr:uid="{970ED16B-A25E-4CD5-8CE1-FB688E3E0511}"/>
    <cellStyle name="Normal 4 6 4 8" xfId="8989" xr:uid="{B64B8235-5075-4B59-BB83-2C7D462F2751}"/>
    <cellStyle name="Normal 4 6 5" xfId="870" xr:uid="{00000000-0005-0000-0000-00008E160000}"/>
    <cellStyle name="Normal 4 6 5 2" xfId="3105" xr:uid="{00000000-0005-0000-0000-00008F160000}"/>
    <cellStyle name="Normal 4 6 5 2 2" xfId="7329" xr:uid="{00000000-0005-0000-0000-000090160000}"/>
    <cellStyle name="Normal 4 6 5 2 2 2" xfId="15758" xr:uid="{FE55ED4B-5D6E-4CFC-8960-6BE296B617CF}"/>
    <cellStyle name="Normal 4 6 5 2 3" xfId="11540" xr:uid="{BF4D8481-3A1E-42A9-8C70-CDC1EA27277A}"/>
    <cellStyle name="Normal 4 6 5 3" xfId="5184" xr:uid="{00000000-0005-0000-0000-000091160000}"/>
    <cellStyle name="Normal 4 6 5 3 2" xfId="13613" xr:uid="{69BBA4A8-30D5-41BA-91F6-AFA3FFA7184C}"/>
    <cellStyle name="Normal 4 6 5 4" xfId="9395" xr:uid="{380E62A5-2108-4782-9602-F2063F295489}"/>
    <cellStyle name="Normal 4 6 6" xfId="1288" xr:uid="{00000000-0005-0000-0000-000092160000}"/>
    <cellStyle name="Normal 4 6 6 2" xfId="3518" xr:uid="{00000000-0005-0000-0000-000093160000}"/>
    <cellStyle name="Normal 4 6 6 2 2" xfId="7742" xr:uid="{00000000-0005-0000-0000-000094160000}"/>
    <cellStyle name="Normal 4 6 6 2 2 2" xfId="16171" xr:uid="{5B5B6548-E9DB-495A-8ED3-EBCB5A8C119B}"/>
    <cellStyle name="Normal 4 6 6 2 3" xfId="11953" xr:uid="{08074BA6-67E3-46BA-AD12-63876F3D82BC}"/>
    <cellStyle name="Normal 4 6 6 3" xfId="5597" xr:uid="{00000000-0005-0000-0000-000095160000}"/>
    <cellStyle name="Normal 4 6 6 3 2" xfId="14026" xr:uid="{D108BB91-9CE6-425C-84BB-046CBF1F0EFE}"/>
    <cellStyle name="Normal 4 6 6 4" xfId="9808" xr:uid="{CA3FFFCB-833C-47DF-AB7A-2D3B4B18F7E7}"/>
    <cellStyle name="Normal 4 6 7" xfId="1701" xr:uid="{00000000-0005-0000-0000-000096160000}"/>
    <cellStyle name="Normal 4 6 7 2" xfId="3931" xr:uid="{00000000-0005-0000-0000-000097160000}"/>
    <cellStyle name="Normal 4 6 7 2 2" xfId="8155" xr:uid="{00000000-0005-0000-0000-000098160000}"/>
    <cellStyle name="Normal 4 6 7 2 2 2" xfId="16584" xr:uid="{042DF2EC-128E-476B-9AE4-51A4B9D0AA12}"/>
    <cellStyle name="Normal 4 6 7 2 3" xfId="12366" xr:uid="{07B88F4E-944B-4D79-B6F6-93577A7C4EB9}"/>
    <cellStyle name="Normal 4 6 7 3" xfId="6010" xr:uid="{00000000-0005-0000-0000-000099160000}"/>
    <cellStyle name="Normal 4 6 7 3 2" xfId="14439" xr:uid="{25986A02-A117-43D5-A7BE-4EF11A9BC05A}"/>
    <cellStyle name="Normal 4 6 7 4" xfId="10221" xr:uid="{102B4BC6-A264-4E80-95A0-CA04D98F76EC}"/>
    <cellStyle name="Normal 4 6 8" xfId="2115" xr:uid="{00000000-0005-0000-0000-00009A160000}"/>
    <cellStyle name="Normal 4 6 8 2" xfId="4344" xr:uid="{00000000-0005-0000-0000-00009B160000}"/>
    <cellStyle name="Normal 4 6 8 2 2" xfId="8568" xr:uid="{00000000-0005-0000-0000-00009C160000}"/>
    <cellStyle name="Normal 4 6 8 2 2 2" xfId="16997" xr:uid="{5D314021-1E84-4933-920A-82B016BCFC75}"/>
    <cellStyle name="Normal 4 6 8 2 3" xfId="12779" xr:uid="{0871A55B-499D-4D7C-9550-CC0D7A023554}"/>
    <cellStyle name="Normal 4 6 8 3" xfId="6423" xr:uid="{00000000-0005-0000-0000-00009D160000}"/>
    <cellStyle name="Normal 4 6 8 3 2" xfId="14852" xr:uid="{C7ABFFB0-DD66-4A62-A296-3C28BD91AB64}"/>
    <cellStyle name="Normal 4 6 8 4" xfId="10634" xr:uid="{1CDCE76D-2ADD-4A15-9ADD-EB125119604C}"/>
    <cellStyle name="Normal 4 6 9" xfId="2551" xr:uid="{00000000-0005-0000-0000-00009E160000}"/>
    <cellStyle name="Normal 4 6 9 2" xfId="6836" xr:uid="{00000000-0005-0000-0000-00009F160000}"/>
    <cellStyle name="Normal 4 6 9 2 2" xfId="15265" xr:uid="{230F30A0-85E1-476E-A65D-C0DB38100371}"/>
    <cellStyle name="Normal 4 6 9 3" xfId="11047" xr:uid="{47D852B2-CB0D-42BF-8D14-E89DD2CE82DC}"/>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BD22FBB7-0BDB-4029-9870-78613567A5DA}"/>
    <cellStyle name="Normal 4 7 2 2 2 3" xfId="11549" xr:uid="{DB4C97BC-D85E-4328-AFB2-6169A6480AA9}"/>
    <cellStyle name="Normal 4 7 2 2 3" xfId="5193" xr:uid="{00000000-0005-0000-0000-0000A5160000}"/>
    <cellStyle name="Normal 4 7 2 2 3 2" xfId="13622" xr:uid="{8084BED7-CE73-49F0-A2FA-4B300ADE783B}"/>
    <cellStyle name="Normal 4 7 2 2 4" xfId="9404" xr:uid="{FBE688EE-F29B-4871-89C7-BBFFC03A2554}"/>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30053617-8F61-4469-8610-1D68D3D356B5}"/>
    <cellStyle name="Normal 4 7 2 3 2 3" xfId="11962" xr:uid="{79DD4CC9-ED2B-48F0-B423-10A6A0568296}"/>
    <cellStyle name="Normal 4 7 2 3 3" xfId="5606" xr:uid="{00000000-0005-0000-0000-0000A9160000}"/>
    <cellStyle name="Normal 4 7 2 3 3 2" xfId="14035" xr:uid="{084866DE-FA52-406B-B03A-E81D9781785C}"/>
    <cellStyle name="Normal 4 7 2 3 4" xfId="9817" xr:uid="{0530A15B-E643-4BD8-8C16-D10FF53E2ED4}"/>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9D307AE7-0FEC-4818-B042-8259D3604D67}"/>
    <cellStyle name="Normal 4 7 2 4 2 3" xfId="12375" xr:uid="{003B591F-5172-400C-A187-6E507C466B8F}"/>
    <cellStyle name="Normal 4 7 2 4 3" xfId="6019" xr:uid="{00000000-0005-0000-0000-0000AD160000}"/>
    <cellStyle name="Normal 4 7 2 4 3 2" xfId="14448" xr:uid="{BA4C432B-ED68-4641-A4C4-DB2428AEA43A}"/>
    <cellStyle name="Normal 4 7 2 4 4" xfId="10230" xr:uid="{8248D395-1579-4FF5-BAD8-C2BC24F8A8A8}"/>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1AA61F62-C6F3-4D3F-9ACE-6BBDED362C17}"/>
    <cellStyle name="Normal 4 7 2 5 2 3" xfId="12788" xr:uid="{78E7B88A-ADD4-4683-8CE2-4063EA345952}"/>
    <cellStyle name="Normal 4 7 2 5 3" xfId="6432" xr:uid="{00000000-0005-0000-0000-0000B1160000}"/>
    <cellStyle name="Normal 4 7 2 5 3 2" xfId="14861" xr:uid="{E48D6ED4-F893-43AB-A060-B0A8C899DDAD}"/>
    <cellStyle name="Normal 4 7 2 5 4" xfId="10643" xr:uid="{4CE2BBB8-4844-466D-BCB4-AD5C6CB52148}"/>
    <cellStyle name="Normal 4 7 2 6" xfId="2560" xr:uid="{00000000-0005-0000-0000-0000B2160000}"/>
    <cellStyle name="Normal 4 7 2 6 2" xfId="6845" xr:uid="{00000000-0005-0000-0000-0000B3160000}"/>
    <cellStyle name="Normal 4 7 2 6 2 2" xfId="15274" xr:uid="{7ECFD00E-9B3A-4FEE-BB33-3B59F702B49A}"/>
    <cellStyle name="Normal 4 7 2 6 3" xfId="11056" xr:uid="{01A97EE4-6825-4A65-9506-5B00DE4A88EC}"/>
    <cellStyle name="Normal 4 7 2 7" xfId="4780" xr:uid="{00000000-0005-0000-0000-0000B4160000}"/>
    <cellStyle name="Normal 4 7 2 7 2" xfId="13209" xr:uid="{B36301F2-2AF2-42D2-B77C-4FC0647A21B5}"/>
    <cellStyle name="Normal 4 7 2 8" xfId="8991" xr:uid="{1922D1C2-6E25-4CA0-8805-30E3F8831BCD}"/>
    <cellStyle name="Normal 4 7 3" xfId="878" xr:uid="{00000000-0005-0000-0000-0000B5160000}"/>
    <cellStyle name="Normal 4 7 3 2" xfId="3113" xr:uid="{00000000-0005-0000-0000-0000B6160000}"/>
    <cellStyle name="Normal 4 7 3 2 2" xfId="7337" xr:uid="{00000000-0005-0000-0000-0000B7160000}"/>
    <cellStyle name="Normal 4 7 3 2 2 2" xfId="15766" xr:uid="{922DCBA6-4970-4873-ABFC-5199046048C0}"/>
    <cellStyle name="Normal 4 7 3 2 3" xfId="11548" xr:uid="{CEC856B2-340E-4E8E-B7DD-357EDEF2CFE8}"/>
    <cellStyle name="Normal 4 7 3 3" xfId="5192" xr:uid="{00000000-0005-0000-0000-0000B8160000}"/>
    <cellStyle name="Normal 4 7 3 3 2" xfId="13621" xr:uid="{D0D86F1C-28FB-4D3B-A2A2-E6A8036B2246}"/>
    <cellStyle name="Normal 4 7 3 4" xfId="9403" xr:uid="{EA29DABC-9BFB-4E72-BAE3-045BA8AB71FC}"/>
    <cellStyle name="Normal 4 7 4" xfId="1296" xr:uid="{00000000-0005-0000-0000-0000B9160000}"/>
    <cellStyle name="Normal 4 7 4 2" xfId="3526" xr:uid="{00000000-0005-0000-0000-0000BA160000}"/>
    <cellStyle name="Normal 4 7 4 2 2" xfId="7750" xr:uid="{00000000-0005-0000-0000-0000BB160000}"/>
    <cellStyle name="Normal 4 7 4 2 2 2" xfId="16179" xr:uid="{41EBD0B8-88E4-4889-8964-BA5CA91FD7F7}"/>
    <cellStyle name="Normal 4 7 4 2 3" xfId="11961" xr:uid="{F547E810-DFAB-4CB6-AEFA-BB329209C0F2}"/>
    <cellStyle name="Normal 4 7 4 3" xfId="5605" xr:uid="{00000000-0005-0000-0000-0000BC160000}"/>
    <cellStyle name="Normal 4 7 4 3 2" xfId="14034" xr:uid="{54E8D91D-A17E-4016-B545-607A21D82867}"/>
    <cellStyle name="Normal 4 7 4 4" xfId="9816" xr:uid="{636D06C5-B65E-4BF1-8230-A99FE35E3766}"/>
    <cellStyle name="Normal 4 7 5" xfId="1709" xr:uid="{00000000-0005-0000-0000-0000BD160000}"/>
    <cellStyle name="Normal 4 7 5 2" xfId="3939" xr:uid="{00000000-0005-0000-0000-0000BE160000}"/>
    <cellStyle name="Normal 4 7 5 2 2" xfId="8163" xr:uid="{00000000-0005-0000-0000-0000BF160000}"/>
    <cellStyle name="Normal 4 7 5 2 2 2" xfId="16592" xr:uid="{9B428A35-5E1A-49C1-A33D-4183D5E23634}"/>
    <cellStyle name="Normal 4 7 5 2 3" xfId="12374" xr:uid="{95F19C10-4885-44A5-B834-E5BD76C9F2B0}"/>
    <cellStyle name="Normal 4 7 5 3" xfId="6018" xr:uid="{00000000-0005-0000-0000-0000C0160000}"/>
    <cellStyle name="Normal 4 7 5 3 2" xfId="14447" xr:uid="{6FA1E45C-3D96-4240-B59D-B78214A714BF}"/>
    <cellStyle name="Normal 4 7 5 4" xfId="10229" xr:uid="{499640A4-FE46-456B-8208-2FFBE5E78D16}"/>
    <cellStyle name="Normal 4 7 6" xfId="2123" xr:uid="{00000000-0005-0000-0000-0000C1160000}"/>
    <cellStyle name="Normal 4 7 6 2" xfId="4352" xr:uid="{00000000-0005-0000-0000-0000C2160000}"/>
    <cellStyle name="Normal 4 7 6 2 2" xfId="8576" xr:uid="{00000000-0005-0000-0000-0000C3160000}"/>
    <cellStyle name="Normal 4 7 6 2 2 2" xfId="17005" xr:uid="{97A588FE-80B4-4A9D-A005-AD9981BD5F56}"/>
    <cellStyle name="Normal 4 7 6 2 3" xfId="12787" xr:uid="{E3A98808-728D-4DEF-B840-268F41E03AC5}"/>
    <cellStyle name="Normal 4 7 6 3" xfId="6431" xr:uid="{00000000-0005-0000-0000-0000C4160000}"/>
    <cellStyle name="Normal 4 7 6 3 2" xfId="14860" xr:uid="{2F079B2D-F1DC-4118-BF0C-7B9427E13D1C}"/>
    <cellStyle name="Normal 4 7 6 4" xfId="10642" xr:uid="{2EB3DCA7-2306-4DF5-88B9-34BEA186ABE5}"/>
    <cellStyle name="Normal 4 7 7" xfId="2559" xr:uid="{00000000-0005-0000-0000-0000C5160000}"/>
    <cellStyle name="Normal 4 7 7 2" xfId="6844" xr:uid="{00000000-0005-0000-0000-0000C6160000}"/>
    <cellStyle name="Normal 4 7 7 2 2" xfId="15273" xr:uid="{BE1BDF63-3135-422F-A42C-137FDD3FD1E0}"/>
    <cellStyle name="Normal 4 7 7 3" xfId="11055" xr:uid="{F4121F8A-E847-4E32-B93B-FDD453376E21}"/>
    <cellStyle name="Normal 4 7 8" xfId="4779" xr:uid="{00000000-0005-0000-0000-0000C7160000}"/>
    <cellStyle name="Normal 4 7 8 2" xfId="13208" xr:uid="{B3D652C4-CCC6-4DA3-8C4F-FDC501CAF525}"/>
    <cellStyle name="Normal 4 7 9" xfId="8990" xr:uid="{9AF82B0E-2894-425A-9E93-F1ED393E99EA}"/>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2BBEB83A-D73F-44C0-851C-E394BA8BABF8}"/>
    <cellStyle name="Normal 4 8 2 2 3" xfId="11550" xr:uid="{16656768-8E91-4CBF-BCFF-896E9C7D331D}"/>
    <cellStyle name="Normal 4 8 2 3" xfId="5194" xr:uid="{00000000-0005-0000-0000-0000CC160000}"/>
    <cellStyle name="Normal 4 8 2 3 2" xfId="13623" xr:uid="{3E497722-6047-42BF-BA7F-71906FA439CC}"/>
    <cellStyle name="Normal 4 8 2 4" xfId="9405" xr:uid="{9478E28A-3BFA-4D32-AEB5-57C56C25CA1E}"/>
    <cellStyle name="Normal 4 8 3" xfId="1298" xr:uid="{00000000-0005-0000-0000-0000CD160000}"/>
    <cellStyle name="Normal 4 8 3 2" xfId="3528" xr:uid="{00000000-0005-0000-0000-0000CE160000}"/>
    <cellStyle name="Normal 4 8 3 2 2" xfId="7752" xr:uid="{00000000-0005-0000-0000-0000CF160000}"/>
    <cellStyle name="Normal 4 8 3 2 2 2" xfId="16181" xr:uid="{BD952398-3EE3-41CA-99DC-2C71C46725A0}"/>
    <cellStyle name="Normal 4 8 3 2 3" xfId="11963" xr:uid="{F91DBA60-336F-4292-843B-756B278283E8}"/>
    <cellStyle name="Normal 4 8 3 3" xfId="5607" xr:uid="{00000000-0005-0000-0000-0000D0160000}"/>
    <cellStyle name="Normal 4 8 3 3 2" xfId="14036" xr:uid="{A4287D54-640D-412C-BF51-D104C5689A7F}"/>
    <cellStyle name="Normal 4 8 3 4" xfId="9818" xr:uid="{EE08616D-6C91-4029-A86A-8689F06BF537}"/>
    <cellStyle name="Normal 4 8 4" xfId="1711" xr:uid="{00000000-0005-0000-0000-0000D1160000}"/>
    <cellStyle name="Normal 4 8 4 2" xfId="3941" xr:uid="{00000000-0005-0000-0000-0000D2160000}"/>
    <cellStyle name="Normal 4 8 4 2 2" xfId="8165" xr:uid="{00000000-0005-0000-0000-0000D3160000}"/>
    <cellStyle name="Normal 4 8 4 2 2 2" xfId="16594" xr:uid="{8C3EF112-85DD-43EB-9EDC-DA9532316094}"/>
    <cellStyle name="Normal 4 8 4 2 3" xfId="12376" xr:uid="{E5424FFE-25EC-441A-A246-D8CEDB9C6EBD}"/>
    <cellStyle name="Normal 4 8 4 3" xfId="6020" xr:uid="{00000000-0005-0000-0000-0000D4160000}"/>
    <cellStyle name="Normal 4 8 4 3 2" xfId="14449" xr:uid="{7D28D220-C499-4108-9603-FBE49CEE0273}"/>
    <cellStyle name="Normal 4 8 4 4" xfId="10231" xr:uid="{1B19AB98-0918-4B58-BE35-A91D96399D1C}"/>
    <cellStyle name="Normal 4 8 5" xfId="2125" xr:uid="{00000000-0005-0000-0000-0000D5160000}"/>
    <cellStyle name="Normal 4 8 5 2" xfId="4354" xr:uid="{00000000-0005-0000-0000-0000D6160000}"/>
    <cellStyle name="Normal 4 8 5 2 2" xfId="8578" xr:uid="{00000000-0005-0000-0000-0000D7160000}"/>
    <cellStyle name="Normal 4 8 5 2 2 2" xfId="17007" xr:uid="{D965A189-A8FB-4E1F-A266-3E6A78F6ABA9}"/>
    <cellStyle name="Normal 4 8 5 2 3" xfId="12789" xr:uid="{BCE4203C-52ED-42C7-8B2E-3251421DD95B}"/>
    <cellStyle name="Normal 4 8 5 3" xfId="6433" xr:uid="{00000000-0005-0000-0000-0000D8160000}"/>
    <cellStyle name="Normal 4 8 5 3 2" xfId="14862" xr:uid="{0FD4DE8C-E5E3-48AA-BE77-158974016955}"/>
    <cellStyle name="Normal 4 8 5 4" xfId="10644" xr:uid="{C1BAC03B-E15A-4CFA-94F1-61D353CE8061}"/>
    <cellStyle name="Normal 4 8 6" xfId="2561" xr:uid="{00000000-0005-0000-0000-0000D9160000}"/>
    <cellStyle name="Normal 4 8 6 2" xfId="6846" xr:uid="{00000000-0005-0000-0000-0000DA160000}"/>
    <cellStyle name="Normal 4 8 6 2 2" xfId="15275" xr:uid="{A08B55AC-B1F4-4FC5-AA1E-A2DED1E4D476}"/>
    <cellStyle name="Normal 4 8 6 3" xfId="11057" xr:uid="{0B4222DA-C084-41BD-8B4A-039C12A7EDCC}"/>
    <cellStyle name="Normal 4 8 7" xfId="4781" xr:uid="{00000000-0005-0000-0000-0000DB160000}"/>
    <cellStyle name="Normal 4 8 7 2" xfId="13210" xr:uid="{B8D09536-0D9A-49DA-BDAC-972043B38462}"/>
    <cellStyle name="Normal 4 8 8" xfId="8992" xr:uid="{BB077F65-552D-48D5-A29C-31111A59A8E4}"/>
    <cellStyle name="Normal 4 9" xfId="4718" xr:uid="{00000000-0005-0000-0000-0000DC160000}"/>
    <cellStyle name="Normal 4 9 2" xfId="13147" xr:uid="{363494E5-08F0-4A8C-B38A-AC82FCB8338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3B77EC81-31BF-41C3-8ED7-457C0F70C0DC}"/>
    <cellStyle name="Normal 5 10 2 3" xfId="12377" xr:uid="{ECB945D3-F3A4-4223-92C7-A9E619FC92D3}"/>
    <cellStyle name="Normal 5 10 3" xfId="6021" xr:uid="{00000000-0005-0000-0000-0000E1160000}"/>
    <cellStyle name="Normal 5 10 3 2" xfId="14450" xr:uid="{6F936BCF-40C0-4830-AB0E-4C5A741B2669}"/>
    <cellStyle name="Normal 5 10 4" xfId="10232" xr:uid="{F7284050-A91D-4930-90C3-994A7AA72E42}"/>
    <cellStyle name="Normal 5 11" xfId="2126" xr:uid="{00000000-0005-0000-0000-0000E2160000}"/>
    <cellStyle name="Normal 5 11 2" xfId="4355" xr:uid="{00000000-0005-0000-0000-0000E3160000}"/>
    <cellStyle name="Normal 5 11 2 2" xfId="8579" xr:uid="{00000000-0005-0000-0000-0000E4160000}"/>
    <cellStyle name="Normal 5 11 2 2 2" xfId="17008" xr:uid="{44CCD460-C5D3-4AA7-B657-CCC8BB7DA85E}"/>
    <cellStyle name="Normal 5 11 2 3" xfId="12790" xr:uid="{B44F3CCB-9101-45D3-A2E7-9450C09ECE31}"/>
    <cellStyle name="Normal 5 11 3" xfId="6434" xr:uid="{00000000-0005-0000-0000-0000E5160000}"/>
    <cellStyle name="Normal 5 11 3 2" xfId="14863" xr:uid="{EE8A77C8-485D-4EA5-B4C0-3FFDE356A5FA}"/>
    <cellStyle name="Normal 5 11 4" xfId="10645" xr:uid="{70396D1A-73E6-4700-B9BC-A853E4D2F1FB}"/>
    <cellStyle name="Normal 5 12" xfId="2562" xr:uid="{00000000-0005-0000-0000-0000E6160000}"/>
    <cellStyle name="Normal 5 12 2" xfId="6847" xr:uid="{00000000-0005-0000-0000-0000E7160000}"/>
    <cellStyle name="Normal 5 12 2 2" xfId="15276" xr:uid="{BFE8B4A0-FEFA-45FE-ADBB-E228A20629E9}"/>
    <cellStyle name="Normal 5 12 3" xfId="11058" xr:uid="{F3E565EE-3694-4D0E-A9A2-031E54343C59}"/>
    <cellStyle name="Normal 5 13" xfId="4782" xr:uid="{00000000-0005-0000-0000-0000E8160000}"/>
    <cellStyle name="Normal 5 13 2" xfId="13211" xr:uid="{9C73F58E-09AB-4E9B-84B5-0624CF0BEBBC}"/>
    <cellStyle name="Normal 5 14" xfId="8993" xr:uid="{54080947-91B3-4732-B467-9888637539B5}"/>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770B214F-5F90-4D13-A5FD-A3FF06303530}"/>
    <cellStyle name="Normal 5 2 10 2 3" xfId="12791" xr:uid="{D6914107-76B0-4D07-A707-587C8998390D}"/>
    <cellStyle name="Normal 5 2 10 3" xfId="6435" xr:uid="{00000000-0005-0000-0000-0000ED160000}"/>
    <cellStyle name="Normal 5 2 10 3 2" xfId="14864" xr:uid="{8F8FE2B2-6794-405F-AA0E-384A39515234}"/>
    <cellStyle name="Normal 5 2 10 4" xfId="10646" xr:uid="{6ADA4CBB-DA83-4464-8C13-EA2483BB9CD1}"/>
    <cellStyle name="Normal 5 2 11" xfId="2563" xr:uid="{00000000-0005-0000-0000-0000EE160000}"/>
    <cellStyle name="Normal 5 2 11 2" xfId="6848" xr:uid="{00000000-0005-0000-0000-0000EF160000}"/>
    <cellStyle name="Normal 5 2 11 2 2" xfId="15277" xr:uid="{F1C7A218-0285-4876-8141-28BD1361F44A}"/>
    <cellStyle name="Normal 5 2 11 3" xfId="11059" xr:uid="{CB3346C9-6040-498B-A0BB-DB163DDEB30C}"/>
    <cellStyle name="Normal 5 2 12" xfId="4783" xr:uid="{00000000-0005-0000-0000-0000F0160000}"/>
    <cellStyle name="Normal 5 2 12 2" xfId="13212" xr:uid="{B3DF8A77-FA07-4BDD-8585-DCF2B2940C1C}"/>
    <cellStyle name="Normal 5 2 13" xfId="8994" xr:uid="{1B190B65-7EC5-44AF-A129-74F3A0F13A20}"/>
    <cellStyle name="Normal 5 2 2" xfId="408" xr:uid="{00000000-0005-0000-0000-0000F1160000}"/>
    <cellStyle name="Normal 5 2 2 10" xfId="2564" xr:uid="{00000000-0005-0000-0000-0000F2160000}"/>
    <cellStyle name="Normal 5 2 2 10 2" xfId="6849" xr:uid="{00000000-0005-0000-0000-0000F3160000}"/>
    <cellStyle name="Normal 5 2 2 10 2 2" xfId="15278" xr:uid="{B8AD20F1-EADA-471D-901A-908E9F844B6E}"/>
    <cellStyle name="Normal 5 2 2 10 3" xfId="11060" xr:uid="{5BE8E6FD-72E3-48D0-A6F3-E4917F67586B}"/>
    <cellStyle name="Normal 5 2 2 11" xfId="4784" xr:uid="{00000000-0005-0000-0000-0000F4160000}"/>
    <cellStyle name="Normal 5 2 2 11 2" xfId="13213" xr:uid="{56F88D95-B818-4DC5-B52B-B5E4CA7D5989}"/>
    <cellStyle name="Normal 5 2 2 12" xfId="8995" xr:uid="{B2182316-7230-46AB-8920-1BD76F10DD86}"/>
    <cellStyle name="Normal 5 2 2 2" xfId="409" xr:uid="{00000000-0005-0000-0000-0000F5160000}"/>
    <cellStyle name="Normal 5 2 2 2 10" xfId="4785" xr:uid="{00000000-0005-0000-0000-0000F6160000}"/>
    <cellStyle name="Normal 5 2 2 2 10 2" xfId="13214" xr:uid="{BA2F1D6B-DC84-45EA-BA84-02712BFC7CE4}"/>
    <cellStyle name="Normal 5 2 2 2 11" xfId="8996" xr:uid="{85D49D82-37CE-46F0-97DD-E3FC398CC09C}"/>
    <cellStyle name="Normal 5 2 2 2 2" xfId="410" xr:uid="{00000000-0005-0000-0000-0000F7160000}"/>
    <cellStyle name="Normal 5 2 2 2 2 10" xfId="8997" xr:uid="{1A5680C1-1DED-4795-BF13-455A126A0733}"/>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10924A86-AD5D-47E5-BDE0-70943610DABC}"/>
    <cellStyle name="Normal 5 2 2 2 2 2 2 2 2 3" xfId="11557" xr:uid="{3B792B1C-051D-4B49-BA9D-76EA9A45280A}"/>
    <cellStyle name="Normal 5 2 2 2 2 2 2 2 3" xfId="5201" xr:uid="{00000000-0005-0000-0000-0000FD160000}"/>
    <cellStyle name="Normal 5 2 2 2 2 2 2 2 3 2" xfId="13630" xr:uid="{071CE5A8-3485-4287-9F7C-BBF48DE2E970}"/>
    <cellStyle name="Normal 5 2 2 2 2 2 2 2 4" xfId="9412" xr:uid="{66EF930D-6DB1-4FDF-A00A-0E0437B1181D}"/>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F7E1628B-2423-41A3-8626-29FA85E1AFCE}"/>
    <cellStyle name="Normal 5 2 2 2 2 2 2 3 2 3" xfId="11970" xr:uid="{E0C5C237-63EB-47F4-947D-8E8AE14132BC}"/>
    <cellStyle name="Normal 5 2 2 2 2 2 2 3 3" xfId="5614" xr:uid="{00000000-0005-0000-0000-000001170000}"/>
    <cellStyle name="Normal 5 2 2 2 2 2 2 3 3 2" xfId="14043" xr:uid="{F8C2DFB1-F918-4243-A095-DE5E9F1469D4}"/>
    <cellStyle name="Normal 5 2 2 2 2 2 2 3 4" xfId="9825" xr:uid="{B3B8EB21-2405-4FED-BDB0-3854C84ABEFB}"/>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B61CFF24-7882-4417-98EF-8A4AFE2CB5C4}"/>
    <cellStyle name="Normal 5 2 2 2 2 2 2 4 2 3" xfId="12383" xr:uid="{D11365B6-3FE4-40DC-91E0-EBF99DB5BC6B}"/>
    <cellStyle name="Normal 5 2 2 2 2 2 2 4 3" xfId="6027" xr:uid="{00000000-0005-0000-0000-000005170000}"/>
    <cellStyle name="Normal 5 2 2 2 2 2 2 4 3 2" xfId="14456" xr:uid="{4DCEC383-9397-4AD1-B30D-E5B19973C933}"/>
    <cellStyle name="Normal 5 2 2 2 2 2 2 4 4" xfId="10238" xr:uid="{EC3D4375-DE83-4E55-BDF4-6B31F2EC678A}"/>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E266EB17-F45F-47F5-9352-0985D19867F0}"/>
    <cellStyle name="Normal 5 2 2 2 2 2 2 5 2 3" xfId="12796" xr:uid="{FEEB00B3-4124-40C7-8D53-27FCC9486D1D}"/>
    <cellStyle name="Normal 5 2 2 2 2 2 2 5 3" xfId="6440" xr:uid="{00000000-0005-0000-0000-000009170000}"/>
    <cellStyle name="Normal 5 2 2 2 2 2 2 5 3 2" xfId="14869" xr:uid="{BDB1AE0D-C16E-4786-9BA1-DB7E02C741A2}"/>
    <cellStyle name="Normal 5 2 2 2 2 2 2 5 4" xfId="10651" xr:uid="{865D608F-23B6-4218-97EF-74CE3FC5A828}"/>
    <cellStyle name="Normal 5 2 2 2 2 2 2 6" xfId="2568" xr:uid="{00000000-0005-0000-0000-00000A170000}"/>
    <cellStyle name="Normal 5 2 2 2 2 2 2 6 2" xfId="6853" xr:uid="{00000000-0005-0000-0000-00000B170000}"/>
    <cellStyle name="Normal 5 2 2 2 2 2 2 6 2 2" xfId="15282" xr:uid="{C6F8266B-856F-4DDC-B31C-5AA88FF96026}"/>
    <cellStyle name="Normal 5 2 2 2 2 2 2 6 3" xfId="11064" xr:uid="{7C6678F7-91A6-4560-A10C-AA0C3E2AB9B6}"/>
    <cellStyle name="Normal 5 2 2 2 2 2 2 7" xfId="4788" xr:uid="{00000000-0005-0000-0000-00000C170000}"/>
    <cellStyle name="Normal 5 2 2 2 2 2 2 7 2" xfId="13217" xr:uid="{264EA17F-7FF6-42D0-84EF-F653D42CD87C}"/>
    <cellStyle name="Normal 5 2 2 2 2 2 2 8" xfId="8999" xr:uid="{4C99946C-99A2-4FB3-AC4A-FC63D7C7824E}"/>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4085D119-16AE-4CAE-AEC0-446243262510}"/>
    <cellStyle name="Normal 5 2 2 2 2 2 3 2 3" xfId="11556" xr:uid="{474E6F5B-4087-432E-AFBC-9F118DF39E90}"/>
    <cellStyle name="Normal 5 2 2 2 2 2 3 3" xfId="5200" xr:uid="{00000000-0005-0000-0000-000010170000}"/>
    <cellStyle name="Normal 5 2 2 2 2 2 3 3 2" xfId="13629" xr:uid="{940BE517-DEA3-47AE-B38C-0C539E1413B8}"/>
    <cellStyle name="Normal 5 2 2 2 2 2 3 4" xfId="9411" xr:uid="{BFDCB0D3-C5F2-4019-BED5-1F577BE0EA82}"/>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4086A01C-6618-440A-85BD-5009D3BC73CD}"/>
    <cellStyle name="Normal 5 2 2 2 2 2 4 2 3" xfId="11969" xr:uid="{5413D0C8-EEEC-4ABE-9368-F07DE497629B}"/>
    <cellStyle name="Normal 5 2 2 2 2 2 4 3" xfId="5613" xr:uid="{00000000-0005-0000-0000-000014170000}"/>
    <cellStyle name="Normal 5 2 2 2 2 2 4 3 2" xfId="14042" xr:uid="{C30CA52C-892F-47C3-A5C5-39E62D04ECBD}"/>
    <cellStyle name="Normal 5 2 2 2 2 2 4 4" xfId="9824" xr:uid="{408AB404-AF9B-4F3D-BE2E-D6B699432476}"/>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DF4524AA-0E91-44FA-BE9A-FF49BE1E45CC}"/>
    <cellStyle name="Normal 5 2 2 2 2 2 5 2 3" xfId="12382" xr:uid="{FA743EAC-9974-4C17-A846-77FC9D474A4A}"/>
    <cellStyle name="Normal 5 2 2 2 2 2 5 3" xfId="6026" xr:uid="{00000000-0005-0000-0000-000018170000}"/>
    <cellStyle name="Normal 5 2 2 2 2 2 5 3 2" xfId="14455" xr:uid="{DCFB60CC-D3F6-4D2C-8BED-C2BBDA27D703}"/>
    <cellStyle name="Normal 5 2 2 2 2 2 5 4" xfId="10237" xr:uid="{6D4AA652-845E-4DD6-86E0-D87BC91E3135}"/>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184968E3-D675-4471-99D7-D6BAC07A789A}"/>
    <cellStyle name="Normal 5 2 2 2 2 2 6 2 3" xfId="12795" xr:uid="{D9E2819D-C6EC-46BD-B657-B343B2080EAA}"/>
    <cellStyle name="Normal 5 2 2 2 2 2 6 3" xfId="6439" xr:uid="{00000000-0005-0000-0000-00001C170000}"/>
    <cellStyle name="Normal 5 2 2 2 2 2 6 3 2" xfId="14868" xr:uid="{738049F8-79E5-4D44-8249-8049442C0233}"/>
    <cellStyle name="Normal 5 2 2 2 2 2 6 4" xfId="10650" xr:uid="{3D3F036F-48E8-4608-A57C-727D65B4423F}"/>
    <cellStyle name="Normal 5 2 2 2 2 2 7" xfId="2567" xr:uid="{00000000-0005-0000-0000-00001D170000}"/>
    <cellStyle name="Normal 5 2 2 2 2 2 7 2" xfId="6852" xr:uid="{00000000-0005-0000-0000-00001E170000}"/>
    <cellStyle name="Normal 5 2 2 2 2 2 7 2 2" xfId="15281" xr:uid="{33B5EFF0-0C21-461F-B6A0-9B2332C38579}"/>
    <cellStyle name="Normal 5 2 2 2 2 2 7 3" xfId="11063" xr:uid="{C768840D-83C1-4374-88C7-75F2284A597F}"/>
    <cellStyle name="Normal 5 2 2 2 2 2 8" xfId="4787" xr:uid="{00000000-0005-0000-0000-00001F170000}"/>
    <cellStyle name="Normal 5 2 2 2 2 2 8 2" xfId="13216" xr:uid="{2E7396F9-DCF0-4866-9B33-D6296E4E00D1}"/>
    <cellStyle name="Normal 5 2 2 2 2 2 9" xfId="8998" xr:uid="{18D0B2A9-C35B-420E-8D97-88BFBB8252DE}"/>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907AF602-EC2E-408E-A18A-A1F43A61F458}"/>
    <cellStyle name="Normal 5 2 2 2 2 3 2 2 3" xfId="11558" xr:uid="{1FCAB2C7-3EE0-4AE0-9F61-3CCD3963AF02}"/>
    <cellStyle name="Normal 5 2 2 2 2 3 2 3" xfId="5202" xr:uid="{00000000-0005-0000-0000-000024170000}"/>
    <cellStyle name="Normal 5 2 2 2 2 3 2 3 2" xfId="13631" xr:uid="{4CC5F5A5-9DFF-43F9-B70E-22A093BC7D33}"/>
    <cellStyle name="Normal 5 2 2 2 2 3 2 4" xfId="9413" xr:uid="{FF8304A9-D827-48EC-A5DE-D71921B5B71A}"/>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8D78E55F-3B5D-4118-ABD1-7A753D4BB31C}"/>
    <cellStyle name="Normal 5 2 2 2 2 3 3 2 3" xfId="11971" xr:uid="{42447B31-CA49-482A-BCFE-8CC7DEAF26A6}"/>
    <cellStyle name="Normal 5 2 2 2 2 3 3 3" xfId="5615" xr:uid="{00000000-0005-0000-0000-000028170000}"/>
    <cellStyle name="Normal 5 2 2 2 2 3 3 3 2" xfId="14044" xr:uid="{4FD94B64-C2C8-4931-88B1-2893689ECEB7}"/>
    <cellStyle name="Normal 5 2 2 2 2 3 3 4" xfId="9826" xr:uid="{52342314-1C7B-4C95-896B-3898825AE56A}"/>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83F4AE2A-621B-40F6-AA01-ADF7CCBCA1F4}"/>
    <cellStyle name="Normal 5 2 2 2 2 3 4 2 3" xfId="12384" xr:uid="{BC8097AC-0FEE-4AD6-A7C9-6CB78E9A3AA1}"/>
    <cellStyle name="Normal 5 2 2 2 2 3 4 3" xfId="6028" xr:uid="{00000000-0005-0000-0000-00002C170000}"/>
    <cellStyle name="Normal 5 2 2 2 2 3 4 3 2" xfId="14457" xr:uid="{629E8A3F-9D79-4428-BB9F-F6BDD09C27D7}"/>
    <cellStyle name="Normal 5 2 2 2 2 3 4 4" xfId="10239" xr:uid="{876FB746-4822-46EF-A893-3B2DD769D3C6}"/>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89F79DCA-1DC1-4540-A74C-FA3C29522AC3}"/>
    <cellStyle name="Normal 5 2 2 2 2 3 5 2 3" xfId="12797" xr:uid="{0B234C14-FEB5-4EA5-B2B4-8E5A8A30AE65}"/>
    <cellStyle name="Normal 5 2 2 2 2 3 5 3" xfId="6441" xr:uid="{00000000-0005-0000-0000-000030170000}"/>
    <cellStyle name="Normal 5 2 2 2 2 3 5 3 2" xfId="14870" xr:uid="{F094E039-7206-455C-94A1-CEA15EBD2F61}"/>
    <cellStyle name="Normal 5 2 2 2 2 3 5 4" xfId="10652" xr:uid="{9F7B2C70-E7B8-4110-A2CE-3E90FF3B3AAB}"/>
    <cellStyle name="Normal 5 2 2 2 2 3 6" xfId="2569" xr:uid="{00000000-0005-0000-0000-000031170000}"/>
    <cellStyle name="Normal 5 2 2 2 2 3 6 2" xfId="6854" xr:uid="{00000000-0005-0000-0000-000032170000}"/>
    <cellStyle name="Normal 5 2 2 2 2 3 6 2 2" xfId="15283" xr:uid="{DB333B3B-08AB-4999-B8F1-37ED37D19CF8}"/>
    <cellStyle name="Normal 5 2 2 2 2 3 6 3" xfId="11065" xr:uid="{188135C0-577A-4444-9850-30F591BC2302}"/>
    <cellStyle name="Normal 5 2 2 2 2 3 7" xfId="4789" xr:uid="{00000000-0005-0000-0000-000033170000}"/>
    <cellStyle name="Normal 5 2 2 2 2 3 7 2" xfId="13218" xr:uid="{BF2DAAF8-5DD0-471C-9F87-0FC8C89C4ABA}"/>
    <cellStyle name="Normal 5 2 2 2 2 3 8" xfId="9000" xr:uid="{EECA0013-5C3A-47F4-A80B-E863AAEDFCC4}"/>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B1719B0C-5178-4D86-A238-D4A9A3DA1CDC}"/>
    <cellStyle name="Normal 5 2 2 2 2 4 2 3" xfId="11555" xr:uid="{B7C5F054-81C3-47B0-A82A-D1F6F98DFC23}"/>
    <cellStyle name="Normal 5 2 2 2 2 4 3" xfId="5199" xr:uid="{00000000-0005-0000-0000-000037170000}"/>
    <cellStyle name="Normal 5 2 2 2 2 4 3 2" xfId="13628" xr:uid="{460B7AC0-43AC-475D-A7FA-FB501954467A}"/>
    <cellStyle name="Normal 5 2 2 2 2 4 4" xfId="9410" xr:uid="{9D572029-E1E5-4C8D-AF95-7CE095FBDC83}"/>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988FCC6E-5E4B-4BDD-98D6-A74B01941545}"/>
    <cellStyle name="Normal 5 2 2 2 2 5 2 3" xfId="11968" xr:uid="{DDD77539-8548-4E15-84C9-DD121801260B}"/>
    <cellStyle name="Normal 5 2 2 2 2 5 3" xfId="5612" xr:uid="{00000000-0005-0000-0000-00003B170000}"/>
    <cellStyle name="Normal 5 2 2 2 2 5 3 2" xfId="14041" xr:uid="{98934FD6-4717-4068-9839-1F8857988B4F}"/>
    <cellStyle name="Normal 5 2 2 2 2 5 4" xfId="9823" xr:uid="{E63C4D36-4B7E-4D2D-951D-757D04EBEE65}"/>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1B9C18F4-B14F-4519-817A-30BFEEDEDC64}"/>
    <cellStyle name="Normal 5 2 2 2 2 6 2 3" xfId="12381" xr:uid="{E5F71183-71DC-4E7B-94E9-B8AC5D7DF018}"/>
    <cellStyle name="Normal 5 2 2 2 2 6 3" xfId="6025" xr:uid="{00000000-0005-0000-0000-00003F170000}"/>
    <cellStyle name="Normal 5 2 2 2 2 6 3 2" xfId="14454" xr:uid="{10E78287-0B43-474C-ACF6-9659257C0E7D}"/>
    <cellStyle name="Normal 5 2 2 2 2 6 4" xfId="10236" xr:uid="{53662B65-830B-4D6C-A617-93E5B85D7A34}"/>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DDE2AD5D-B140-4034-AC53-B81A0E33BE67}"/>
    <cellStyle name="Normal 5 2 2 2 2 7 2 3" xfId="12794" xr:uid="{607B8EEF-40D1-46BA-B41A-F6CFBFC45FB8}"/>
    <cellStyle name="Normal 5 2 2 2 2 7 3" xfId="6438" xr:uid="{00000000-0005-0000-0000-000043170000}"/>
    <cellStyle name="Normal 5 2 2 2 2 7 3 2" xfId="14867" xr:uid="{44318E6F-5254-4014-AF88-9D47DF9843A1}"/>
    <cellStyle name="Normal 5 2 2 2 2 7 4" xfId="10649" xr:uid="{B80D579B-57B6-4A47-AC03-DB4CC1091CF1}"/>
    <cellStyle name="Normal 5 2 2 2 2 8" xfId="2566" xr:uid="{00000000-0005-0000-0000-000044170000}"/>
    <cellStyle name="Normal 5 2 2 2 2 8 2" xfId="6851" xr:uid="{00000000-0005-0000-0000-000045170000}"/>
    <cellStyle name="Normal 5 2 2 2 2 8 2 2" xfId="15280" xr:uid="{1F412CC5-6213-480A-8012-6664549CFA9D}"/>
    <cellStyle name="Normal 5 2 2 2 2 8 3" xfId="11062" xr:uid="{375D48B3-88F7-406C-A2B7-7AF3A5093DD2}"/>
    <cellStyle name="Normal 5 2 2 2 2 9" xfId="4786" xr:uid="{00000000-0005-0000-0000-000046170000}"/>
    <cellStyle name="Normal 5 2 2 2 2 9 2" xfId="13215" xr:uid="{44FB7F25-7D17-4AE4-B6BB-BBDA5056DADB}"/>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C207A0C1-AF80-4649-BB34-271DD5C1BFDA}"/>
    <cellStyle name="Normal 5 2 2 2 3 2 2 2 3" xfId="11560" xr:uid="{61AE82D3-850F-45DC-A791-4DCF9DE2328D}"/>
    <cellStyle name="Normal 5 2 2 2 3 2 2 3" xfId="5204" xr:uid="{00000000-0005-0000-0000-00004C170000}"/>
    <cellStyle name="Normal 5 2 2 2 3 2 2 3 2" xfId="13633" xr:uid="{E520A585-5EE7-49E6-9E7F-6100D0454A7A}"/>
    <cellStyle name="Normal 5 2 2 2 3 2 2 4" xfId="9415" xr:uid="{F8A1A928-5A9C-42E1-9744-1399097257F4}"/>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A69EAFF9-6CF8-441B-973D-747081CECB7C}"/>
    <cellStyle name="Normal 5 2 2 2 3 2 3 2 3" xfId="11973" xr:uid="{37717A61-1FF9-47CD-88AD-E1B4107152FC}"/>
    <cellStyle name="Normal 5 2 2 2 3 2 3 3" xfId="5617" xr:uid="{00000000-0005-0000-0000-000050170000}"/>
    <cellStyle name="Normal 5 2 2 2 3 2 3 3 2" xfId="14046" xr:uid="{D218508E-E8A2-4864-ADA5-6F20C4FE006F}"/>
    <cellStyle name="Normal 5 2 2 2 3 2 3 4" xfId="9828" xr:uid="{4BD5D090-E257-4934-8CAF-F1025CAF3DBE}"/>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D2D1CA91-06F2-4672-A485-0A057DAB1871}"/>
    <cellStyle name="Normal 5 2 2 2 3 2 4 2 3" xfId="12386" xr:uid="{112EFF3F-E58C-4D0F-818C-0BFACDED0833}"/>
    <cellStyle name="Normal 5 2 2 2 3 2 4 3" xfId="6030" xr:uid="{00000000-0005-0000-0000-000054170000}"/>
    <cellStyle name="Normal 5 2 2 2 3 2 4 3 2" xfId="14459" xr:uid="{9FB6E052-5954-4FF2-8CCE-C7E5DD720B07}"/>
    <cellStyle name="Normal 5 2 2 2 3 2 4 4" xfId="10241" xr:uid="{25EFAF5E-AFE3-4F1A-94D1-C8EB36ACFE94}"/>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0FD56D9D-9B3A-4C66-8A7D-75A60889AF7E}"/>
    <cellStyle name="Normal 5 2 2 2 3 2 5 2 3" xfId="12799" xr:uid="{1C92A1DE-F4A9-44A0-833C-A1DEF9F91A37}"/>
    <cellStyle name="Normal 5 2 2 2 3 2 5 3" xfId="6443" xr:uid="{00000000-0005-0000-0000-000058170000}"/>
    <cellStyle name="Normal 5 2 2 2 3 2 5 3 2" xfId="14872" xr:uid="{7C411148-3066-43BD-8C26-818EC12D8DFD}"/>
    <cellStyle name="Normal 5 2 2 2 3 2 5 4" xfId="10654" xr:uid="{562F5114-C28C-4EFD-A599-F9146F85146D}"/>
    <cellStyle name="Normal 5 2 2 2 3 2 6" xfId="2571" xr:uid="{00000000-0005-0000-0000-000059170000}"/>
    <cellStyle name="Normal 5 2 2 2 3 2 6 2" xfId="6856" xr:uid="{00000000-0005-0000-0000-00005A170000}"/>
    <cellStyle name="Normal 5 2 2 2 3 2 6 2 2" xfId="15285" xr:uid="{8BEB5C30-18BF-4C4D-A3A1-7BC576298CD9}"/>
    <cellStyle name="Normal 5 2 2 2 3 2 6 3" xfId="11067" xr:uid="{8B4973E8-BD22-466C-B717-9F6779CC785D}"/>
    <cellStyle name="Normal 5 2 2 2 3 2 7" xfId="4791" xr:uid="{00000000-0005-0000-0000-00005B170000}"/>
    <cellStyle name="Normal 5 2 2 2 3 2 7 2" xfId="13220" xr:uid="{9F24CAE0-CE25-4866-8005-53F3A71B6D9B}"/>
    <cellStyle name="Normal 5 2 2 2 3 2 8" xfId="9002" xr:uid="{ED806258-6C33-4B25-A63B-222D04B8C4FE}"/>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BF8C351A-769B-40B5-8B76-B6642F4FB37E}"/>
    <cellStyle name="Normal 5 2 2 2 3 3 2 3" xfId="11559" xr:uid="{798E92F9-0FDC-4C85-A97F-83A5A56F0A2F}"/>
    <cellStyle name="Normal 5 2 2 2 3 3 3" xfId="5203" xr:uid="{00000000-0005-0000-0000-00005F170000}"/>
    <cellStyle name="Normal 5 2 2 2 3 3 3 2" xfId="13632" xr:uid="{8C39AE64-F015-4163-9138-7BD9CD80A206}"/>
    <cellStyle name="Normal 5 2 2 2 3 3 4" xfId="9414" xr:uid="{627DD947-25CF-4015-885D-A7A2EB9C7776}"/>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C61C9E82-D103-4F9F-8BD3-F791022B93F6}"/>
    <cellStyle name="Normal 5 2 2 2 3 4 2 3" xfId="11972" xr:uid="{657697B5-B824-4864-AFD7-CE8BCD5BEA2C}"/>
    <cellStyle name="Normal 5 2 2 2 3 4 3" xfId="5616" xr:uid="{00000000-0005-0000-0000-000063170000}"/>
    <cellStyle name="Normal 5 2 2 2 3 4 3 2" xfId="14045" xr:uid="{734A5733-D046-499E-8409-5AEA380A3BC3}"/>
    <cellStyle name="Normal 5 2 2 2 3 4 4" xfId="9827" xr:uid="{B3FD73D8-93DE-4485-BD68-B3BA08E40D5C}"/>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4B089392-30FD-4FFD-8761-60F7FBA5D0AA}"/>
    <cellStyle name="Normal 5 2 2 2 3 5 2 3" xfId="12385" xr:uid="{FE1DBE6B-649D-44D3-8236-FB0300183130}"/>
    <cellStyle name="Normal 5 2 2 2 3 5 3" xfId="6029" xr:uid="{00000000-0005-0000-0000-000067170000}"/>
    <cellStyle name="Normal 5 2 2 2 3 5 3 2" xfId="14458" xr:uid="{235492E0-0651-4F48-848F-9FF617E0CBBA}"/>
    <cellStyle name="Normal 5 2 2 2 3 5 4" xfId="10240" xr:uid="{D15F0860-895E-402C-BFE7-2515B65E31A5}"/>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B11B755D-50CE-4525-96E5-04917151EB3A}"/>
    <cellStyle name="Normal 5 2 2 2 3 6 2 3" xfId="12798" xr:uid="{E717CEDE-EEC3-4603-ACF2-21E25E0D35C6}"/>
    <cellStyle name="Normal 5 2 2 2 3 6 3" xfId="6442" xr:uid="{00000000-0005-0000-0000-00006B170000}"/>
    <cellStyle name="Normal 5 2 2 2 3 6 3 2" xfId="14871" xr:uid="{CA1D6A3A-99CA-4173-9608-5391873EB943}"/>
    <cellStyle name="Normal 5 2 2 2 3 6 4" xfId="10653" xr:uid="{67281005-73BF-4E1C-85A6-07BFA052AFA7}"/>
    <cellStyle name="Normal 5 2 2 2 3 7" xfId="2570" xr:uid="{00000000-0005-0000-0000-00006C170000}"/>
    <cellStyle name="Normal 5 2 2 2 3 7 2" xfId="6855" xr:uid="{00000000-0005-0000-0000-00006D170000}"/>
    <cellStyle name="Normal 5 2 2 2 3 7 2 2" xfId="15284" xr:uid="{4D4D7CC5-BFD6-4376-81D5-3475842E7E2D}"/>
    <cellStyle name="Normal 5 2 2 2 3 7 3" xfId="11066" xr:uid="{B7BCB4AD-AA94-4527-B6D9-2484C00C1CC7}"/>
    <cellStyle name="Normal 5 2 2 2 3 8" xfId="4790" xr:uid="{00000000-0005-0000-0000-00006E170000}"/>
    <cellStyle name="Normal 5 2 2 2 3 8 2" xfId="13219" xr:uid="{405DFA42-065C-4CAF-A022-0B54F54C1B35}"/>
    <cellStyle name="Normal 5 2 2 2 3 9" xfId="9001" xr:uid="{D693D9BF-7661-4F5F-BBC4-9FFAA51669F4}"/>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F8F64537-21BC-47F8-8F6C-0786944A2EB3}"/>
    <cellStyle name="Normal 5 2 2 2 4 2 2 3" xfId="11561" xr:uid="{CBB0D7F6-577F-4410-87BB-8636D66293A4}"/>
    <cellStyle name="Normal 5 2 2 2 4 2 3" xfId="5205" xr:uid="{00000000-0005-0000-0000-000073170000}"/>
    <cellStyle name="Normal 5 2 2 2 4 2 3 2" xfId="13634" xr:uid="{3DEC8C1A-CFB9-49E9-AA43-FBD34D6C4108}"/>
    <cellStyle name="Normal 5 2 2 2 4 2 4" xfId="9416" xr:uid="{E0E79343-2569-4261-A03D-41E89225C902}"/>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1CB2E022-B01D-4214-886F-50406FB842A6}"/>
    <cellStyle name="Normal 5 2 2 2 4 3 2 3" xfId="11974" xr:uid="{8417477F-7877-42CF-B27B-73A387DC7EDD}"/>
    <cellStyle name="Normal 5 2 2 2 4 3 3" xfId="5618" xr:uid="{00000000-0005-0000-0000-000077170000}"/>
    <cellStyle name="Normal 5 2 2 2 4 3 3 2" xfId="14047" xr:uid="{76D4B6A6-B61B-4B5F-9906-37C1204C6A94}"/>
    <cellStyle name="Normal 5 2 2 2 4 3 4" xfId="9829" xr:uid="{557C1E92-838E-49D0-83D7-AC06D50E8E59}"/>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F06F5E53-0D1E-4819-B0AF-DF1476438EA3}"/>
    <cellStyle name="Normal 5 2 2 2 4 4 2 3" xfId="12387" xr:uid="{6FAA62AF-8F9D-4A50-9E38-92DB80283D40}"/>
    <cellStyle name="Normal 5 2 2 2 4 4 3" xfId="6031" xr:uid="{00000000-0005-0000-0000-00007B170000}"/>
    <cellStyle name="Normal 5 2 2 2 4 4 3 2" xfId="14460" xr:uid="{68E4A782-34D2-4971-B77B-3B4AFAA06B27}"/>
    <cellStyle name="Normal 5 2 2 2 4 4 4" xfId="10242" xr:uid="{B825FEB5-9B10-41B5-8A9C-C84B08BAD81C}"/>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362578DE-FAF6-475E-A03A-0A93AA43CC7C}"/>
    <cellStyle name="Normal 5 2 2 2 4 5 2 3" xfId="12800" xr:uid="{4B170C1D-E6DC-4715-BD41-E7F51A6F5B95}"/>
    <cellStyle name="Normal 5 2 2 2 4 5 3" xfId="6444" xr:uid="{00000000-0005-0000-0000-00007F170000}"/>
    <cellStyle name="Normal 5 2 2 2 4 5 3 2" xfId="14873" xr:uid="{D0C2B401-6D9B-4994-B11D-07C33395313E}"/>
    <cellStyle name="Normal 5 2 2 2 4 5 4" xfId="10655" xr:uid="{089B08CE-00A1-4F54-B4B8-00CCF778EBF1}"/>
    <cellStyle name="Normal 5 2 2 2 4 6" xfId="2572" xr:uid="{00000000-0005-0000-0000-000080170000}"/>
    <cellStyle name="Normal 5 2 2 2 4 6 2" xfId="6857" xr:uid="{00000000-0005-0000-0000-000081170000}"/>
    <cellStyle name="Normal 5 2 2 2 4 6 2 2" xfId="15286" xr:uid="{609CBE02-3757-4753-B37B-5086BD4A1C45}"/>
    <cellStyle name="Normal 5 2 2 2 4 6 3" xfId="11068" xr:uid="{1311446A-5CD6-4E31-B1B6-8D3F3961530C}"/>
    <cellStyle name="Normal 5 2 2 2 4 7" xfId="4792" xr:uid="{00000000-0005-0000-0000-000082170000}"/>
    <cellStyle name="Normal 5 2 2 2 4 7 2" xfId="13221" xr:uid="{CF5C68F3-3BBA-4B6E-BB55-8DFE6A8E4596}"/>
    <cellStyle name="Normal 5 2 2 2 4 8" xfId="9003" xr:uid="{6D7FCC61-423A-48BC-9712-708C2C4B324F}"/>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C85B2600-D41A-4A8A-B3BC-40709F1A44C7}"/>
    <cellStyle name="Normal 5 2 2 2 5 2 3" xfId="11554" xr:uid="{FB084A39-A5F9-49ED-AE8D-4180491E1CE2}"/>
    <cellStyle name="Normal 5 2 2 2 5 3" xfId="5198" xr:uid="{00000000-0005-0000-0000-000086170000}"/>
    <cellStyle name="Normal 5 2 2 2 5 3 2" xfId="13627" xr:uid="{96BCA544-929A-45CA-8A0F-9C5EED09B3BC}"/>
    <cellStyle name="Normal 5 2 2 2 5 4" xfId="9409" xr:uid="{384B4795-7882-45CF-BA6A-1614B70F6B9E}"/>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88AAD80B-DFB3-4646-8119-99FE6C2986DA}"/>
    <cellStyle name="Normal 5 2 2 2 6 2 3" xfId="11967" xr:uid="{9F217524-A880-4288-8AEF-7E96C12BE441}"/>
    <cellStyle name="Normal 5 2 2 2 6 3" xfId="5611" xr:uid="{00000000-0005-0000-0000-00008A170000}"/>
    <cellStyle name="Normal 5 2 2 2 6 3 2" xfId="14040" xr:uid="{72F85A96-00C7-4C28-AC66-30516266D8B9}"/>
    <cellStyle name="Normal 5 2 2 2 6 4" xfId="9822" xr:uid="{C4F9C2FA-9EB9-4646-BE14-7C46ACBE1BF4}"/>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A27C1B61-FFB4-49D4-BE5E-35120882A971}"/>
    <cellStyle name="Normal 5 2 2 2 7 2 3" xfId="12380" xr:uid="{D3AD2A4C-9385-4C12-918E-2AA947379C61}"/>
    <cellStyle name="Normal 5 2 2 2 7 3" xfId="6024" xr:uid="{00000000-0005-0000-0000-00008E170000}"/>
    <cellStyle name="Normal 5 2 2 2 7 3 2" xfId="14453" xr:uid="{5197A03A-F04D-4AEB-BABF-3651BB004D32}"/>
    <cellStyle name="Normal 5 2 2 2 7 4" xfId="10235" xr:uid="{DE9246C1-8D98-42D2-9C33-EA0922E36CDA}"/>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8779F315-B990-4D44-93B3-081367ABF754}"/>
    <cellStyle name="Normal 5 2 2 2 8 2 3" xfId="12793" xr:uid="{E39E4AC1-9E41-42E1-8B34-9A7669AE9FF8}"/>
    <cellStyle name="Normal 5 2 2 2 8 3" xfId="6437" xr:uid="{00000000-0005-0000-0000-000092170000}"/>
    <cellStyle name="Normal 5 2 2 2 8 3 2" xfId="14866" xr:uid="{E80BDB18-C66C-4A9A-94FF-94A972C53C7B}"/>
    <cellStyle name="Normal 5 2 2 2 8 4" xfId="10648" xr:uid="{9F1E0826-FB18-45F5-92C9-3ED35285AD27}"/>
    <cellStyle name="Normal 5 2 2 2 9" xfId="2565" xr:uid="{00000000-0005-0000-0000-000093170000}"/>
    <cellStyle name="Normal 5 2 2 2 9 2" xfId="6850" xr:uid="{00000000-0005-0000-0000-000094170000}"/>
    <cellStyle name="Normal 5 2 2 2 9 2 2" xfId="15279" xr:uid="{71475D8A-A46C-47E9-8B66-22B7F9F624F8}"/>
    <cellStyle name="Normal 5 2 2 2 9 3" xfId="11061" xr:uid="{EC6E49F9-12EC-4A3D-A67D-42378795DE0C}"/>
    <cellStyle name="Normal 5 2 2 3" xfId="417" xr:uid="{00000000-0005-0000-0000-000095170000}"/>
    <cellStyle name="Normal 5 2 2 3 10" xfId="9004" xr:uid="{15DB22B1-B93E-4FEC-A570-F65FD513C3E6}"/>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73E420F3-8223-49C7-BE39-CD619F5A59D8}"/>
    <cellStyle name="Normal 5 2 2 3 2 2 2 2 3" xfId="11564" xr:uid="{5B5334FC-91E5-4CDB-993D-FCC734F3D056}"/>
    <cellStyle name="Normal 5 2 2 3 2 2 2 3" xfId="5208" xr:uid="{00000000-0005-0000-0000-00009B170000}"/>
    <cellStyle name="Normal 5 2 2 3 2 2 2 3 2" xfId="13637" xr:uid="{D7C5D93C-C3E9-4EDE-A508-F986D4C84BA9}"/>
    <cellStyle name="Normal 5 2 2 3 2 2 2 4" xfId="9419" xr:uid="{874B5F1B-BE95-4BE1-B7BB-383D4F336C1F}"/>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3ADA3F53-4AC4-40D3-8E66-D3A5D480B8CF}"/>
    <cellStyle name="Normal 5 2 2 3 2 2 3 2 3" xfId="11977" xr:uid="{0876882D-4AFE-4385-B49A-193B8FF78880}"/>
    <cellStyle name="Normal 5 2 2 3 2 2 3 3" xfId="5621" xr:uid="{00000000-0005-0000-0000-00009F170000}"/>
    <cellStyle name="Normal 5 2 2 3 2 2 3 3 2" xfId="14050" xr:uid="{27B87050-CB5F-48BD-8823-2B8D7AAD5689}"/>
    <cellStyle name="Normal 5 2 2 3 2 2 3 4" xfId="9832" xr:uid="{C6A184D5-F0AE-41A2-AA16-B0AD52E3E00F}"/>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82CB4112-0AEB-4F1C-8D8B-365C2E84F119}"/>
    <cellStyle name="Normal 5 2 2 3 2 2 4 2 3" xfId="12390" xr:uid="{8F02E27A-D6E4-4358-96ED-33890F3764DB}"/>
    <cellStyle name="Normal 5 2 2 3 2 2 4 3" xfId="6034" xr:uid="{00000000-0005-0000-0000-0000A3170000}"/>
    <cellStyle name="Normal 5 2 2 3 2 2 4 3 2" xfId="14463" xr:uid="{F71D08B5-E04D-4D98-AED0-532D07D5C6D2}"/>
    <cellStyle name="Normal 5 2 2 3 2 2 4 4" xfId="10245" xr:uid="{2E9BFFD0-7A37-4829-ADDF-3459CA279588}"/>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D6695EF7-6755-4888-B4AA-78C5F57DB9D6}"/>
    <cellStyle name="Normal 5 2 2 3 2 2 5 2 3" xfId="12803" xr:uid="{945335F1-7FD4-431B-AD5E-E037545A9A15}"/>
    <cellStyle name="Normal 5 2 2 3 2 2 5 3" xfId="6447" xr:uid="{00000000-0005-0000-0000-0000A7170000}"/>
    <cellStyle name="Normal 5 2 2 3 2 2 5 3 2" xfId="14876" xr:uid="{8D75453B-6673-4BF6-B75B-D63A01E17234}"/>
    <cellStyle name="Normal 5 2 2 3 2 2 5 4" xfId="10658" xr:uid="{88E9833D-E327-44E0-AEBC-9643F2B2003D}"/>
    <cellStyle name="Normal 5 2 2 3 2 2 6" xfId="2575" xr:uid="{00000000-0005-0000-0000-0000A8170000}"/>
    <cellStyle name="Normal 5 2 2 3 2 2 6 2" xfId="6860" xr:uid="{00000000-0005-0000-0000-0000A9170000}"/>
    <cellStyle name="Normal 5 2 2 3 2 2 6 2 2" xfId="15289" xr:uid="{C9C0EC93-76FC-4B25-865B-64CA52219265}"/>
    <cellStyle name="Normal 5 2 2 3 2 2 6 3" xfId="11071" xr:uid="{89944CD1-7CC9-4534-8DCC-93992F5AE0B8}"/>
    <cellStyle name="Normal 5 2 2 3 2 2 7" xfId="4795" xr:uid="{00000000-0005-0000-0000-0000AA170000}"/>
    <cellStyle name="Normal 5 2 2 3 2 2 7 2" xfId="13224" xr:uid="{7F8B1773-FFBE-4F18-93B4-4A05C15C5D89}"/>
    <cellStyle name="Normal 5 2 2 3 2 2 8" xfId="9006" xr:uid="{DE5CC5C9-F193-4DD5-8D04-A95C74AC4397}"/>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8F719E1A-1859-45FC-9A96-02728114D731}"/>
    <cellStyle name="Normal 5 2 2 3 2 3 2 3" xfId="11563" xr:uid="{046FCA24-996D-4CAB-9352-378C8EBE23AF}"/>
    <cellStyle name="Normal 5 2 2 3 2 3 3" xfId="5207" xr:uid="{00000000-0005-0000-0000-0000AE170000}"/>
    <cellStyle name="Normal 5 2 2 3 2 3 3 2" xfId="13636" xr:uid="{2F1DA8F8-317B-4F97-9484-35A89D678FB0}"/>
    <cellStyle name="Normal 5 2 2 3 2 3 4" xfId="9418" xr:uid="{B4DFBF60-7C7D-42DC-9600-706F888B59B8}"/>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8250AD37-2A53-4970-A526-294FC35F5FB4}"/>
    <cellStyle name="Normal 5 2 2 3 2 4 2 3" xfId="11976" xr:uid="{AF19D973-37B8-4CE3-BDFD-08CD61C17D37}"/>
    <cellStyle name="Normal 5 2 2 3 2 4 3" xfId="5620" xr:uid="{00000000-0005-0000-0000-0000B2170000}"/>
    <cellStyle name="Normal 5 2 2 3 2 4 3 2" xfId="14049" xr:uid="{B08A7608-7378-47DB-A4CA-3840A534F9F3}"/>
    <cellStyle name="Normal 5 2 2 3 2 4 4" xfId="9831" xr:uid="{89A06C25-181A-432D-B407-39BB37FDA7A7}"/>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5CBB480A-2E53-4FDE-9561-2973B0F14B25}"/>
    <cellStyle name="Normal 5 2 2 3 2 5 2 3" xfId="12389" xr:uid="{F7A37590-3B62-4606-909C-0C515FB930A3}"/>
    <cellStyle name="Normal 5 2 2 3 2 5 3" xfId="6033" xr:uid="{00000000-0005-0000-0000-0000B6170000}"/>
    <cellStyle name="Normal 5 2 2 3 2 5 3 2" xfId="14462" xr:uid="{1A9361E4-921C-468B-8A21-B811BF9397F9}"/>
    <cellStyle name="Normal 5 2 2 3 2 5 4" xfId="10244" xr:uid="{AED3D324-3EDC-40CA-8C3F-C7E01D095CB3}"/>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F069F4F1-FE00-47B7-AAA2-2E5975E01F13}"/>
    <cellStyle name="Normal 5 2 2 3 2 6 2 3" xfId="12802" xr:uid="{58FA6D16-A6CF-4E34-A97B-5710BDCA3789}"/>
    <cellStyle name="Normal 5 2 2 3 2 6 3" xfId="6446" xr:uid="{00000000-0005-0000-0000-0000BA170000}"/>
    <cellStyle name="Normal 5 2 2 3 2 6 3 2" xfId="14875" xr:uid="{A771918F-1645-4D40-AFE3-5BDEBDABB76A}"/>
    <cellStyle name="Normal 5 2 2 3 2 6 4" xfId="10657" xr:uid="{1B0E88D4-4B44-4A13-8315-1623F2963656}"/>
    <cellStyle name="Normal 5 2 2 3 2 7" xfId="2574" xr:uid="{00000000-0005-0000-0000-0000BB170000}"/>
    <cellStyle name="Normal 5 2 2 3 2 7 2" xfId="6859" xr:uid="{00000000-0005-0000-0000-0000BC170000}"/>
    <cellStyle name="Normal 5 2 2 3 2 7 2 2" xfId="15288" xr:uid="{11636F0B-7F29-4A67-91C3-0988AFE72BDD}"/>
    <cellStyle name="Normal 5 2 2 3 2 7 3" xfId="11070" xr:uid="{FAE7E612-B54A-46B2-B068-EB93C6B95495}"/>
    <cellStyle name="Normal 5 2 2 3 2 8" xfId="4794" xr:uid="{00000000-0005-0000-0000-0000BD170000}"/>
    <cellStyle name="Normal 5 2 2 3 2 8 2" xfId="13223" xr:uid="{8FCAEFDA-58BC-4AE9-AB64-BDE73AE69452}"/>
    <cellStyle name="Normal 5 2 2 3 2 9" xfId="9005" xr:uid="{5526C5D4-B272-4F73-9699-158A86D42A2C}"/>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FD9678D1-007F-432F-85D6-748B13717202}"/>
    <cellStyle name="Normal 5 2 2 3 3 2 2 3" xfId="11565" xr:uid="{62F583C2-E8EC-4579-9372-E0AD9A1C003A}"/>
    <cellStyle name="Normal 5 2 2 3 3 2 3" xfId="5209" xr:uid="{00000000-0005-0000-0000-0000C2170000}"/>
    <cellStyle name="Normal 5 2 2 3 3 2 3 2" xfId="13638" xr:uid="{DA961055-948D-44DE-A14C-357F12F11D34}"/>
    <cellStyle name="Normal 5 2 2 3 3 2 4" xfId="9420" xr:uid="{62FE189C-6D2A-4CA1-9B47-5AD0424C4F8E}"/>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ED2AED14-351C-4C47-8032-673DCA0F40B4}"/>
    <cellStyle name="Normal 5 2 2 3 3 3 2 3" xfId="11978" xr:uid="{93F870B3-8800-486B-94D8-6D9F7B0146C3}"/>
    <cellStyle name="Normal 5 2 2 3 3 3 3" xfId="5622" xr:uid="{00000000-0005-0000-0000-0000C6170000}"/>
    <cellStyle name="Normal 5 2 2 3 3 3 3 2" xfId="14051" xr:uid="{DA244D40-EA5D-4DE3-8BED-61CA6E556080}"/>
    <cellStyle name="Normal 5 2 2 3 3 3 4" xfId="9833" xr:uid="{508953C6-4648-4310-B299-825850D20147}"/>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B6132E13-9E12-4BA0-AB81-2BC038878AFB}"/>
    <cellStyle name="Normal 5 2 2 3 3 4 2 3" xfId="12391" xr:uid="{B3D30371-B308-42E8-8861-1D5910264DF5}"/>
    <cellStyle name="Normal 5 2 2 3 3 4 3" xfId="6035" xr:uid="{00000000-0005-0000-0000-0000CA170000}"/>
    <cellStyle name="Normal 5 2 2 3 3 4 3 2" xfId="14464" xr:uid="{C44F845A-D9A3-484D-827E-24C656B62446}"/>
    <cellStyle name="Normal 5 2 2 3 3 4 4" xfId="10246" xr:uid="{895275BF-5D86-466F-AB81-D9BE61A2046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826B8A9C-C7E8-4F2A-9196-562EF1E4BC0D}"/>
    <cellStyle name="Normal 5 2 2 3 3 5 2 3" xfId="12804" xr:uid="{115D0202-8C88-444A-848B-563FA4A4DFE8}"/>
    <cellStyle name="Normal 5 2 2 3 3 5 3" xfId="6448" xr:uid="{00000000-0005-0000-0000-0000CE170000}"/>
    <cellStyle name="Normal 5 2 2 3 3 5 3 2" xfId="14877" xr:uid="{06980E21-7F2E-4214-882D-5299CA8CBA65}"/>
    <cellStyle name="Normal 5 2 2 3 3 5 4" xfId="10659" xr:uid="{04B3E24F-B6F9-4CED-A0D3-1DCA24C8D326}"/>
    <cellStyle name="Normal 5 2 2 3 3 6" xfId="2576" xr:uid="{00000000-0005-0000-0000-0000CF170000}"/>
    <cellStyle name="Normal 5 2 2 3 3 6 2" xfId="6861" xr:uid="{00000000-0005-0000-0000-0000D0170000}"/>
    <cellStyle name="Normal 5 2 2 3 3 6 2 2" xfId="15290" xr:uid="{8C783666-BF2A-4119-A4F0-7834302C1F8C}"/>
    <cellStyle name="Normal 5 2 2 3 3 6 3" xfId="11072" xr:uid="{EC45E143-3773-4B9E-ADFE-0F7A17C19536}"/>
    <cellStyle name="Normal 5 2 2 3 3 7" xfId="4796" xr:uid="{00000000-0005-0000-0000-0000D1170000}"/>
    <cellStyle name="Normal 5 2 2 3 3 7 2" xfId="13225" xr:uid="{E619AD37-2B19-4999-9921-033F2C0D7053}"/>
    <cellStyle name="Normal 5 2 2 3 3 8" xfId="9007" xr:uid="{11C03E0F-1FF4-49A0-970C-AD80591BA842}"/>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1EFE0FD3-5026-4D82-8E31-F30A66ADF9F9}"/>
    <cellStyle name="Normal 5 2 2 3 4 2 3" xfId="11562" xr:uid="{CE78E5B3-18EB-4C1E-9551-BCEA6C4B1FEA}"/>
    <cellStyle name="Normal 5 2 2 3 4 3" xfId="5206" xr:uid="{00000000-0005-0000-0000-0000D5170000}"/>
    <cellStyle name="Normal 5 2 2 3 4 3 2" xfId="13635" xr:uid="{73F50421-7D85-4EEA-857D-60A874043E65}"/>
    <cellStyle name="Normal 5 2 2 3 4 4" xfId="9417" xr:uid="{DDA2411A-33B7-4276-8DAD-E537EC2194D0}"/>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06753020-FA3E-401C-B761-1F129D185A23}"/>
    <cellStyle name="Normal 5 2 2 3 5 2 3" xfId="11975" xr:uid="{D63E5DD5-5D7B-4A2D-B9B7-8AD3784706B8}"/>
    <cellStyle name="Normal 5 2 2 3 5 3" xfId="5619" xr:uid="{00000000-0005-0000-0000-0000D9170000}"/>
    <cellStyle name="Normal 5 2 2 3 5 3 2" xfId="14048" xr:uid="{89FC96DF-E61A-4F24-A787-33C30BF02EE5}"/>
    <cellStyle name="Normal 5 2 2 3 5 4" xfId="9830" xr:uid="{1834ABFE-E586-4E8C-9520-0689B59C2CC4}"/>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4555C1AF-7890-4AFE-A3DA-3BFD5BA67E44}"/>
    <cellStyle name="Normal 5 2 2 3 6 2 3" xfId="12388" xr:uid="{F12A61E7-06C9-468C-B602-A3B3E1DB65F3}"/>
    <cellStyle name="Normal 5 2 2 3 6 3" xfId="6032" xr:uid="{00000000-0005-0000-0000-0000DD170000}"/>
    <cellStyle name="Normal 5 2 2 3 6 3 2" xfId="14461" xr:uid="{75EB55E6-BCEE-4B4C-B5C3-F6EE8A003D81}"/>
    <cellStyle name="Normal 5 2 2 3 6 4" xfId="10243" xr:uid="{06EB5246-55AB-4CF5-AFA4-A92C1DF372C2}"/>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1A1DE1EC-5B85-4625-98F4-4D6969578206}"/>
    <cellStyle name="Normal 5 2 2 3 7 2 3" xfId="12801" xr:uid="{AB73DA12-5837-4CF2-ACBC-72FBB37F0598}"/>
    <cellStyle name="Normal 5 2 2 3 7 3" xfId="6445" xr:uid="{00000000-0005-0000-0000-0000E1170000}"/>
    <cellStyle name="Normal 5 2 2 3 7 3 2" xfId="14874" xr:uid="{86D64C94-1313-4AE6-858C-31F044C0DBDB}"/>
    <cellStyle name="Normal 5 2 2 3 7 4" xfId="10656" xr:uid="{72291BB7-C531-4C99-964D-13B4461E8191}"/>
    <cellStyle name="Normal 5 2 2 3 8" xfId="2573" xr:uid="{00000000-0005-0000-0000-0000E2170000}"/>
    <cellStyle name="Normal 5 2 2 3 8 2" xfId="6858" xr:uid="{00000000-0005-0000-0000-0000E3170000}"/>
    <cellStyle name="Normal 5 2 2 3 8 2 2" xfId="15287" xr:uid="{D5CBEE38-5EE0-419D-AA2C-EFACEB917078}"/>
    <cellStyle name="Normal 5 2 2 3 8 3" xfId="11069" xr:uid="{B08048EC-CBE4-46A9-A7B8-36CD1E90576C}"/>
    <cellStyle name="Normal 5 2 2 3 9" xfId="4793" xr:uid="{00000000-0005-0000-0000-0000E4170000}"/>
    <cellStyle name="Normal 5 2 2 3 9 2" xfId="13222" xr:uid="{B81BB664-8FE8-4B54-B190-C921628BC842}"/>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647350E2-73BC-4BF3-AD1F-E0F1D03FCF20}"/>
    <cellStyle name="Normal 5 2 2 4 2 2 2 3" xfId="11567" xr:uid="{459D7CAB-7698-46B4-A2BD-BA070CFF1882}"/>
    <cellStyle name="Normal 5 2 2 4 2 2 3" xfId="5211" xr:uid="{00000000-0005-0000-0000-0000EA170000}"/>
    <cellStyle name="Normal 5 2 2 4 2 2 3 2" xfId="13640" xr:uid="{57717B60-41F1-4760-B46B-D04105E3B4CC}"/>
    <cellStyle name="Normal 5 2 2 4 2 2 4" xfId="9422" xr:uid="{482C7D7A-C6C1-45E7-839C-78B9AF0A733A}"/>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A66B4A36-592F-4212-8B37-B89E33E27178}"/>
    <cellStyle name="Normal 5 2 2 4 2 3 2 3" xfId="11980" xr:uid="{5EBE85B8-EAE8-4CDC-A8E7-98A0E7C6F347}"/>
    <cellStyle name="Normal 5 2 2 4 2 3 3" xfId="5624" xr:uid="{00000000-0005-0000-0000-0000EE170000}"/>
    <cellStyle name="Normal 5 2 2 4 2 3 3 2" xfId="14053" xr:uid="{D9880580-DC0E-43FB-A9A4-57E88705D30F}"/>
    <cellStyle name="Normal 5 2 2 4 2 3 4" xfId="9835" xr:uid="{A5E454F4-D906-445A-805E-673401AE3E05}"/>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B73AD472-FAFE-41F6-AD9A-59E1427C057E}"/>
    <cellStyle name="Normal 5 2 2 4 2 4 2 3" xfId="12393" xr:uid="{452E7256-05C4-4CCD-BE7C-F3A5C20098A1}"/>
    <cellStyle name="Normal 5 2 2 4 2 4 3" xfId="6037" xr:uid="{00000000-0005-0000-0000-0000F2170000}"/>
    <cellStyle name="Normal 5 2 2 4 2 4 3 2" xfId="14466" xr:uid="{D6838DD9-93F1-44B6-A7C1-02E9C1589EE3}"/>
    <cellStyle name="Normal 5 2 2 4 2 4 4" xfId="10248" xr:uid="{00AC7B58-3F1E-4139-8B16-090772FAB95C}"/>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0AB41152-7D79-412B-82DA-D22FBDED9DCF}"/>
    <cellStyle name="Normal 5 2 2 4 2 5 2 3" xfId="12806" xr:uid="{2B6C3129-6988-4175-A922-31594C5AB944}"/>
    <cellStyle name="Normal 5 2 2 4 2 5 3" xfId="6450" xr:uid="{00000000-0005-0000-0000-0000F6170000}"/>
    <cellStyle name="Normal 5 2 2 4 2 5 3 2" xfId="14879" xr:uid="{C17945C1-DBD5-4942-AB52-AEA6D8A4DE04}"/>
    <cellStyle name="Normal 5 2 2 4 2 5 4" xfId="10661" xr:uid="{F9E3C254-C028-44D3-8D6F-FE2508FF0A73}"/>
    <cellStyle name="Normal 5 2 2 4 2 6" xfId="2578" xr:uid="{00000000-0005-0000-0000-0000F7170000}"/>
    <cellStyle name="Normal 5 2 2 4 2 6 2" xfId="6863" xr:uid="{00000000-0005-0000-0000-0000F8170000}"/>
    <cellStyle name="Normal 5 2 2 4 2 6 2 2" xfId="15292" xr:uid="{8F495887-8DD2-4E7D-85ED-B436800DCD71}"/>
    <cellStyle name="Normal 5 2 2 4 2 6 3" xfId="11074" xr:uid="{34BCC308-2D67-4808-A5FB-86A458C996FD}"/>
    <cellStyle name="Normal 5 2 2 4 2 7" xfId="4798" xr:uid="{00000000-0005-0000-0000-0000F9170000}"/>
    <cellStyle name="Normal 5 2 2 4 2 7 2" xfId="13227" xr:uid="{6C3130A5-EE33-439F-A878-6E75D6A00860}"/>
    <cellStyle name="Normal 5 2 2 4 2 8" xfId="9009" xr:uid="{D0898379-8204-4528-A57C-AB92502B50F3}"/>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41D55F50-8204-4D82-8F22-D97D6A2E2066}"/>
    <cellStyle name="Normal 5 2 2 4 3 2 3" xfId="11566" xr:uid="{4744FC77-B8B6-4F13-9FB7-70CA260BD925}"/>
    <cellStyle name="Normal 5 2 2 4 3 3" xfId="5210" xr:uid="{00000000-0005-0000-0000-0000FD170000}"/>
    <cellStyle name="Normal 5 2 2 4 3 3 2" xfId="13639" xr:uid="{FC5D39C1-EB42-4269-BCBE-582D74539D20}"/>
    <cellStyle name="Normal 5 2 2 4 3 4" xfId="9421" xr:uid="{71F8843B-4E39-445D-821D-9420F5AAEE41}"/>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DD05BD2A-B445-4704-ACF9-07AF97991883}"/>
    <cellStyle name="Normal 5 2 2 4 4 2 3" xfId="11979" xr:uid="{C576616A-59BE-4C71-B5A7-3F0A9E0897D8}"/>
    <cellStyle name="Normal 5 2 2 4 4 3" xfId="5623" xr:uid="{00000000-0005-0000-0000-000001180000}"/>
    <cellStyle name="Normal 5 2 2 4 4 3 2" xfId="14052" xr:uid="{54CD9298-DB75-49AF-8DFC-A09980ECF437}"/>
    <cellStyle name="Normal 5 2 2 4 4 4" xfId="9834" xr:uid="{B8ACE026-87EE-4418-9680-FD6462EFA5DC}"/>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235DE817-BD18-420A-8659-D2CCF6287229}"/>
    <cellStyle name="Normal 5 2 2 4 5 2 3" xfId="12392" xr:uid="{EF95A342-1B52-404E-A156-C24C38313EB0}"/>
    <cellStyle name="Normal 5 2 2 4 5 3" xfId="6036" xr:uid="{00000000-0005-0000-0000-000005180000}"/>
    <cellStyle name="Normal 5 2 2 4 5 3 2" xfId="14465" xr:uid="{2D42E690-E2E0-4845-B482-5B53F1B4316A}"/>
    <cellStyle name="Normal 5 2 2 4 5 4" xfId="10247" xr:uid="{4B41BF63-D28A-43F0-AD74-02A9B6306AE9}"/>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008D56D3-7371-4208-ABDB-C3A5E3388D39}"/>
    <cellStyle name="Normal 5 2 2 4 6 2 3" xfId="12805" xr:uid="{8D5602EC-6CBC-4438-8D53-762454095986}"/>
    <cellStyle name="Normal 5 2 2 4 6 3" xfId="6449" xr:uid="{00000000-0005-0000-0000-000009180000}"/>
    <cellStyle name="Normal 5 2 2 4 6 3 2" xfId="14878" xr:uid="{5589DD06-D183-485E-A5E8-806200C49D8F}"/>
    <cellStyle name="Normal 5 2 2 4 6 4" xfId="10660" xr:uid="{710F21D9-E736-4EE8-9A6A-21CCAB5CB1DC}"/>
    <cellStyle name="Normal 5 2 2 4 7" xfId="2577" xr:uid="{00000000-0005-0000-0000-00000A180000}"/>
    <cellStyle name="Normal 5 2 2 4 7 2" xfId="6862" xr:uid="{00000000-0005-0000-0000-00000B180000}"/>
    <cellStyle name="Normal 5 2 2 4 7 2 2" xfId="15291" xr:uid="{8708766D-F501-4433-9B1F-274AB0C24EB2}"/>
    <cellStyle name="Normal 5 2 2 4 7 3" xfId="11073" xr:uid="{3BDA6C17-15B8-47FC-B65F-74E92D15560F}"/>
    <cellStyle name="Normal 5 2 2 4 8" xfId="4797" xr:uid="{00000000-0005-0000-0000-00000C180000}"/>
    <cellStyle name="Normal 5 2 2 4 8 2" xfId="13226" xr:uid="{CCD21384-21C6-44B3-8C9E-5C390B62941F}"/>
    <cellStyle name="Normal 5 2 2 4 9" xfId="9008" xr:uid="{26FF0346-5A40-4929-9A43-A19F580D3E57}"/>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F39DADE5-B971-40DB-B67A-F40663EAB08B}"/>
    <cellStyle name="Normal 5 2 2 5 2 2 3" xfId="11568" xr:uid="{05B74716-B3E6-4917-8C82-8E1DAFFE6FE6}"/>
    <cellStyle name="Normal 5 2 2 5 2 3" xfId="5212" xr:uid="{00000000-0005-0000-0000-000011180000}"/>
    <cellStyle name="Normal 5 2 2 5 2 3 2" xfId="13641" xr:uid="{0041816E-072B-4527-B0FC-098102B63A6B}"/>
    <cellStyle name="Normal 5 2 2 5 2 4" xfId="9423" xr:uid="{CC52F254-2F83-4B6D-B28D-F742D4C1090F}"/>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95F7C69C-9CA6-43F7-B2DF-B1EEB8FFCECF}"/>
    <cellStyle name="Normal 5 2 2 5 3 2 3" xfId="11981" xr:uid="{FC96D7F7-0287-49BA-A025-FAC067FDB2A8}"/>
    <cellStyle name="Normal 5 2 2 5 3 3" xfId="5625" xr:uid="{00000000-0005-0000-0000-000015180000}"/>
    <cellStyle name="Normal 5 2 2 5 3 3 2" xfId="14054" xr:uid="{4E5EE8E2-4039-49E8-8F7B-B094E9CAE203}"/>
    <cellStyle name="Normal 5 2 2 5 3 4" xfId="9836" xr:uid="{AFC710B1-BBEE-4F5B-A179-931883BAB160}"/>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CCA35112-9330-45F8-9411-848FA9D46468}"/>
    <cellStyle name="Normal 5 2 2 5 4 2 3" xfId="12394" xr:uid="{5253A751-D2B7-4957-AF10-40E5E8239C10}"/>
    <cellStyle name="Normal 5 2 2 5 4 3" xfId="6038" xr:uid="{00000000-0005-0000-0000-000019180000}"/>
    <cellStyle name="Normal 5 2 2 5 4 3 2" xfId="14467" xr:uid="{A3388D30-F694-4AB1-B690-46FC8FDC776F}"/>
    <cellStyle name="Normal 5 2 2 5 4 4" xfId="10249" xr:uid="{5D643E7C-43E4-42FB-8178-C848DBE844D7}"/>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FF91532E-D319-4C88-8984-E13AF438C4AC}"/>
    <cellStyle name="Normal 5 2 2 5 5 2 3" xfId="12807" xr:uid="{91D1E15B-D0ED-45F3-9095-30A3D1F3D736}"/>
    <cellStyle name="Normal 5 2 2 5 5 3" xfId="6451" xr:uid="{00000000-0005-0000-0000-00001D180000}"/>
    <cellStyle name="Normal 5 2 2 5 5 3 2" xfId="14880" xr:uid="{4302B678-8280-4AE3-A554-F9908B6FA503}"/>
    <cellStyle name="Normal 5 2 2 5 5 4" xfId="10662" xr:uid="{C22F73D0-401B-4983-95DB-DAB7274ECAE0}"/>
    <cellStyle name="Normal 5 2 2 5 6" xfId="2579" xr:uid="{00000000-0005-0000-0000-00001E180000}"/>
    <cellStyle name="Normal 5 2 2 5 6 2" xfId="6864" xr:uid="{00000000-0005-0000-0000-00001F180000}"/>
    <cellStyle name="Normal 5 2 2 5 6 2 2" xfId="15293" xr:uid="{0317C117-29D4-437D-9D29-D66BE30A968F}"/>
    <cellStyle name="Normal 5 2 2 5 6 3" xfId="11075" xr:uid="{FAC99349-35A7-4AE6-A2C0-7986E7247F4A}"/>
    <cellStyle name="Normal 5 2 2 5 7" xfId="4799" xr:uid="{00000000-0005-0000-0000-000020180000}"/>
    <cellStyle name="Normal 5 2 2 5 7 2" xfId="13228" xr:uid="{1BC4380B-4A2B-4090-B46D-F1B9188ECFB8}"/>
    <cellStyle name="Normal 5 2 2 5 8" xfId="9010" xr:uid="{9AC05308-3E30-4500-BB86-13D13EBD6FE8}"/>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13A3F278-7189-4068-95DE-501ABE0BA018}"/>
    <cellStyle name="Normal 5 2 2 6 2 3" xfId="11553" xr:uid="{65872CF2-E471-4F67-8E9E-6DFE1D4BEDBA}"/>
    <cellStyle name="Normal 5 2 2 6 3" xfId="5197" xr:uid="{00000000-0005-0000-0000-000024180000}"/>
    <cellStyle name="Normal 5 2 2 6 3 2" xfId="13626" xr:uid="{348D7B61-88D0-493A-87F7-38AC4836E9A4}"/>
    <cellStyle name="Normal 5 2 2 6 4" xfId="9408" xr:uid="{3A3F4348-0FF6-4F30-A5CE-93A92C20244D}"/>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1BBD9E36-99D4-494C-B3FD-EC0FAD067A48}"/>
    <cellStyle name="Normal 5 2 2 7 2 3" xfId="11966" xr:uid="{D0F1567F-4899-4A2D-A799-F7E67FFC6D00}"/>
    <cellStyle name="Normal 5 2 2 7 3" xfId="5610" xr:uid="{00000000-0005-0000-0000-000028180000}"/>
    <cellStyle name="Normal 5 2 2 7 3 2" xfId="14039" xr:uid="{D7B4B6FF-28E8-4F89-9262-2DA16FBC3542}"/>
    <cellStyle name="Normal 5 2 2 7 4" xfId="9821" xr:uid="{C0D32CB1-3153-41AD-83F0-EC00116B9266}"/>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8B6EE40A-F924-466D-B067-0FDD03EF944A}"/>
    <cellStyle name="Normal 5 2 2 8 2 3" xfId="12379" xr:uid="{0897405F-D0B5-4E55-8B02-0BCF5F7F3281}"/>
    <cellStyle name="Normal 5 2 2 8 3" xfId="6023" xr:uid="{00000000-0005-0000-0000-00002C180000}"/>
    <cellStyle name="Normal 5 2 2 8 3 2" xfId="14452" xr:uid="{BF77A69E-6AEE-44C2-A547-5846EED57DC1}"/>
    <cellStyle name="Normal 5 2 2 8 4" xfId="10234" xr:uid="{A96D80E4-15BC-4986-8D39-162CEA29A58C}"/>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C8579A55-96F5-4A74-AB1F-12E77F417518}"/>
    <cellStyle name="Normal 5 2 2 9 2 3" xfId="12792" xr:uid="{E26A95B0-73C6-40DE-9B50-A2A213B8B9CD}"/>
    <cellStyle name="Normal 5 2 2 9 3" xfId="6436" xr:uid="{00000000-0005-0000-0000-000030180000}"/>
    <cellStyle name="Normal 5 2 2 9 3 2" xfId="14865" xr:uid="{FFFE4C96-195C-455A-B194-F7625FBC5D3D}"/>
    <cellStyle name="Normal 5 2 2 9 4" xfId="10647" xr:uid="{D76CA92A-B798-40FA-9E4D-2024062054DF}"/>
    <cellStyle name="Normal 5 2 3" xfId="424" xr:uid="{00000000-0005-0000-0000-000031180000}"/>
    <cellStyle name="Normal 5 2 3 10" xfId="4800" xr:uid="{00000000-0005-0000-0000-000032180000}"/>
    <cellStyle name="Normal 5 2 3 10 2" xfId="13229" xr:uid="{83FC4FE4-2E15-434B-96CE-FA7B20C62591}"/>
    <cellStyle name="Normal 5 2 3 11" xfId="9011" xr:uid="{10D6BBCE-A9B6-4312-ACE4-40EE2B07DB47}"/>
    <cellStyle name="Normal 5 2 3 2" xfId="425" xr:uid="{00000000-0005-0000-0000-000033180000}"/>
    <cellStyle name="Normal 5 2 3 2 10" xfId="9012" xr:uid="{88C0438B-3376-48A3-9B6E-7208FFB92A7A}"/>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BDB765FE-5301-4234-B79D-BF830704797B}"/>
    <cellStyle name="Normal 5 2 3 2 2 2 2 2 3" xfId="11572" xr:uid="{A5C7E64F-9C78-46AD-AF48-6209F1F2FFBE}"/>
    <cellStyle name="Normal 5 2 3 2 2 2 2 3" xfId="5216" xr:uid="{00000000-0005-0000-0000-000039180000}"/>
    <cellStyle name="Normal 5 2 3 2 2 2 2 3 2" xfId="13645" xr:uid="{1D605F32-5F7B-4ABD-A1E6-5160D662E747}"/>
    <cellStyle name="Normal 5 2 3 2 2 2 2 4" xfId="9427" xr:uid="{B0C36DB2-0E53-4BC2-9AF6-AA98B6B15E4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EAC320D5-0473-4B4A-A767-4684951E6795}"/>
    <cellStyle name="Normal 5 2 3 2 2 2 3 2 3" xfId="11985" xr:uid="{00C4EB04-DADB-48FB-A689-74074EC978C5}"/>
    <cellStyle name="Normal 5 2 3 2 2 2 3 3" xfId="5629" xr:uid="{00000000-0005-0000-0000-00003D180000}"/>
    <cellStyle name="Normal 5 2 3 2 2 2 3 3 2" xfId="14058" xr:uid="{FBD2585A-52F6-4803-A409-1BACF5FE2277}"/>
    <cellStyle name="Normal 5 2 3 2 2 2 3 4" xfId="9840" xr:uid="{D572F96E-791B-41FD-99DC-B7772BBEB47D}"/>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CD0C37FD-ABD4-4245-8C2D-16CF3C86F619}"/>
    <cellStyle name="Normal 5 2 3 2 2 2 4 2 3" xfId="12398" xr:uid="{F3840406-A295-46D2-8BE9-50867541ACA0}"/>
    <cellStyle name="Normal 5 2 3 2 2 2 4 3" xfId="6042" xr:uid="{00000000-0005-0000-0000-000041180000}"/>
    <cellStyle name="Normal 5 2 3 2 2 2 4 3 2" xfId="14471" xr:uid="{23B5D9FD-B7C4-43EB-8E01-EB9C5EC63E7D}"/>
    <cellStyle name="Normal 5 2 3 2 2 2 4 4" xfId="10253" xr:uid="{C038E8B0-0016-429B-A19E-E826ADE1E2CB}"/>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79EDADDF-229D-49D5-ACFD-F760BAF5988A}"/>
    <cellStyle name="Normal 5 2 3 2 2 2 5 2 3" xfId="12811" xr:uid="{CD7D7E94-34B1-4090-BB8F-CA02E286CF10}"/>
    <cellStyle name="Normal 5 2 3 2 2 2 5 3" xfId="6455" xr:uid="{00000000-0005-0000-0000-000045180000}"/>
    <cellStyle name="Normal 5 2 3 2 2 2 5 3 2" xfId="14884" xr:uid="{DC430C1F-E607-4E4C-B538-C0B75804418D}"/>
    <cellStyle name="Normal 5 2 3 2 2 2 5 4" xfId="10666" xr:uid="{3345C115-BC67-4394-906C-A0AD13551687}"/>
    <cellStyle name="Normal 5 2 3 2 2 2 6" xfId="2583" xr:uid="{00000000-0005-0000-0000-000046180000}"/>
    <cellStyle name="Normal 5 2 3 2 2 2 6 2" xfId="6868" xr:uid="{00000000-0005-0000-0000-000047180000}"/>
    <cellStyle name="Normal 5 2 3 2 2 2 6 2 2" xfId="15297" xr:uid="{452D939C-65F3-4901-8692-BFD157429D1B}"/>
    <cellStyle name="Normal 5 2 3 2 2 2 6 3" xfId="11079" xr:uid="{45F0025D-6A4F-4442-AF7D-43921BF7BF71}"/>
    <cellStyle name="Normal 5 2 3 2 2 2 7" xfId="4803" xr:uid="{00000000-0005-0000-0000-000048180000}"/>
    <cellStyle name="Normal 5 2 3 2 2 2 7 2" xfId="13232" xr:uid="{D3F3DB48-DF3A-48A2-BE81-8BC4E4193F2F}"/>
    <cellStyle name="Normal 5 2 3 2 2 2 8" xfId="9014" xr:uid="{5187FC95-8A51-4550-B63D-81E19113B9AD}"/>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F6101ECC-313A-4FEE-BA24-910DF31DA4B1}"/>
    <cellStyle name="Normal 5 2 3 2 2 3 2 3" xfId="11571" xr:uid="{329BB67B-EB5B-484C-96D9-7A80481D625B}"/>
    <cellStyle name="Normal 5 2 3 2 2 3 3" xfId="5215" xr:uid="{00000000-0005-0000-0000-00004C180000}"/>
    <cellStyle name="Normal 5 2 3 2 2 3 3 2" xfId="13644" xr:uid="{3684736B-9404-499C-AB9C-5D8FA4687C94}"/>
    <cellStyle name="Normal 5 2 3 2 2 3 4" xfId="9426" xr:uid="{95FFA947-EE1F-4CCE-B608-6812910E5AE7}"/>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DB2D6F99-4F76-4148-A041-BDF000D9480A}"/>
    <cellStyle name="Normal 5 2 3 2 2 4 2 3" xfId="11984" xr:uid="{AEF59976-071B-4C3F-B294-C7FE9B6F1B68}"/>
    <cellStyle name="Normal 5 2 3 2 2 4 3" xfId="5628" xr:uid="{00000000-0005-0000-0000-000050180000}"/>
    <cellStyle name="Normal 5 2 3 2 2 4 3 2" xfId="14057" xr:uid="{1017922F-B910-4621-B688-5DEC05C22451}"/>
    <cellStyle name="Normal 5 2 3 2 2 4 4" xfId="9839" xr:uid="{0EF3CB87-3D2D-496C-8140-B99F1B9A7471}"/>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29700C31-262D-4AD7-8118-EB02301507B9}"/>
    <cellStyle name="Normal 5 2 3 2 2 5 2 3" xfId="12397" xr:uid="{9E840954-FBA7-4822-B6B0-3D0056588B5E}"/>
    <cellStyle name="Normal 5 2 3 2 2 5 3" xfId="6041" xr:uid="{00000000-0005-0000-0000-000054180000}"/>
    <cellStyle name="Normal 5 2 3 2 2 5 3 2" xfId="14470" xr:uid="{AC396804-E725-4333-95E1-6104EA16C04E}"/>
    <cellStyle name="Normal 5 2 3 2 2 5 4" xfId="10252" xr:uid="{28411AA7-DA30-4366-9051-2C2FDE9C450D}"/>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1B2F85AE-2DBE-4F0A-8A93-AA34599F93BC}"/>
    <cellStyle name="Normal 5 2 3 2 2 6 2 3" xfId="12810" xr:uid="{9CD0D65B-CC8C-49D0-941E-D2563DB28AA7}"/>
    <cellStyle name="Normal 5 2 3 2 2 6 3" xfId="6454" xr:uid="{00000000-0005-0000-0000-000058180000}"/>
    <cellStyle name="Normal 5 2 3 2 2 6 3 2" xfId="14883" xr:uid="{FC2F931F-9D05-4440-B1EF-94754B693D30}"/>
    <cellStyle name="Normal 5 2 3 2 2 6 4" xfId="10665" xr:uid="{7D6A4D0A-C333-48CE-9E1E-7B285F58ED71}"/>
    <cellStyle name="Normal 5 2 3 2 2 7" xfId="2582" xr:uid="{00000000-0005-0000-0000-000059180000}"/>
    <cellStyle name="Normal 5 2 3 2 2 7 2" xfId="6867" xr:uid="{00000000-0005-0000-0000-00005A180000}"/>
    <cellStyle name="Normal 5 2 3 2 2 7 2 2" xfId="15296" xr:uid="{912FC5CE-B0EF-43E7-B862-CC5A62483827}"/>
    <cellStyle name="Normal 5 2 3 2 2 7 3" xfId="11078" xr:uid="{8AE393DD-FDC4-4D11-827E-76431CE2123F}"/>
    <cellStyle name="Normal 5 2 3 2 2 8" xfId="4802" xr:uid="{00000000-0005-0000-0000-00005B180000}"/>
    <cellStyle name="Normal 5 2 3 2 2 8 2" xfId="13231" xr:uid="{A32F7944-BE3A-40CC-A9F4-D5D325E83304}"/>
    <cellStyle name="Normal 5 2 3 2 2 9" xfId="9013" xr:uid="{5A100420-C0B3-46F5-A46E-75B3421169F3}"/>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444EB02F-A1FC-4FCF-8CBB-E29E6AE18BBC}"/>
    <cellStyle name="Normal 5 2 3 2 3 2 2 3" xfId="11573" xr:uid="{F2BA505C-5907-429C-A71A-97D63471B1FD}"/>
    <cellStyle name="Normal 5 2 3 2 3 2 3" xfId="5217" xr:uid="{00000000-0005-0000-0000-000060180000}"/>
    <cellStyle name="Normal 5 2 3 2 3 2 3 2" xfId="13646" xr:uid="{DD5D234C-2EE8-46C2-9E82-5E79885740D8}"/>
    <cellStyle name="Normal 5 2 3 2 3 2 4" xfId="9428" xr:uid="{453CD018-2376-47C9-B4E9-4D0CF6E09F36}"/>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42C60AC3-8B5F-4329-8038-042A30BDFDBF}"/>
    <cellStyle name="Normal 5 2 3 2 3 3 2 3" xfId="11986" xr:uid="{3738DC58-50BA-4425-B695-04DAE23F0AB1}"/>
    <cellStyle name="Normal 5 2 3 2 3 3 3" xfId="5630" xr:uid="{00000000-0005-0000-0000-000064180000}"/>
    <cellStyle name="Normal 5 2 3 2 3 3 3 2" xfId="14059" xr:uid="{213FA84B-BE07-46B0-9AA0-7EC064311D67}"/>
    <cellStyle name="Normal 5 2 3 2 3 3 4" xfId="9841" xr:uid="{0C5A93D9-3604-4CBA-A22A-92C5D356A13B}"/>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46A5D0EC-ED79-4F41-9C9D-3A4469F7AE8E}"/>
    <cellStyle name="Normal 5 2 3 2 3 4 2 3" xfId="12399" xr:uid="{CDDEEF96-1609-4F7A-804D-51778716C7DC}"/>
    <cellStyle name="Normal 5 2 3 2 3 4 3" xfId="6043" xr:uid="{00000000-0005-0000-0000-000068180000}"/>
    <cellStyle name="Normal 5 2 3 2 3 4 3 2" xfId="14472" xr:uid="{24CB98C5-B167-4522-B12C-AB2D764BD8BB}"/>
    <cellStyle name="Normal 5 2 3 2 3 4 4" xfId="10254" xr:uid="{321E6BE2-2B52-4B65-B7DF-B75C072E0EE7}"/>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DB1205EF-4E8A-4AE3-8B31-0CF2AD655EF8}"/>
    <cellStyle name="Normal 5 2 3 2 3 5 2 3" xfId="12812" xr:uid="{48EAAF10-6984-4C44-A9F9-559A10F5D7BB}"/>
    <cellStyle name="Normal 5 2 3 2 3 5 3" xfId="6456" xr:uid="{00000000-0005-0000-0000-00006C180000}"/>
    <cellStyle name="Normal 5 2 3 2 3 5 3 2" xfId="14885" xr:uid="{BE173CB1-6219-4F42-B2F2-EEA98D0C2CE2}"/>
    <cellStyle name="Normal 5 2 3 2 3 5 4" xfId="10667" xr:uid="{C76A03B5-2A09-4C44-A48C-A515AE5332A5}"/>
    <cellStyle name="Normal 5 2 3 2 3 6" xfId="2584" xr:uid="{00000000-0005-0000-0000-00006D180000}"/>
    <cellStyle name="Normal 5 2 3 2 3 6 2" xfId="6869" xr:uid="{00000000-0005-0000-0000-00006E180000}"/>
    <cellStyle name="Normal 5 2 3 2 3 6 2 2" xfId="15298" xr:uid="{EAB32D1F-FFC2-4E93-9389-1BE497E03CDB}"/>
    <cellStyle name="Normal 5 2 3 2 3 6 3" xfId="11080" xr:uid="{601FF83E-7249-4C3E-AD97-795071A2320F}"/>
    <cellStyle name="Normal 5 2 3 2 3 7" xfId="4804" xr:uid="{00000000-0005-0000-0000-00006F180000}"/>
    <cellStyle name="Normal 5 2 3 2 3 7 2" xfId="13233" xr:uid="{C4A95A14-AE5A-47A9-B443-57099D939FFA}"/>
    <cellStyle name="Normal 5 2 3 2 3 8" xfId="9015" xr:uid="{7E0D8A0E-3B8B-4CA3-AC48-199D43854465}"/>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B1842C11-EEF8-48F4-8846-93E7A03BB211}"/>
    <cellStyle name="Normal 5 2 3 2 4 2 3" xfId="11570" xr:uid="{A17E8146-A5E0-4BB6-ACF5-E2566D9E9FB5}"/>
    <cellStyle name="Normal 5 2 3 2 4 3" xfId="5214" xr:uid="{00000000-0005-0000-0000-000073180000}"/>
    <cellStyle name="Normal 5 2 3 2 4 3 2" xfId="13643" xr:uid="{72B7867F-EA44-4159-8677-39985C433BC1}"/>
    <cellStyle name="Normal 5 2 3 2 4 4" xfId="9425" xr:uid="{5A524878-946E-435A-ACE0-3CD7A016D74D}"/>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651ECC46-0871-4D48-84F7-08841D492D2D}"/>
    <cellStyle name="Normal 5 2 3 2 5 2 3" xfId="11983" xr:uid="{A5CB2884-BA40-4B24-BB30-5232C95F1F52}"/>
    <cellStyle name="Normal 5 2 3 2 5 3" xfId="5627" xr:uid="{00000000-0005-0000-0000-000077180000}"/>
    <cellStyle name="Normal 5 2 3 2 5 3 2" xfId="14056" xr:uid="{4CDC872B-D8EF-4552-87A8-211BD1FC338B}"/>
    <cellStyle name="Normal 5 2 3 2 5 4" xfId="9838" xr:uid="{A90C925C-4D18-496B-93BD-A31CA656AEA7}"/>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BCA8108D-3327-4CB6-9766-63E83139B3EE}"/>
    <cellStyle name="Normal 5 2 3 2 6 2 3" xfId="12396" xr:uid="{3217047C-B33D-44B2-BDAE-0583E259E11D}"/>
    <cellStyle name="Normal 5 2 3 2 6 3" xfId="6040" xr:uid="{00000000-0005-0000-0000-00007B180000}"/>
    <cellStyle name="Normal 5 2 3 2 6 3 2" xfId="14469" xr:uid="{35CEC33E-B42F-4789-B052-DC9B8E077889}"/>
    <cellStyle name="Normal 5 2 3 2 6 4" xfId="10251" xr:uid="{E99204B7-0B5F-4638-A978-2E1DCD81F48A}"/>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42035522-1B00-43E1-92F3-447A77CDA639}"/>
    <cellStyle name="Normal 5 2 3 2 7 2 3" xfId="12809" xr:uid="{A3A61D5A-6593-415F-A538-CD97474F82E2}"/>
    <cellStyle name="Normal 5 2 3 2 7 3" xfId="6453" xr:uid="{00000000-0005-0000-0000-00007F180000}"/>
    <cellStyle name="Normal 5 2 3 2 7 3 2" xfId="14882" xr:uid="{7D1E4CBB-8D4B-4E64-8831-1E5AC23F5B73}"/>
    <cellStyle name="Normal 5 2 3 2 7 4" xfId="10664" xr:uid="{54A21DDE-60F6-43FE-8BF2-AD3AB82714FD}"/>
    <cellStyle name="Normal 5 2 3 2 8" xfId="2581" xr:uid="{00000000-0005-0000-0000-000080180000}"/>
    <cellStyle name="Normal 5 2 3 2 8 2" xfId="6866" xr:uid="{00000000-0005-0000-0000-000081180000}"/>
    <cellStyle name="Normal 5 2 3 2 8 2 2" xfId="15295" xr:uid="{A1F72FC2-10BF-43AD-9998-A4B1BE887880}"/>
    <cellStyle name="Normal 5 2 3 2 8 3" xfId="11077" xr:uid="{21B2E3B8-DA32-433F-91D5-57052109D2BF}"/>
    <cellStyle name="Normal 5 2 3 2 9" xfId="4801" xr:uid="{00000000-0005-0000-0000-000082180000}"/>
    <cellStyle name="Normal 5 2 3 2 9 2" xfId="13230" xr:uid="{2F5E4CF7-1352-4878-B30C-43AC7236C2E7}"/>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BFA21946-FEE5-469F-A162-488B9923E316}"/>
    <cellStyle name="Normal 5 2 3 3 2 2 2 3" xfId="11575" xr:uid="{A57658A1-F32D-41B3-A047-C0F4DEE08724}"/>
    <cellStyle name="Normal 5 2 3 3 2 2 3" xfId="5219" xr:uid="{00000000-0005-0000-0000-000088180000}"/>
    <cellStyle name="Normal 5 2 3 3 2 2 3 2" xfId="13648" xr:uid="{C77A9B51-C9F8-4188-B609-DCC550B36CBF}"/>
    <cellStyle name="Normal 5 2 3 3 2 2 4" xfId="9430" xr:uid="{FA8DD9F7-5347-4860-9874-47A885A17A64}"/>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3BFA8913-0C0F-454D-A133-3DDCC3BA7026}"/>
    <cellStyle name="Normal 5 2 3 3 2 3 2 3" xfId="11988" xr:uid="{CC7E49BA-5DBB-4149-8C7D-FE37CCE0D328}"/>
    <cellStyle name="Normal 5 2 3 3 2 3 3" xfId="5632" xr:uid="{00000000-0005-0000-0000-00008C180000}"/>
    <cellStyle name="Normal 5 2 3 3 2 3 3 2" xfId="14061" xr:uid="{E1090653-CC30-4930-A09D-27971824694F}"/>
    <cellStyle name="Normal 5 2 3 3 2 3 4" xfId="9843" xr:uid="{9171F24E-26DA-4B77-92BC-91809DC9DDB8}"/>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5ADFD2E7-73DC-486F-A6BA-4A0E20C24CDA}"/>
    <cellStyle name="Normal 5 2 3 3 2 4 2 3" xfId="12401" xr:uid="{7003FDA4-5A7C-4DA9-A6CB-C165F4E9981D}"/>
    <cellStyle name="Normal 5 2 3 3 2 4 3" xfId="6045" xr:uid="{00000000-0005-0000-0000-000090180000}"/>
    <cellStyle name="Normal 5 2 3 3 2 4 3 2" xfId="14474" xr:uid="{70C00DB2-D503-4AEB-87FF-8A855EBF3337}"/>
    <cellStyle name="Normal 5 2 3 3 2 4 4" xfId="10256" xr:uid="{1AEC1104-31C9-41E2-9FB2-33F448D5FCDC}"/>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BD8D951E-687F-43BA-8418-5200ADA3A8D8}"/>
    <cellStyle name="Normal 5 2 3 3 2 5 2 3" xfId="12814" xr:uid="{1B09C0EF-D256-492C-A355-CA9ABA5A9C2C}"/>
    <cellStyle name="Normal 5 2 3 3 2 5 3" xfId="6458" xr:uid="{00000000-0005-0000-0000-000094180000}"/>
    <cellStyle name="Normal 5 2 3 3 2 5 3 2" xfId="14887" xr:uid="{C2362F10-B7DB-4F25-AF75-9BD28D605212}"/>
    <cellStyle name="Normal 5 2 3 3 2 5 4" xfId="10669" xr:uid="{0641E055-D441-4119-965C-13D81C0F7D88}"/>
    <cellStyle name="Normal 5 2 3 3 2 6" xfId="2586" xr:uid="{00000000-0005-0000-0000-000095180000}"/>
    <cellStyle name="Normal 5 2 3 3 2 6 2" xfId="6871" xr:uid="{00000000-0005-0000-0000-000096180000}"/>
    <cellStyle name="Normal 5 2 3 3 2 6 2 2" xfId="15300" xr:uid="{47899C3F-F41F-4440-9D5E-F03A39EE0530}"/>
    <cellStyle name="Normal 5 2 3 3 2 6 3" xfId="11082" xr:uid="{BEF9DCD6-B3C7-4A18-B6BB-0460C1702B61}"/>
    <cellStyle name="Normal 5 2 3 3 2 7" xfId="4806" xr:uid="{00000000-0005-0000-0000-000097180000}"/>
    <cellStyle name="Normal 5 2 3 3 2 7 2" xfId="13235" xr:uid="{6B5C231D-C1C4-441E-B094-E0A8BEBF7042}"/>
    <cellStyle name="Normal 5 2 3 3 2 8" xfId="9017" xr:uid="{8A9252B0-6790-4F30-BF53-31C9617A9A6E}"/>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E8ACB2A6-4E1F-41CE-8436-B69BFEE2496C}"/>
    <cellStyle name="Normal 5 2 3 3 3 2 3" xfId="11574" xr:uid="{9383BABD-8F03-405B-B4B0-AF3647C9AC65}"/>
    <cellStyle name="Normal 5 2 3 3 3 3" xfId="5218" xr:uid="{00000000-0005-0000-0000-00009B180000}"/>
    <cellStyle name="Normal 5 2 3 3 3 3 2" xfId="13647" xr:uid="{0E4E2A32-57DC-4992-8D65-3C2990EBCD11}"/>
    <cellStyle name="Normal 5 2 3 3 3 4" xfId="9429" xr:uid="{5699F113-7363-422B-B12B-20E591C1D311}"/>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40D0205A-0101-44B6-8E95-06462780B7F4}"/>
    <cellStyle name="Normal 5 2 3 3 4 2 3" xfId="11987" xr:uid="{392DF82B-3183-4760-AB31-6A3C16BC8B33}"/>
    <cellStyle name="Normal 5 2 3 3 4 3" xfId="5631" xr:uid="{00000000-0005-0000-0000-00009F180000}"/>
    <cellStyle name="Normal 5 2 3 3 4 3 2" xfId="14060" xr:uid="{767CD3F9-B8AC-4E30-8E74-2D3D84E6EFAA}"/>
    <cellStyle name="Normal 5 2 3 3 4 4" xfId="9842" xr:uid="{E4437806-E85F-4054-9481-2D6471A42CC8}"/>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CF6C02CA-4C87-4319-B4BB-C502272B735A}"/>
    <cellStyle name="Normal 5 2 3 3 5 2 3" xfId="12400" xr:uid="{2F6ADD95-BBCE-4713-93B1-86191A52184F}"/>
    <cellStyle name="Normal 5 2 3 3 5 3" xfId="6044" xr:uid="{00000000-0005-0000-0000-0000A3180000}"/>
    <cellStyle name="Normal 5 2 3 3 5 3 2" xfId="14473" xr:uid="{15C46B4D-EA72-4F9A-8A41-B54805FEF937}"/>
    <cellStyle name="Normal 5 2 3 3 5 4" xfId="10255" xr:uid="{378D8AC1-CE26-4C3C-A45E-5D7F120C592A}"/>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F3B235BC-178C-48E6-859B-D672FF9D3B10}"/>
    <cellStyle name="Normal 5 2 3 3 6 2 3" xfId="12813" xr:uid="{55ECE0E6-5E34-4EF1-A2FB-D9CC20A2AE03}"/>
    <cellStyle name="Normal 5 2 3 3 6 3" xfId="6457" xr:uid="{00000000-0005-0000-0000-0000A7180000}"/>
    <cellStyle name="Normal 5 2 3 3 6 3 2" xfId="14886" xr:uid="{F0D97675-0674-4251-BC7B-5B8F2176D96A}"/>
    <cellStyle name="Normal 5 2 3 3 6 4" xfId="10668" xr:uid="{FA9075F9-97E0-4433-879F-E3A9ACA3E433}"/>
    <cellStyle name="Normal 5 2 3 3 7" xfId="2585" xr:uid="{00000000-0005-0000-0000-0000A8180000}"/>
    <cellStyle name="Normal 5 2 3 3 7 2" xfId="6870" xr:uid="{00000000-0005-0000-0000-0000A9180000}"/>
    <cellStyle name="Normal 5 2 3 3 7 2 2" xfId="15299" xr:uid="{CD67BE72-DB9F-457A-ABA1-4FF44FF457F5}"/>
    <cellStyle name="Normal 5 2 3 3 7 3" xfId="11081" xr:uid="{84167B6B-9789-4514-8744-168D55409C71}"/>
    <cellStyle name="Normal 5 2 3 3 8" xfId="4805" xr:uid="{00000000-0005-0000-0000-0000AA180000}"/>
    <cellStyle name="Normal 5 2 3 3 8 2" xfId="13234" xr:uid="{082BC60B-7F7D-4038-8BF3-AE3D9B152242}"/>
    <cellStyle name="Normal 5 2 3 3 9" xfId="9016" xr:uid="{1D38814F-E5F3-44C3-AEB4-87063D39D191}"/>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A9DAAFDB-7D74-4277-BBC4-C24835C7D91F}"/>
    <cellStyle name="Normal 5 2 3 4 2 2 3" xfId="11576" xr:uid="{F96BD5D6-3CD3-4A44-AC33-ABFCE73A7B52}"/>
    <cellStyle name="Normal 5 2 3 4 2 3" xfId="5220" xr:uid="{00000000-0005-0000-0000-0000AF180000}"/>
    <cellStyle name="Normal 5 2 3 4 2 3 2" xfId="13649" xr:uid="{FB266AB5-13A4-4DFB-A58B-E64AD1FEE507}"/>
    <cellStyle name="Normal 5 2 3 4 2 4" xfId="9431" xr:uid="{BE2ACD27-79FC-467A-AF66-2AC3C34AE983}"/>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E652BEF6-FE4F-4DEF-A398-545BB02C07D4}"/>
    <cellStyle name="Normal 5 2 3 4 3 2 3" xfId="11989" xr:uid="{6472EB95-295F-49C5-817D-7E3D559877E5}"/>
    <cellStyle name="Normal 5 2 3 4 3 3" xfId="5633" xr:uid="{00000000-0005-0000-0000-0000B3180000}"/>
    <cellStyle name="Normal 5 2 3 4 3 3 2" xfId="14062" xr:uid="{7959A924-5874-4AC7-A1F4-191148E9ADD9}"/>
    <cellStyle name="Normal 5 2 3 4 3 4" xfId="9844" xr:uid="{6CA5EF8E-8651-4F60-B01F-AA99BDDB7291}"/>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3DA89022-21AC-443C-B022-D70F8FF61D0A}"/>
    <cellStyle name="Normal 5 2 3 4 4 2 3" xfId="12402" xr:uid="{EE5799E0-3229-4017-9859-F734340D633D}"/>
    <cellStyle name="Normal 5 2 3 4 4 3" xfId="6046" xr:uid="{00000000-0005-0000-0000-0000B7180000}"/>
    <cellStyle name="Normal 5 2 3 4 4 3 2" xfId="14475" xr:uid="{888BE016-1472-402D-BF2C-2EC497B20C51}"/>
    <cellStyle name="Normal 5 2 3 4 4 4" xfId="10257" xr:uid="{CE8F81FF-3DA8-4F43-AE18-FE3D0D2C0B17}"/>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73CC0412-F659-47F7-82B8-634638658D5A}"/>
    <cellStyle name="Normal 5 2 3 4 5 2 3" xfId="12815" xr:uid="{91AA6093-FCD6-46A7-B8A4-8421782485EF}"/>
    <cellStyle name="Normal 5 2 3 4 5 3" xfId="6459" xr:uid="{00000000-0005-0000-0000-0000BB180000}"/>
    <cellStyle name="Normal 5 2 3 4 5 3 2" xfId="14888" xr:uid="{F82E2283-170B-4969-B91F-0E5F9703ADCC}"/>
    <cellStyle name="Normal 5 2 3 4 5 4" xfId="10670" xr:uid="{6D572401-FFC7-49BA-9BAB-B983D04D7DA9}"/>
    <cellStyle name="Normal 5 2 3 4 6" xfId="2587" xr:uid="{00000000-0005-0000-0000-0000BC180000}"/>
    <cellStyle name="Normal 5 2 3 4 6 2" xfId="6872" xr:uid="{00000000-0005-0000-0000-0000BD180000}"/>
    <cellStyle name="Normal 5 2 3 4 6 2 2" xfId="15301" xr:uid="{A4779CCF-B07F-4375-8EC5-0F1A70AE254C}"/>
    <cellStyle name="Normal 5 2 3 4 6 3" xfId="11083" xr:uid="{B8B77078-5901-40A1-B03C-C0640FF30BAB}"/>
    <cellStyle name="Normal 5 2 3 4 7" xfId="4807" xr:uid="{00000000-0005-0000-0000-0000BE180000}"/>
    <cellStyle name="Normal 5 2 3 4 7 2" xfId="13236" xr:uid="{3CB22CFC-5D69-4A34-B581-5511A3A9A7C7}"/>
    <cellStyle name="Normal 5 2 3 4 8" xfId="9018" xr:uid="{4AF440DB-D253-48DE-B3C0-7B3D87B1BB54}"/>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B70EE788-410F-41B3-8CD0-7B984ACFCB08}"/>
    <cellStyle name="Normal 5 2 3 5 2 3" xfId="11569" xr:uid="{4B8C3184-4D47-42F6-B5B6-834A46965709}"/>
    <cellStyle name="Normal 5 2 3 5 3" xfId="5213" xr:uid="{00000000-0005-0000-0000-0000C2180000}"/>
    <cellStyle name="Normal 5 2 3 5 3 2" xfId="13642" xr:uid="{9A9AE678-8B3B-4B85-A020-D46F425EF66F}"/>
    <cellStyle name="Normal 5 2 3 5 4" xfId="9424" xr:uid="{3B1ECF2A-6ECF-4908-8719-D7061AD11816}"/>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D3F11A68-01AE-47D5-A780-F4EBCF98F060}"/>
    <cellStyle name="Normal 5 2 3 6 2 3" xfId="11982" xr:uid="{147BD436-C950-480C-BED9-28DA16995F59}"/>
    <cellStyle name="Normal 5 2 3 6 3" xfId="5626" xr:uid="{00000000-0005-0000-0000-0000C6180000}"/>
    <cellStyle name="Normal 5 2 3 6 3 2" xfId="14055" xr:uid="{A07742F6-A107-4BB5-BEF9-91252A3A9899}"/>
    <cellStyle name="Normal 5 2 3 6 4" xfId="9837" xr:uid="{93BD9C94-86BD-4D8F-A260-626FE3E1DA9F}"/>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99FFCB7C-3BF6-4080-9B43-F9E3FC08F900}"/>
    <cellStyle name="Normal 5 2 3 7 2 3" xfId="12395" xr:uid="{D7280050-0710-4D0B-8CF9-519A2311A33E}"/>
    <cellStyle name="Normal 5 2 3 7 3" xfId="6039" xr:uid="{00000000-0005-0000-0000-0000CA180000}"/>
    <cellStyle name="Normal 5 2 3 7 3 2" xfId="14468" xr:uid="{09A99F63-062E-4CFD-BE28-12E7E2CB512A}"/>
    <cellStyle name="Normal 5 2 3 7 4" xfId="10250" xr:uid="{B35FE0DB-2350-433E-8ECE-79CD5AF91CED}"/>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275DA1D4-5722-4017-8907-BFDE0FE189D3}"/>
    <cellStyle name="Normal 5 2 3 8 2 3" xfId="12808" xr:uid="{CC9334BE-13E1-49D4-AD22-72E87B0B8EE8}"/>
    <cellStyle name="Normal 5 2 3 8 3" xfId="6452" xr:uid="{00000000-0005-0000-0000-0000CE180000}"/>
    <cellStyle name="Normal 5 2 3 8 3 2" xfId="14881" xr:uid="{01880D56-9056-4171-97EF-1E12B6BA84A5}"/>
    <cellStyle name="Normal 5 2 3 8 4" xfId="10663" xr:uid="{C956D3C0-7B65-46F8-812C-16BD660CAB6F}"/>
    <cellStyle name="Normal 5 2 3 9" xfId="2580" xr:uid="{00000000-0005-0000-0000-0000CF180000}"/>
    <cellStyle name="Normal 5 2 3 9 2" xfId="6865" xr:uid="{00000000-0005-0000-0000-0000D0180000}"/>
    <cellStyle name="Normal 5 2 3 9 2 2" xfId="15294" xr:uid="{879FC2EC-FBFF-45C1-AD37-96975120665C}"/>
    <cellStyle name="Normal 5 2 3 9 3" xfId="11076" xr:uid="{5475644F-D2D3-440A-98D8-95A8DC7ADD24}"/>
    <cellStyle name="Normal 5 2 4" xfId="432" xr:uid="{00000000-0005-0000-0000-0000D1180000}"/>
    <cellStyle name="Normal 5 2 4 10" xfId="9019" xr:uid="{07AF4BB9-F1B1-4059-A19E-FE2B28F14947}"/>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45B42E55-CDC7-4D91-8511-5A4892B21111}"/>
    <cellStyle name="Normal 5 2 4 2 2 2 2 3" xfId="11579" xr:uid="{3775B786-8A0A-4C33-88D8-E16700C1CE21}"/>
    <cellStyle name="Normal 5 2 4 2 2 2 3" xfId="5223" xr:uid="{00000000-0005-0000-0000-0000D7180000}"/>
    <cellStyle name="Normal 5 2 4 2 2 2 3 2" xfId="13652" xr:uid="{5CCFABDC-9B66-40FF-BD51-CBE9301B511E}"/>
    <cellStyle name="Normal 5 2 4 2 2 2 4" xfId="9434" xr:uid="{CAFC1EE1-21CD-46E5-9438-17B4CD77C3CE}"/>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4A947B01-1387-4268-8578-A05E9BB72DB2}"/>
    <cellStyle name="Normal 5 2 4 2 2 3 2 3" xfId="11992" xr:uid="{B11A5B3E-7FDB-412C-A225-9BEC3E54E00E}"/>
    <cellStyle name="Normal 5 2 4 2 2 3 3" xfId="5636" xr:uid="{00000000-0005-0000-0000-0000DB180000}"/>
    <cellStyle name="Normal 5 2 4 2 2 3 3 2" xfId="14065" xr:uid="{F656AA59-66ED-47DB-9145-A12C4FE858D9}"/>
    <cellStyle name="Normal 5 2 4 2 2 3 4" xfId="9847" xr:uid="{8CEBBD17-425B-4208-A1CE-D55BB8A21FAE}"/>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9623B2DC-5623-485B-B32C-F51FA70AE445}"/>
    <cellStyle name="Normal 5 2 4 2 2 4 2 3" xfId="12405" xr:uid="{6D93939B-8CCB-49B6-8AFD-C1A54AA6A3DD}"/>
    <cellStyle name="Normal 5 2 4 2 2 4 3" xfId="6049" xr:uid="{00000000-0005-0000-0000-0000DF180000}"/>
    <cellStyle name="Normal 5 2 4 2 2 4 3 2" xfId="14478" xr:uid="{DDA65E19-B6F0-4218-8C01-670E1861BE41}"/>
    <cellStyle name="Normal 5 2 4 2 2 4 4" xfId="10260" xr:uid="{83CF2C48-186E-4746-9777-2ADCCF754EB9}"/>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0DA73200-3227-4DD9-B9C8-78123932CEE1}"/>
    <cellStyle name="Normal 5 2 4 2 2 5 2 3" xfId="12818" xr:uid="{95503035-9E95-4E37-A284-6DF16A26213F}"/>
    <cellStyle name="Normal 5 2 4 2 2 5 3" xfId="6462" xr:uid="{00000000-0005-0000-0000-0000E3180000}"/>
    <cellStyle name="Normal 5 2 4 2 2 5 3 2" xfId="14891" xr:uid="{9E2B610D-27E0-4082-899F-7E1483EE5869}"/>
    <cellStyle name="Normal 5 2 4 2 2 5 4" xfId="10673" xr:uid="{0F69351A-A696-408F-83F3-F92034E74D88}"/>
    <cellStyle name="Normal 5 2 4 2 2 6" xfId="2590" xr:uid="{00000000-0005-0000-0000-0000E4180000}"/>
    <cellStyle name="Normal 5 2 4 2 2 6 2" xfId="6875" xr:uid="{00000000-0005-0000-0000-0000E5180000}"/>
    <cellStyle name="Normal 5 2 4 2 2 6 2 2" xfId="15304" xr:uid="{7990EF3C-F760-4AE5-B81E-8BB14393262F}"/>
    <cellStyle name="Normal 5 2 4 2 2 6 3" xfId="11086" xr:uid="{CBEACAE3-CD03-4A86-9AD9-6DF2ACBD82E6}"/>
    <cellStyle name="Normal 5 2 4 2 2 7" xfId="4810" xr:uid="{00000000-0005-0000-0000-0000E6180000}"/>
    <cellStyle name="Normal 5 2 4 2 2 7 2" xfId="13239" xr:uid="{408AE676-A164-4255-A2F9-B60E057611D6}"/>
    <cellStyle name="Normal 5 2 4 2 2 8" xfId="9021" xr:uid="{2473C579-14FB-4F65-AF57-1A08DDB5CDD8}"/>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66E0A2FE-B2AB-4331-A791-BC4AAAF96609}"/>
    <cellStyle name="Normal 5 2 4 2 3 2 3" xfId="11578" xr:uid="{3A2C9AE2-1FFE-4119-AC98-08D865A558E0}"/>
    <cellStyle name="Normal 5 2 4 2 3 3" xfId="5222" xr:uid="{00000000-0005-0000-0000-0000EA180000}"/>
    <cellStyle name="Normal 5 2 4 2 3 3 2" xfId="13651" xr:uid="{D6942BA2-14B6-485C-BF3B-E3435986A6E1}"/>
    <cellStyle name="Normal 5 2 4 2 3 4" xfId="9433" xr:uid="{71B1D475-39DB-44FB-A6F3-C96255C25E95}"/>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C2D62758-CF2A-4E42-B797-45F7B044936B}"/>
    <cellStyle name="Normal 5 2 4 2 4 2 3" xfId="11991" xr:uid="{2DB80FB9-2B3E-48A1-BCC8-4B92CD80B001}"/>
    <cellStyle name="Normal 5 2 4 2 4 3" xfId="5635" xr:uid="{00000000-0005-0000-0000-0000EE180000}"/>
    <cellStyle name="Normal 5 2 4 2 4 3 2" xfId="14064" xr:uid="{A27B8FE5-B9AB-4445-8F03-80A15A75448C}"/>
    <cellStyle name="Normal 5 2 4 2 4 4" xfId="9846" xr:uid="{56A47B48-918C-4F36-AFEC-58A483E38BE0}"/>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8437FEE5-5892-4108-A4BC-EC760111468F}"/>
    <cellStyle name="Normal 5 2 4 2 5 2 3" xfId="12404" xr:uid="{E74F2D8C-8DE6-49E7-BCB9-760596793FFA}"/>
    <cellStyle name="Normal 5 2 4 2 5 3" xfId="6048" xr:uid="{00000000-0005-0000-0000-0000F2180000}"/>
    <cellStyle name="Normal 5 2 4 2 5 3 2" xfId="14477" xr:uid="{7FED25B7-1151-4E10-91B8-6382DB01DAD3}"/>
    <cellStyle name="Normal 5 2 4 2 5 4" xfId="10259" xr:uid="{0FE5E13A-A77A-4B3A-BE86-BF2B20627060}"/>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275AA7B3-B592-42BE-B6E7-2D1AA45ACCC6}"/>
    <cellStyle name="Normal 5 2 4 2 6 2 3" xfId="12817" xr:uid="{266B6F68-3EF7-45B7-AC30-4A225E8CB686}"/>
    <cellStyle name="Normal 5 2 4 2 6 3" xfId="6461" xr:uid="{00000000-0005-0000-0000-0000F6180000}"/>
    <cellStyle name="Normal 5 2 4 2 6 3 2" xfId="14890" xr:uid="{0775F7A3-16FA-4345-8E30-0090515F4D8B}"/>
    <cellStyle name="Normal 5 2 4 2 6 4" xfId="10672" xr:uid="{1F619DA6-8C25-4C1E-B881-CB0D46336C4E}"/>
    <cellStyle name="Normal 5 2 4 2 7" xfId="2589" xr:uid="{00000000-0005-0000-0000-0000F7180000}"/>
    <cellStyle name="Normal 5 2 4 2 7 2" xfId="6874" xr:uid="{00000000-0005-0000-0000-0000F8180000}"/>
    <cellStyle name="Normal 5 2 4 2 7 2 2" xfId="15303" xr:uid="{5DAB8D67-FFA9-4967-8EAC-102327BF8549}"/>
    <cellStyle name="Normal 5 2 4 2 7 3" xfId="11085" xr:uid="{8AE79DD5-01D3-4D11-A67E-21399CFDB09B}"/>
    <cellStyle name="Normal 5 2 4 2 8" xfId="4809" xr:uid="{00000000-0005-0000-0000-0000F9180000}"/>
    <cellStyle name="Normal 5 2 4 2 8 2" xfId="13238" xr:uid="{A0EB0FD5-C8D5-4744-8DFD-BC9EE732A257}"/>
    <cellStyle name="Normal 5 2 4 2 9" xfId="9020" xr:uid="{DB19AAB6-7BF9-4A52-ADF7-113864DF0CBA}"/>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A22576D8-D1AA-4296-8BC2-B901B7BB1953}"/>
    <cellStyle name="Normal 5 2 4 3 2 2 3" xfId="11580" xr:uid="{189EC2B2-1ADE-49AD-AC54-C5091E26C6C9}"/>
    <cellStyle name="Normal 5 2 4 3 2 3" xfId="5224" xr:uid="{00000000-0005-0000-0000-0000FE180000}"/>
    <cellStyle name="Normal 5 2 4 3 2 3 2" xfId="13653" xr:uid="{73BE9019-B4DD-4F7B-8200-798ABCEF39F0}"/>
    <cellStyle name="Normal 5 2 4 3 2 4" xfId="9435" xr:uid="{0DD4C811-486B-439B-B33A-9E5BED702A1A}"/>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DC36FF75-3CA3-4EAD-8596-17846E079F3F}"/>
    <cellStyle name="Normal 5 2 4 3 3 2 3" xfId="11993" xr:uid="{0C9EB83F-1E7E-4FB0-830C-69F3D1F3241D}"/>
    <cellStyle name="Normal 5 2 4 3 3 3" xfId="5637" xr:uid="{00000000-0005-0000-0000-000002190000}"/>
    <cellStyle name="Normal 5 2 4 3 3 3 2" xfId="14066" xr:uid="{03968E0D-B665-490D-8B27-ADE2C259883B}"/>
    <cellStyle name="Normal 5 2 4 3 3 4" xfId="9848" xr:uid="{6A002F0D-4980-415F-A108-856213B8EAA3}"/>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565C44A9-AD36-4EC4-8899-4FFE657C055E}"/>
    <cellStyle name="Normal 5 2 4 3 4 2 3" xfId="12406" xr:uid="{F7CB5A34-CB64-4DB4-9594-8CF2550AEA58}"/>
    <cellStyle name="Normal 5 2 4 3 4 3" xfId="6050" xr:uid="{00000000-0005-0000-0000-000006190000}"/>
    <cellStyle name="Normal 5 2 4 3 4 3 2" xfId="14479" xr:uid="{1EDC8636-80E5-4FFF-A774-01055A7C6E98}"/>
    <cellStyle name="Normal 5 2 4 3 4 4" xfId="10261" xr:uid="{E5BAA411-E1A7-442C-9126-B985747F3527}"/>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24B664B2-4F17-4A93-8A62-63D03B352BBA}"/>
    <cellStyle name="Normal 5 2 4 3 5 2 3" xfId="12819" xr:uid="{09EFBDCF-5920-4F72-BDA4-5D818993308D}"/>
    <cellStyle name="Normal 5 2 4 3 5 3" xfId="6463" xr:uid="{00000000-0005-0000-0000-00000A190000}"/>
    <cellStyle name="Normal 5 2 4 3 5 3 2" xfId="14892" xr:uid="{65828C3F-43F3-4897-8D44-BEED476961C2}"/>
    <cellStyle name="Normal 5 2 4 3 5 4" xfId="10674" xr:uid="{83ECA744-29D9-4EC4-80E0-D78DCC083031}"/>
    <cellStyle name="Normal 5 2 4 3 6" xfId="2591" xr:uid="{00000000-0005-0000-0000-00000B190000}"/>
    <cellStyle name="Normal 5 2 4 3 6 2" xfId="6876" xr:uid="{00000000-0005-0000-0000-00000C190000}"/>
    <cellStyle name="Normal 5 2 4 3 6 2 2" xfId="15305" xr:uid="{8696B303-04F3-44FB-9307-AC652569257B}"/>
    <cellStyle name="Normal 5 2 4 3 6 3" xfId="11087" xr:uid="{BC083D19-9F7B-41B0-9F9C-FBE7C2E4A863}"/>
    <cellStyle name="Normal 5 2 4 3 7" xfId="4811" xr:uid="{00000000-0005-0000-0000-00000D190000}"/>
    <cellStyle name="Normal 5 2 4 3 7 2" xfId="13240" xr:uid="{FDF286D9-F63F-4A08-B8BA-F1D65D19C18E}"/>
    <cellStyle name="Normal 5 2 4 3 8" xfId="9022" xr:uid="{67C10841-A14C-4D29-A651-AD1D541DB668}"/>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F002A76B-D9A7-42BE-96CE-7673ACFD4306}"/>
    <cellStyle name="Normal 5 2 4 4 2 3" xfId="11577" xr:uid="{0EAAC06D-0513-4C7E-9ABB-2E77CDA8DD01}"/>
    <cellStyle name="Normal 5 2 4 4 3" xfId="5221" xr:uid="{00000000-0005-0000-0000-000011190000}"/>
    <cellStyle name="Normal 5 2 4 4 3 2" xfId="13650" xr:uid="{AFC4C862-05A5-4887-B545-94627842C5D7}"/>
    <cellStyle name="Normal 5 2 4 4 4" xfId="9432" xr:uid="{0807E5E4-3B7E-45DD-A0C9-EC90078EDCAD}"/>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1A5A8EBA-0870-493D-96C2-8452B6B2D060}"/>
    <cellStyle name="Normal 5 2 4 5 2 3" xfId="11990" xr:uid="{CF461655-D2FA-49E5-8890-D1A73077BE22}"/>
    <cellStyle name="Normal 5 2 4 5 3" xfId="5634" xr:uid="{00000000-0005-0000-0000-000015190000}"/>
    <cellStyle name="Normal 5 2 4 5 3 2" xfId="14063" xr:uid="{FB7D3641-D270-4B9A-B213-FAABC3F4F7E1}"/>
    <cellStyle name="Normal 5 2 4 5 4" xfId="9845" xr:uid="{15FA0E6B-C4D0-45E7-ADE7-90502DCA739F}"/>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183029C6-575D-4758-B890-DB15E27F18CC}"/>
    <cellStyle name="Normal 5 2 4 6 2 3" xfId="12403" xr:uid="{A276F96F-EE08-4F83-AAE9-620CE691C1D8}"/>
    <cellStyle name="Normal 5 2 4 6 3" xfId="6047" xr:uid="{00000000-0005-0000-0000-000019190000}"/>
    <cellStyle name="Normal 5 2 4 6 3 2" xfId="14476" xr:uid="{B5F48554-A3B7-4FC9-B31F-2AFE42C4F57A}"/>
    <cellStyle name="Normal 5 2 4 6 4" xfId="10258" xr:uid="{A91348D0-F07A-490F-A75F-313E52D9FC2F}"/>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6467BFA1-2103-4679-88B8-7315D416A6EF}"/>
    <cellStyle name="Normal 5 2 4 7 2 3" xfId="12816" xr:uid="{8B981628-0E63-4E6E-95FA-6E8288A71CFE}"/>
    <cellStyle name="Normal 5 2 4 7 3" xfId="6460" xr:uid="{00000000-0005-0000-0000-00001D190000}"/>
    <cellStyle name="Normal 5 2 4 7 3 2" xfId="14889" xr:uid="{212A43B6-C5D9-47D5-955F-CCDB844601EE}"/>
    <cellStyle name="Normal 5 2 4 7 4" xfId="10671" xr:uid="{D7BF36C0-4463-44E3-A50C-0BB355433037}"/>
    <cellStyle name="Normal 5 2 4 8" xfId="2588" xr:uid="{00000000-0005-0000-0000-00001E190000}"/>
    <cellStyle name="Normal 5 2 4 8 2" xfId="6873" xr:uid="{00000000-0005-0000-0000-00001F190000}"/>
    <cellStyle name="Normal 5 2 4 8 2 2" xfId="15302" xr:uid="{D35FC36A-67BD-4E78-AA29-F3BB81A44C45}"/>
    <cellStyle name="Normal 5 2 4 8 3" xfId="11084" xr:uid="{AD82A11C-9663-4593-BE7D-BE503A12C2C4}"/>
    <cellStyle name="Normal 5 2 4 9" xfId="4808" xr:uid="{00000000-0005-0000-0000-000020190000}"/>
    <cellStyle name="Normal 5 2 4 9 2" xfId="13237" xr:uid="{0E522937-AD2C-4642-AFE4-41B49ED0E103}"/>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C0C157F7-F247-4209-91EE-205E0568CE1A}"/>
    <cellStyle name="Normal 5 2 5 2 2 2 3" xfId="11582" xr:uid="{3C3AC10A-B7BB-4432-B77D-8B0D964FC914}"/>
    <cellStyle name="Normal 5 2 5 2 2 3" xfId="5226" xr:uid="{00000000-0005-0000-0000-000026190000}"/>
    <cellStyle name="Normal 5 2 5 2 2 3 2" xfId="13655" xr:uid="{3B65047F-9A70-4A15-9CD3-37425448F1CF}"/>
    <cellStyle name="Normal 5 2 5 2 2 4" xfId="9437" xr:uid="{3F76C37B-2A90-47B9-A829-2B918C864E35}"/>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5A1429C8-4D02-4D9F-865B-DC07A67CF3A5}"/>
    <cellStyle name="Normal 5 2 5 2 3 2 3" xfId="11995" xr:uid="{925BF4FA-147A-493C-8849-D9B29D91E12E}"/>
    <cellStyle name="Normal 5 2 5 2 3 3" xfId="5639" xr:uid="{00000000-0005-0000-0000-00002A190000}"/>
    <cellStyle name="Normal 5 2 5 2 3 3 2" xfId="14068" xr:uid="{04317430-8769-4D5F-B550-994252E50055}"/>
    <cellStyle name="Normal 5 2 5 2 3 4" xfId="9850" xr:uid="{59EF984D-02E4-404B-A504-695D3C02C29F}"/>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C106CF52-5E4E-4F79-8601-D1C644C0C6AC}"/>
    <cellStyle name="Normal 5 2 5 2 4 2 3" xfId="12408" xr:uid="{B658B16E-564D-4D34-BF23-443733BFE5AE}"/>
    <cellStyle name="Normal 5 2 5 2 4 3" xfId="6052" xr:uid="{00000000-0005-0000-0000-00002E190000}"/>
    <cellStyle name="Normal 5 2 5 2 4 3 2" xfId="14481" xr:uid="{78E459CA-EA48-47D2-A272-1807BFAF95F2}"/>
    <cellStyle name="Normal 5 2 5 2 4 4" xfId="10263" xr:uid="{CD0C2337-AE05-4BBB-9E1A-7A10810869C7}"/>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39E17881-61C9-463B-87FF-32EB78A3F3AC}"/>
    <cellStyle name="Normal 5 2 5 2 5 2 3" xfId="12821" xr:uid="{91BB10C2-82D0-48AA-B586-53BDE3ABBBE3}"/>
    <cellStyle name="Normal 5 2 5 2 5 3" xfId="6465" xr:uid="{00000000-0005-0000-0000-000032190000}"/>
    <cellStyle name="Normal 5 2 5 2 5 3 2" xfId="14894" xr:uid="{72F10F3F-AEF4-4C48-A276-D60B59CBABA0}"/>
    <cellStyle name="Normal 5 2 5 2 5 4" xfId="10676" xr:uid="{25189603-E16A-4332-BEDE-6B90020BF390}"/>
    <cellStyle name="Normal 5 2 5 2 6" xfId="2593" xr:uid="{00000000-0005-0000-0000-000033190000}"/>
    <cellStyle name="Normal 5 2 5 2 6 2" xfId="6878" xr:uid="{00000000-0005-0000-0000-000034190000}"/>
    <cellStyle name="Normal 5 2 5 2 6 2 2" xfId="15307" xr:uid="{FB7AA30A-3225-40D2-8A9E-F4AE53A09E26}"/>
    <cellStyle name="Normal 5 2 5 2 6 3" xfId="11089" xr:uid="{914489FB-BFB5-4A4D-A417-A38B24F630B8}"/>
    <cellStyle name="Normal 5 2 5 2 7" xfId="4813" xr:uid="{00000000-0005-0000-0000-000035190000}"/>
    <cellStyle name="Normal 5 2 5 2 7 2" xfId="13242" xr:uid="{06C64DEB-794B-4A5C-B01D-3D3753551F9A}"/>
    <cellStyle name="Normal 5 2 5 2 8" xfId="9024" xr:uid="{0676619C-8563-4F8A-8CDF-0FC0033127A7}"/>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9A5F68EC-FC24-4653-B6DB-8CFC3E86A22B}"/>
    <cellStyle name="Normal 5 2 5 3 2 3" xfId="11581" xr:uid="{B9A74E10-7D91-42EF-892A-B76A0CCC3EFC}"/>
    <cellStyle name="Normal 5 2 5 3 3" xfId="5225" xr:uid="{00000000-0005-0000-0000-000039190000}"/>
    <cellStyle name="Normal 5 2 5 3 3 2" xfId="13654" xr:uid="{F4F822FE-0406-4285-9EE2-11D3336BBEBE}"/>
    <cellStyle name="Normal 5 2 5 3 4" xfId="9436" xr:uid="{FA046212-E8A4-4878-B0B1-4758A45FDD30}"/>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41222211-196E-4E8D-B387-7C4D51AE924F}"/>
    <cellStyle name="Normal 5 2 5 4 2 3" xfId="11994" xr:uid="{6EE2CE41-3375-4A64-9179-B550666ACB67}"/>
    <cellStyle name="Normal 5 2 5 4 3" xfId="5638" xr:uid="{00000000-0005-0000-0000-00003D190000}"/>
    <cellStyle name="Normal 5 2 5 4 3 2" xfId="14067" xr:uid="{58F495EF-118A-4DE7-B931-101C75662C66}"/>
    <cellStyle name="Normal 5 2 5 4 4" xfId="9849" xr:uid="{0711709A-A1A6-46BA-AC4C-44204832ED9D}"/>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12383365-4754-45E6-90F6-D5BB85EC8162}"/>
    <cellStyle name="Normal 5 2 5 5 2 3" xfId="12407" xr:uid="{FC0A1037-F2B3-49B0-BA04-8EA0C00F03B6}"/>
    <cellStyle name="Normal 5 2 5 5 3" xfId="6051" xr:uid="{00000000-0005-0000-0000-000041190000}"/>
    <cellStyle name="Normal 5 2 5 5 3 2" xfId="14480" xr:uid="{26926B56-A865-450E-A751-3CAC08EC5767}"/>
    <cellStyle name="Normal 5 2 5 5 4" xfId="10262" xr:uid="{110DC927-E0A0-414C-B7B3-78EE078E9AE7}"/>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E0BD3CFB-7624-45CC-B836-C4C9CB9EA2CC}"/>
    <cellStyle name="Normal 5 2 5 6 2 3" xfId="12820" xr:uid="{06C94862-B194-4C3A-9F9C-CC8B0907A610}"/>
    <cellStyle name="Normal 5 2 5 6 3" xfId="6464" xr:uid="{00000000-0005-0000-0000-000045190000}"/>
    <cellStyle name="Normal 5 2 5 6 3 2" xfId="14893" xr:uid="{5919C763-5D9B-4E5E-9A52-075870BB039C}"/>
    <cellStyle name="Normal 5 2 5 6 4" xfId="10675" xr:uid="{17977B8D-8DCD-48D8-AE78-5AFD7B9C5AD3}"/>
    <cellStyle name="Normal 5 2 5 7" xfId="2592" xr:uid="{00000000-0005-0000-0000-000046190000}"/>
    <cellStyle name="Normal 5 2 5 7 2" xfId="6877" xr:uid="{00000000-0005-0000-0000-000047190000}"/>
    <cellStyle name="Normal 5 2 5 7 2 2" xfId="15306" xr:uid="{8B46BA04-7638-42F1-9508-CB321AE85557}"/>
    <cellStyle name="Normal 5 2 5 7 3" xfId="11088" xr:uid="{97CCB363-16A6-4C3F-8604-A0B8E96F6AFE}"/>
    <cellStyle name="Normal 5 2 5 8" xfId="4812" xr:uid="{00000000-0005-0000-0000-000048190000}"/>
    <cellStyle name="Normal 5 2 5 8 2" xfId="13241" xr:uid="{4099ED41-D289-4539-AE37-4C7BDAA90DC9}"/>
    <cellStyle name="Normal 5 2 5 9" xfId="9023" xr:uid="{B9AF5DC9-E30C-4FE7-A1ED-92A3016AA79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D0C30ABC-3028-495C-8250-3DCFDE217911}"/>
    <cellStyle name="Normal 5 2 6 2 2 3" xfId="11583" xr:uid="{203B798D-130D-417C-85D5-69A16F5B2406}"/>
    <cellStyle name="Normal 5 2 6 2 3" xfId="5227" xr:uid="{00000000-0005-0000-0000-00004D190000}"/>
    <cellStyle name="Normal 5 2 6 2 3 2" xfId="13656" xr:uid="{109138C4-CFA0-45B8-829B-4784E1D6534B}"/>
    <cellStyle name="Normal 5 2 6 2 4" xfId="9438" xr:uid="{AD66FCD8-6D6D-4A54-9AFC-5C2842D9ADEA}"/>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D368956D-12E3-45CA-9C30-1754B774172F}"/>
    <cellStyle name="Normal 5 2 6 3 2 3" xfId="11996" xr:uid="{A5B6FE7E-9D9C-4226-A0FF-4C63DD8F465D}"/>
    <cellStyle name="Normal 5 2 6 3 3" xfId="5640" xr:uid="{00000000-0005-0000-0000-000051190000}"/>
    <cellStyle name="Normal 5 2 6 3 3 2" xfId="14069" xr:uid="{3F3CB7E2-6587-4EE6-9FC1-6590B9ED8FAE}"/>
    <cellStyle name="Normal 5 2 6 3 4" xfId="9851" xr:uid="{05D8C707-2BCF-45D6-AE8B-2C4C04494073}"/>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0B3DEFA7-28AD-4CE7-8250-B73D1EADB712}"/>
    <cellStyle name="Normal 5 2 6 4 2 3" xfId="12409" xr:uid="{81431969-4167-4322-903E-0964A778FB20}"/>
    <cellStyle name="Normal 5 2 6 4 3" xfId="6053" xr:uid="{00000000-0005-0000-0000-000055190000}"/>
    <cellStyle name="Normal 5 2 6 4 3 2" xfId="14482" xr:uid="{B91B018E-1958-4BA5-B3EF-B9879480D298}"/>
    <cellStyle name="Normal 5 2 6 4 4" xfId="10264" xr:uid="{39848397-45D5-43EF-BCD7-F58775C77DAA}"/>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169F6255-D779-4A1F-BA62-E0588DEEF9DC}"/>
    <cellStyle name="Normal 5 2 6 5 2 3" xfId="12822" xr:uid="{AB2326A5-55A7-46DE-A693-C575B25CA260}"/>
    <cellStyle name="Normal 5 2 6 5 3" xfId="6466" xr:uid="{00000000-0005-0000-0000-000059190000}"/>
    <cellStyle name="Normal 5 2 6 5 3 2" xfId="14895" xr:uid="{905E3584-26C0-4F59-A261-CD2079726E10}"/>
    <cellStyle name="Normal 5 2 6 5 4" xfId="10677" xr:uid="{B9FE7AEE-0EB6-43A4-9799-FC76D04AE4ED}"/>
    <cellStyle name="Normal 5 2 6 6" xfId="2594" xr:uid="{00000000-0005-0000-0000-00005A190000}"/>
    <cellStyle name="Normal 5 2 6 6 2" xfId="6879" xr:uid="{00000000-0005-0000-0000-00005B190000}"/>
    <cellStyle name="Normal 5 2 6 6 2 2" xfId="15308" xr:uid="{41783E97-0145-4873-A832-50B38CFCE194}"/>
    <cellStyle name="Normal 5 2 6 6 3" xfId="11090" xr:uid="{887417B2-23EC-405E-BEA5-70313D9C65F8}"/>
    <cellStyle name="Normal 5 2 6 7" xfId="4814" xr:uid="{00000000-0005-0000-0000-00005C190000}"/>
    <cellStyle name="Normal 5 2 6 7 2" xfId="13243" xr:uid="{221DC7E6-4863-4B76-9A12-9548AE79B8E9}"/>
    <cellStyle name="Normal 5 2 6 8" xfId="9025" xr:uid="{EA96D8EE-7F7E-4559-A44D-A3F08816BDFB}"/>
    <cellStyle name="Normal 5 2 7" xfId="882" xr:uid="{00000000-0005-0000-0000-00005D190000}"/>
    <cellStyle name="Normal 5 2 7 2" xfId="3117" xr:uid="{00000000-0005-0000-0000-00005E190000}"/>
    <cellStyle name="Normal 5 2 7 2 2" xfId="7341" xr:uid="{00000000-0005-0000-0000-00005F190000}"/>
    <cellStyle name="Normal 5 2 7 2 2 2" xfId="15770" xr:uid="{E93EE19D-3E0E-489F-8433-EE918967A03B}"/>
    <cellStyle name="Normal 5 2 7 2 3" xfId="11552" xr:uid="{FF1F7D58-2924-416C-B5D4-C1741952D931}"/>
    <cellStyle name="Normal 5 2 7 3" xfId="5196" xr:uid="{00000000-0005-0000-0000-000060190000}"/>
    <cellStyle name="Normal 5 2 7 3 2" xfId="13625" xr:uid="{213279F9-89D0-472A-94A0-9EFD1638A62D}"/>
    <cellStyle name="Normal 5 2 7 4" xfId="9407" xr:uid="{D59BDE69-9587-45EF-B1F6-A4A86B968449}"/>
    <cellStyle name="Normal 5 2 8" xfId="1300" xr:uid="{00000000-0005-0000-0000-000061190000}"/>
    <cellStyle name="Normal 5 2 8 2" xfId="3530" xr:uid="{00000000-0005-0000-0000-000062190000}"/>
    <cellStyle name="Normal 5 2 8 2 2" xfId="7754" xr:uid="{00000000-0005-0000-0000-000063190000}"/>
    <cellStyle name="Normal 5 2 8 2 2 2" xfId="16183" xr:uid="{CA3B0F70-A11C-43D9-B4CD-2431AED69D9F}"/>
    <cellStyle name="Normal 5 2 8 2 3" xfId="11965" xr:uid="{52BDFBDC-F917-471F-811F-384CAE7373ED}"/>
    <cellStyle name="Normal 5 2 8 3" xfId="5609" xr:uid="{00000000-0005-0000-0000-000064190000}"/>
    <cellStyle name="Normal 5 2 8 3 2" xfId="14038" xr:uid="{DB279DA6-F3EF-4B51-8A9D-7E81C7C2DEF3}"/>
    <cellStyle name="Normal 5 2 8 4" xfId="9820" xr:uid="{57B9F98F-9585-4655-BCBD-881E6E59D12A}"/>
    <cellStyle name="Normal 5 2 9" xfId="1713" xr:uid="{00000000-0005-0000-0000-000065190000}"/>
    <cellStyle name="Normal 5 2 9 2" xfId="3943" xr:uid="{00000000-0005-0000-0000-000066190000}"/>
    <cellStyle name="Normal 5 2 9 2 2" xfId="8167" xr:uid="{00000000-0005-0000-0000-000067190000}"/>
    <cellStyle name="Normal 5 2 9 2 2 2" xfId="16596" xr:uid="{AB33FF7E-6856-4429-898A-C73C118EEED1}"/>
    <cellStyle name="Normal 5 2 9 2 3" xfId="12378" xr:uid="{76F55234-FCC4-4EA9-AF66-F975AD5255A9}"/>
    <cellStyle name="Normal 5 2 9 3" xfId="6022" xr:uid="{00000000-0005-0000-0000-000068190000}"/>
    <cellStyle name="Normal 5 2 9 3 2" xfId="14451" xr:uid="{C45A11A8-4982-479A-8EFF-392D3BFF29A5}"/>
    <cellStyle name="Normal 5 2 9 4" xfId="10233" xr:uid="{F9382E20-6A42-471C-B3CD-D28BC66EC7AB}"/>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DAF8F4A3-84E9-4C56-BCD4-83545F994AAB}"/>
    <cellStyle name="Normal 5 3 10 2 3" xfId="12823" xr:uid="{1CFCF789-1F86-4D28-89C1-4225A8351A50}"/>
    <cellStyle name="Normal 5 3 10 3" xfId="6467" xr:uid="{00000000-0005-0000-0000-00006D190000}"/>
    <cellStyle name="Normal 5 3 10 3 2" xfId="14896" xr:uid="{D1FC8B1B-83E6-44FA-ABC6-2F29D3831452}"/>
    <cellStyle name="Normal 5 3 10 4" xfId="10678" xr:uid="{3B559655-8291-48BA-AC24-76DC70A3091C}"/>
    <cellStyle name="Normal 5 3 11" xfId="2595" xr:uid="{00000000-0005-0000-0000-00006E190000}"/>
    <cellStyle name="Normal 5 3 11 2" xfId="6880" xr:uid="{00000000-0005-0000-0000-00006F190000}"/>
    <cellStyle name="Normal 5 3 11 2 2" xfId="15309" xr:uid="{CFA46086-2C70-4951-AD58-81E95747FF80}"/>
    <cellStyle name="Normal 5 3 11 3" xfId="11091" xr:uid="{CF165073-40DC-4811-8163-0F0DAFA7A1A0}"/>
    <cellStyle name="Normal 5 3 12" xfId="4815" xr:uid="{00000000-0005-0000-0000-000070190000}"/>
    <cellStyle name="Normal 5 3 12 2" xfId="13244" xr:uid="{367A15A5-B889-448A-BF22-ECAA37466A43}"/>
    <cellStyle name="Normal 5 3 13" xfId="9026" xr:uid="{7BF3EE71-070C-4CF6-9CE2-09EAF728248C}"/>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3940CEC2-247E-4A34-9059-2392CF06E2EC}"/>
    <cellStyle name="Normal 5 3 3 11" xfId="9027" xr:uid="{10410B24-0E76-4945-AEBB-BB9DB69F86D0}"/>
    <cellStyle name="Normal 5 3 3 2" xfId="442" xr:uid="{00000000-0005-0000-0000-000075190000}"/>
    <cellStyle name="Normal 5 3 3 2 10" xfId="9028" xr:uid="{C276B201-5D31-45DC-AF4D-2D0768ACB1B8}"/>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C8CD7735-C72B-4421-A3A3-64A38BEC34DD}"/>
    <cellStyle name="Normal 5 3 3 2 2 2 2 2 3" xfId="11588" xr:uid="{0061C477-04B9-4A51-B21C-A475ADBDE03A}"/>
    <cellStyle name="Normal 5 3 3 2 2 2 2 3" xfId="5232" xr:uid="{00000000-0005-0000-0000-00007B190000}"/>
    <cellStyle name="Normal 5 3 3 2 2 2 2 3 2" xfId="13661" xr:uid="{999AB056-6789-4469-87F9-DD39E6C741E1}"/>
    <cellStyle name="Normal 5 3 3 2 2 2 2 4" xfId="9443" xr:uid="{86A229A6-A344-437B-A5CD-A091491DE51C}"/>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1BB9F810-C24C-470A-8689-80D3374BC502}"/>
    <cellStyle name="Normal 5 3 3 2 2 2 3 2 3" xfId="12001" xr:uid="{90D2AD4A-A2D7-4BD5-B385-F80F53DE679A}"/>
    <cellStyle name="Normal 5 3 3 2 2 2 3 3" xfId="5645" xr:uid="{00000000-0005-0000-0000-00007F190000}"/>
    <cellStyle name="Normal 5 3 3 2 2 2 3 3 2" xfId="14074" xr:uid="{577610F7-7BCE-4278-B3D1-F411C90A4DAF}"/>
    <cellStyle name="Normal 5 3 3 2 2 2 3 4" xfId="9856" xr:uid="{3AEB4B17-91EA-47AC-AFC3-95D73850F5E8}"/>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78F35C4B-3412-4A86-BC40-BBFA71FD37D2}"/>
    <cellStyle name="Normal 5 3 3 2 2 2 4 2 3" xfId="12414" xr:uid="{18F7AEE3-F90E-457F-94ED-6D7B3D14E28C}"/>
    <cellStyle name="Normal 5 3 3 2 2 2 4 3" xfId="6058" xr:uid="{00000000-0005-0000-0000-000083190000}"/>
    <cellStyle name="Normal 5 3 3 2 2 2 4 3 2" xfId="14487" xr:uid="{2BB6CF89-BB9F-42CA-864B-C2ADDABB69A9}"/>
    <cellStyle name="Normal 5 3 3 2 2 2 4 4" xfId="10269" xr:uid="{68C3542F-373E-4C24-8E7C-42CCFD97B5DD}"/>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1BB647E9-5804-4846-8A05-F0C8089B2BF3}"/>
    <cellStyle name="Normal 5 3 3 2 2 2 5 2 3" xfId="12827" xr:uid="{E002A539-64C3-4D0E-9ECC-2053424AAE1C}"/>
    <cellStyle name="Normal 5 3 3 2 2 2 5 3" xfId="6471" xr:uid="{00000000-0005-0000-0000-000087190000}"/>
    <cellStyle name="Normal 5 3 3 2 2 2 5 3 2" xfId="14900" xr:uid="{1924642C-3CC0-4C7F-AE46-724A6E534D78}"/>
    <cellStyle name="Normal 5 3 3 2 2 2 5 4" xfId="10682" xr:uid="{E5B3B71F-7FE7-436D-9316-A1B6AA1A7118}"/>
    <cellStyle name="Normal 5 3 3 2 2 2 6" xfId="2599" xr:uid="{00000000-0005-0000-0000-000088190000}"/>
    <cellStyle name="Normal 5 3 3 2 2 2 6 2" xfId="6884" xr:uid="{00000000-0005-0000-0000-000089190000}"/>
    <cellStyle name="Normal 5 3 3 2 2 2 6 2 2" xfId="15313" xr:uid="{DDD25354-46F0-4988-BA71-B850CE4D9952}"/>
    <cellStyle name="Normal 5 3 3 2 2 2 6 3" xfId="11095" xr:uid="{5F56E676-4BD6-4D65-A738-F9269E42D3D9}"/>
    <cellStyle name="Normal 5 3 3 2 2 2 7" xfId="4819" xr:uid="{00000000-0005-0000-0000-00008A190000}"/>
    <cellStyle name="Normal 5 3 3 2 2 2 7 2" xfId="13248" xr:uid="{54C5497D-C33E-4ABB-8843-D7520098701F}"/>
    <cellStyle name="Normal 5 3 3 2 2 2 8" xfId="9030" xr:uid="{01DEE8D2-1129-4A8D-B3D1-6790D405073B}"/>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1A84360E-378B-4C6E-B90A-1EDD918922EE}"/>
    <cellStyle name="Normal 5 3 3 2 2 3 2 3" xfId="11587" xr:uid="{902256C0-741F-429B-B757-C2FD81908EDF}"/>
    <cellStyle name="Normal 5 3 3 2 2 3 3" xfId="5231" xr:uid="{00000000-0005-0000-0000-00008E190000}"/>
    <cellStyle name="Normal 5 3 3 2 2 3 3 2" xfId="13660" xr:uid="{94498E23-DE20-40C4-B672-EB4C62E7F03F}"/>
    <cellStyle name="Normal 5 3 3 2 2 3 4" xfId="9442" xr:uid="{BD26F8E5-AAC8-4A30-8E1A-4163F940B5AE}"/>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0002E8FA-87F1-46C9-8196-275A43CA27A9}"/>
    <cellStyle name="Normal 5 3 3 2 2 4 2 3" xfId="12000" xr:uid="{BCAEF1F9-606F-4F44-89C5-A50075C1BC31}"/>
    <cellStyle name="Normal 5 3 3 2 2 4 3" xfId="5644" xr:uid="{00000000-0005-0000-0000-000092190000}"/>
    <cellStyle name="Normal 5 3 3 2 2 4 3 2" xfId="14073" xr:uid="{E05B1C5B-ED29-4D7B-940A-68292F69C31A}"/>
    <cellStyle name="Normal 5 3 3 2 2 4 4" xfId="9855" xr:uid="{5373F39A-45B8-40D3-B288-79E431D56B33}"/>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73412A6D-232D-45B5-93BE-C7F1A952CCFE}"/>
    <cellStyle name="Normal 5 3 3 2 2 5 2 3" xfId="12413" xr:uid="{C5BD0D55-53E2-4B17-A6A2-0101161F799E}"/>
    <cellStyle name="Normal 5 3 3 2 2 5 3" xfId="6057" xr:uid="{00000000-0005-0000-0000-000096190000}"/>
    <cellStyle name="Normal 5 3 3 2 2 5 3 2" xfId="14486" xr:uid="{6244D159-3916-4161-95DE-58099993EF5C}"/>
    <cellStyle name="Normal 5 3 3 2 2 5 4" xfId="10268" xr:uid="{427E8FE4-A8B7-4B36-A11C-6EE68F510612}"/>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A263A815-5EF4-40E1-B9DF-FA920256FD74}"/>
    <cellStyle name="Normal 5 3 3 2 2 6 2 3" xfId="12826" xr:uid="{404F4A08-D35B-43FF-BD15-F82ABBA003B1}"/>
    <cellStyle name="Normal 5 3 3 2 2 6 3" xfId="6470" xr:uid="{00000000-0005-0000-0000-00009A190000}"/>
    <cellStyle name="Normal 5 3 3 2 2 6 3 2" xfId="14899" xr:uid="{C4DE008B-2684-4A8C-A24C-447CADC75F05}"/>
    <cellStyle name="Normal 5 3 3 2 2 6 4" xfId="10681" xr:uid="{97D82AB3-5C5A-4950-B063-BD1F934BF7A9}"/>
    <cellStyle name="Normal 5 3 3 2 2 7" xfId="2598" xr:uid="{00000000-0005-0000-0000-00009B190000}"/>
    <cellStyle name="Normal 5 3 3 2 2 7 2" xfId="6883" xr:uid="{00000000-0005-0000-0000-00009C190000}"/>
    <cellStyle name="Normal 5 3 3 2 2 7 2 2" xfId="15312" xr:uid="{21F8B17B-F220-4DD6-BDFD-36FC227DED37}"/>
    <cellStyle name="Normal 5 3 3 2 2 7 3" xfId="11094" xr:uid="{C326925A-7F79-4A4D-9709-1F5D3B86FA68}"/>
    <cellStyle name="Normal 5 3 3 2 2 8" xfId="4818" xr:uid="{00000000-0005-0000-0000-00009D190000}"/>
    <cellStyle name="Normal 5 3 3 2 2 8 2" xfId="13247" xr:uid="{1AEF1667-9AE9-492F-BCD7-0B3ED2D8A6D2}"/>
    <cellStyle name="Normal 5 3 3 2 2 9" xfId="9029" xr:uid="{3F30BCF1-0A8E-4922-8737-7BA91BF791EB}"/>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9059C6B5-C1F3-4DDD-A4C8-FBE2B8744698}"/>
    <cellStyle name="Normal 5 3 3 2 3 2 2 3" xfId="11589" xr:uid="{D528E284-90EA-4C61-B9CC-579E66EAE3FB}"/>
    <cellStyle name="Normal 5 3 3 2 3 2 3" xfId="5233" xr:uid="{00000000-0005-0000-0000-0000A2190000}"/>
    <cellStyle name="Normal 5 3 3 2 3 2 3 2" xfId="13662" xr:uid="{C744CFB4-D98B-4C98-92E3-E91B87B5664D}"/>
    <cellStyle name="Normal 5 3 3 2 3 2 4" xfId="9444" xr:uid="{CB5BF14A-6085-440C-ABB1-C1C3D052FE2C}"/>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A9C31968-5796-4EDF-97EC-1D43295FA81D}"/>
    <cellStyle name="Normal 5 3 3 2 3 3 2 3" xfId="12002" xr:uid="{ADC22556-CDED-42C0-B2B2-F235E22D9251}"/>
    <cellStyle name="Normal 5 3 3 2 3 3 3" xfId="5646" xr:uid="{00000000-0005-0000-0000-0000A6190000}"/>
    <cellStyle name="Normal 5 3 3 2 3 3 3 2" xfId="14075" xr:uid="{8CC234E9-6EBE-4CD8-9EBD-078246D5623D}"/>
    <cellStyle name="Normal 5 3 3 2 3 3 4" xfId="9857" xr:uid="{D5DCC0A8-E2FC-4FCA-B661-BBA597590F99}"/>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CFCC3CC6-7EE4-4B4D-B96F-F05E83C4480E}"/>
    <cellStyle name="Normal 5 3 3 2 3 4 2 3" xfId="12415" xr:uid="{44DC402D-5AE6-4D2F-B4A1-E79245319873}"/>
    <cellStyle name="Normal 5 3 3 2 3 4 3" xfId="6059" xr:uid="{00000000-0005-0000-0000-0000AA190000}"/>
    <cellStyle name="Normal 5 3 3 2 3 4 3 2" xfId="14488" xr:uid="{7FA90C0A-EF97-4C59-9844-973C839B5F40}"/>
    <cellStyle name="Normal 5 3 3 2 3 4 4" xfId="10270" xr:uid="{9F273E19-7F67-488F-93F1-1148E3AED5C3}"/>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34B2696C-CDF0-41EA-B519-563A2D00904A}"/>
    <cellStyle name="Normal 5 3 3 2 3 5 2 3" xfId="12828" xr:uid="{2B073E5A-71BD-4366-B442-C738AD0299D4}"/>
    <cellStyle name="Normal 5 3 3 2 3 5 3" xfId="6472" xr:uid="{00000000-0005-0000-0000-0000AE190000}"/>
    <cellStyle name="Normal 5 3 3 2 3 5 3 2" xfId="14901" xr:uid="{9650C88D-6B87-491C-ABBC-8F92210DCF06}"/>
    <cellStyle name="Normal 5 3 3 2 3 5 4" xfId="10683" xr:uid="{0E6BA762-E27C-4A04-B9B6-9A185FD68464}"/>
    <cellStyle name="Normal 5 3 3 2 3 6" xfId="2600" xr:uid="{00000000-0005-0000-0000-0000AF190000}"/>
    <cellStyle name="Normal 5 3 3 2 3 6 2" xfId="6885" xr:uid="{00000000-0005-0000-0000-0000B0190000}"/>
    <cellStyle name="Normal 5 3 3 2 3 6 2 2" xfId="15314" xr:uid="{BD528186-548C-4D68-8387-E5E3B719DF50}"/>
    <cellStyle name="Normal 5 3 3 2 3 6 3" xfId="11096" xr:uid="{AE335550-B43C-4288-ADAA-6D6944302D11}"/>
    <cellStyle name="Normal 5 3 3 2 3 7" xfId="4820" xr:uid="{00000000-0005-0000-0000-0000B1190000}"/>
    <cellStyle name="Normal 5 3 3 2 3 7 2" xfId="13249" xr:uid="{705B3F1C-F71C-4C3D-A332-B830B95533C4}"/>
    <cellStyle name="Normal 5 3 3 2 3 8" xfId="9031" xr:uid="{46E1F082-A0CE-4288-924F-FE2CFC3F8B8A}"/>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0D368876-63EB-4399-AAFA-097F37DEF904}"/>
    <cellStyle name="Normal 5 3 3 2 4 2 3" xfId="11586" xr:uid="{EECD7052-B5DB-4087-ADC1-5A26B856EFEB}"/>
    <cellStyle name="Normal 5 3 3 2 4 3" xfId="5230" xr:uid="{00000000-0005-0000-0000-0000B5190000}"/>
    <cellStyle name="Normal 5 3 3 2 4 3 2" xfId="13659" xr:uid="{5BF2EA5F-9971-4F2D-98C5-F8380F9E61B3}"/>
    <cellStyle name="Normal 5 3 3 2 4 4" xfId="9441" xr:uid="{14FD6F31-4A85-45F8-9300-798B3C033E7A}"/>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DE89C468-4495-4C07-9C8E-4A38A6D18810}"/>
    <cellStyle name="Normal 5 3 3 2 5 2 3" xfId="11999" xr:uid="{4547769C-EA7B-4D58-92A5-C559FFB54CBB}"/>
    <cellStyle name="Normal 5 3 3 2 5 3" xfId="5643" xr:uid="{00000000-0005-0000-0000-0000B9190000}"/>
    <cellStyle name="Normal 5 3 3 2 5 3 2" xfId="14072" xr:uid="{038D8EF6-2FC9-40F2-9A5F-B0D2E5450635}"/>
    <cellStyle name="Normal 5 3 3 2 5 4" xfId="9854" xr:uid="{A2429CA5-0F47-4DCD-BDF2-85CEE2494780}"/>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1547A5F7-55A3-45D7-9EBD-454D150F6F66}"/>
    <cellStyle name="Normal 5 3 3 2 6 2 3" xfId="12412" xr:uid="{AB4E4802-2AA1-4FC7-B15B-C1982FEDEEDB}"/>
    <cellStyle name="Normal 5 3 3 2 6 3" xfId="6056" xr:uid="{00000000-0005-0000-0000-0000BD190000}"/>
    <cellStyle name="Normal 5 3 3 2 6 3 2" xfId="14485" xr:uid="{6D5BB6C4-F0C8-499D-A90E-82F002EB0F12}"/>
    <cellStyle name="Normal 5 3 3 2 6 4" xfId="10267" xr:uid="{7D0CC1F3-C9F5-4DB9-9A8B-CDB37D15AB74}"/>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2C01FCA2-0B99-4803-A23E-B9D591BA4F5F}"/>
    <cellStyle name="Normal 5 3 3 2 7 2 3" xfId="12825" xr:uid="{B0D85914-FB1D-4243-9A0A-7B98037E4F81}"/>
    <cellStyle name="Normal 5 3 3 2 7 3" xfId="6469" xr:uid="{00000000-0005-0000-0000-0000C1190000}"/>
    <cellStyle name="Normal 5 3 3 2 7 3 2" xfId="14898" xr:uid="{FC816B37-8375-441B-83DA-63DAEA689CD1}"/>
    <cellStyle name="Normal 5 3 3 2 7 4" xfId="10680" xr:uid="{489DBD6C-0F83-466B-9F05-4C7747A4159A}"/>
    <cellStyle name="Normal 5 3 3 2 8" xfId="2597" xr:uid="{00000000-0005-0000-0000-0000C2190000}"/>
    <cellStyle name="Normal 5 3 3 2 8 2" xfId="6882" xr:uid="{00000000-0005-0000-0000-0000C3190000}"/>
    <cellStyle name="Normal 5 3 3 2 8 2 2" xfId="15311" xr:uid="{7A76C88F-B15F-4D6C-AF22-950A712142E2}"/>
    <cellStyle name="Normal 5 3 3 2 8 3" xfId="11093" xr:uid="{ECB6EDAE-9399-468E-A6CC-13A078E21A48}"/>
    <cellStyle name="Normal 5 3 3 2 9" xfId="4817" xr:uid="{00000000-0005-0000-0000-0000C4190000}"/>
    <cellStyle name="Normal 5 3 3 2 9 2" xfId="13246" xr:uid="{FE176865-6188-4062-9C97-60AD99C4C55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60E4A75F-400F-43FD-A38E-6A0C87F8B235}"/>
    <cellStyle name="Normal 5 3 3 3 2 2 2 3" xfId="11591" xr:uid="{287447E6-4B33-4394-92DB-3597CCE5B432}"/>
    <cellStyle name="Normal 5 3 3 3 2 2 3" xfId="5235" xr:uid="{00000000-0005-0000-0000-0000CA190000}"/>
    <cellStyle name="Normal 5 3 3 3 2 2 3 2" xfId="13664" xr:uid="{196CCDC4-763C-4738-9DB3-150AB9CA20E0}"/>
    <cellStyle name="Normal 5 3 3 3 2 2 4" xfId="9446" xr:uid="{BFE07638-0882-4811-99D1-B55A8A7FDC79}"/>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3F1FDDAC-8DE0-4F85-88A4-6818B720277D}"/>
    <cellStyle name="Normal 5 3 3 3 2 3 2 3" xfId="12004" xr:uid="{BC674368-E9A3-4549-A7F6-E6A02A69B424}"/>
    <cellStyle name="Normal 5 3 3 3 2 3 3" xfId="5648" xr:uid="{00000000-0005-0000-0000-0000CE190000}"/>
    <cellStyle name="Normal 5 3 3 3 2 3 3 2" xfId="14077" xr:uid="{25088F19-2186-4773-88EA-FFB274143962}"/>
    <cellStyle name="Normal 5 3 3 3 2 3 4" xfId="9859" xr:uid="{B5A770A3-634C-492D-B470-8AD4A06F71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0856D20D-F50A-48A4-B473-31B62A29EDA4}"/>
    <cellStyle name="Normal 5 3 3 3 2 4 2 3" xfId="12417" xr:uid="{9B52A023-8976-4F63-99B2-1989DD60D0E7}"/>
    <cellStyle name="Normal 5 3 3 3 2 4 3" xfId="6061" xr:uid="{00000000-0005-0000-0000-0000D2190000}"/>
    <cellStyle name="Normal 5 3 3 3 2 4 3 2" xfId="14490" xr:uid="{11336F5F-6ACD-4DB0-8D8E-521C55D2DD28}"/>
    <cellStyle name="Normal 5 3 3 3 2 4 4" xfId="10272" xr:uid="{606D0176-A682-46E7-A63D-169CB18A798F}"/>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DB906B61-96A3-49D2-9370-2ADA90A88A1F}"/>
    <cellStyle name="Normal 5 3 3 3 2 5 2 3" xfId="12830" xr:uid="{7E45A859-D3D7-4CDA-8C99-AD33027258B3}"/>
    <cellStyle name="Normal 5 3 3 3 2 5 3" xfId="6474" xr:uid="{00000000-0005-0000-0000-0000D6190000}"/>
    <cellStyle name="Normal 5 3 3 3 2 5 3 2" xfId="14903" xr:uid="{4AA10467-C632-4515-8B2E-81A80C19BB6F}"/>
    <cellStyle name="Normal 5 3 3 3 2 5 4" xfId="10685" xr:uid="{435A1FBB-2DA0-4B80-80BD-381F95A635AE}"/>
    <cellStyle name="Normal 5 3 3 3 2 6" xfId="2602" xr:uid="{00000000-0005-0000-0000-0000D7190000}"/>
    <cellStyle name="Normal 5 3 3 3 2 6 2" xfId="6887" xr:uid="{00000000-0005-0000-0000-0000D8190000}"/>
    <cellStyle name="Normal 5 3 3 3 2 6 2 2" xfId="15316" xr:uid="{2CAD9D20-CDC6-4604-BCAE-563E586C94F3}"/>
    <cellStyle name="Normal 5 3 3 3 2 6 3" xfId="11098" xr:uid="{2DA8FE50-61DD-490D-92D0-5F5BF5602750}"/>
    <cellStyle name="Normal 5 3 3 3 2 7" xfId="4822" xr:uid="{00000000-0005-0000-0000-0000D9190000}"/>
    <cellStyle name="Normal 5 3 3 3 2 7 2" xfId="13251" xr:uid="{52C00AFA-5563-4CF0-8A75-90C5DAAE16A3}"/>
    <cellStyle name="Normal 5 3 3 3 2 8" xfId="9033" xr:uid="{A58CE5FD-0E76-4EB1-8CF5-8737C77C2234}"/>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FDFC9E98-B420-4F2D-B4DC-B25AA786D2FA}"/>
    <cellStyle name="Normal 5 3 3 3 3 2 3" xfId="11590" xr:uid="{97D6AE5B-068C-4972-8076-AEE659E71D88}"/>
    <cellStyle name="Normal 5 3 3 3 3 3" xfId="5234" xr:uid="{00000000-0005-0000-0000-0000DD190000}"/>
    <cellStyle name="Normal 5 3 3 3 3 3 2" xfId="13663" xr:uid="{CBFD44EF-40BE-45C4-B2A1-C9867D150D5B}"/>
    <cellStyle name="Normal 5 3 3 3 3 4" xfId="9445" xr:uid="{07C22551-4611-407F-9214-6A019AB423C7}"/>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30D313E8-BB52-42A4-BA65-83B184763187}"/>
    <cellStyle name="Normal 5 3 3 3 4 2 3" xfId="12003" xr:uid="{A585852A-8A3C-427B-B7E6-413ED162ACFD}"/>
    <cellStyle name="Normal 5 3 3 3 4 3" xfId="5647" xr:uid="{00000000-0005-0000-0000-0000E1190000}"/>
    <cellStyle name="Normal 5 3 3 3 4 3 2" xfId="14076" xr:uid="{73B2D39C-81CB-46EC-91CC-959474061515}"/>
    <cellStyle name="Normal 5 3 3 3 4 4" xfId="9858" xr:uid="{5A87DD7B-866A-4084-8324-1C8D0B5B6FC8}"/>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FD6A843C-B673-4EBA-89CE-05AFD6AA5ECE}"/>
    <cellStyle name="Normal 5 3 3 3 5 2 3" xfId="12416" xr:uid="{26C0FFEE-A59B-4DEF-B383-06E7AA9AECE7}"/>
    <cellStyle name="Normal 5 3 3 3 5 3" xfId="6060" xr:uid="{00000000-0005-0000-0000-0000E5190000}"/>
    <cellStyle name="Normal 5 3 3 3 5 3 2" xfId="14489" xr:uid="{5F77B1F5-363F-49FB-BF0D-713726054B2F}"/>
    <cellStyle name="Normal 5 3 3 3 5 4" xfId="10271" xr:uid="{47271D76-C324-40DF-9F18-ED921C6A5A7E}"/>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DAA4EB7D-291C-4A92-905C-97AE1FF704CB}"/>
    <cellStyle name="Normal 5 3 3 3 6 2 3" xfId="12829" xr:uid="{21120882-7446-4F06-AFE6-66E370929841}"/>
    <cellStyle name="Normal 5 3 3 3 6 3" xfId="6473" xr:uid="{00000000-0005-0000-0000-0000E9190000}"/>
    <cellStyle name="Normal 5 3 3 3 6 3 2" xfId="14902" xr:uid="{10D5082E-BBE6-46EF-BCE3-70AC43D4A810}"/>
    <cellStyle name="Normal 5 3 3 3 6 4" xfId="10684" xr:uid="{EB6CB8E3-0777-414D-94A4-0D72FC98E1AB}"/>
    <cellStyle name="Normal 5 3 3 3 7" xfId="2601" xr:uid="{00000000-0005-0000-0000-0000EA190000}"/>
    <cellStyle name="Normal 5 3 3 3 7 2" xfId="6886" xr:uid="{00000000-0005-0000-0000-0000EB190000}"/>
    <cellStyle name="Normal 5 3 3 3 7 2 2" xfId="15315" xr:uid="{B1E1EF9E-A9B7-451E-978C-DA0D405B5161}"/>
    <cellStyle name="Normal 5 3 3 3 7 3" xfId="11097" xr:uid="{D1321A14-5702-4237-BFA6-29E5B1EF04A0}"/>
    <cellStyle name="Normal 5 3 3 3 8" xfId="4821" xr:uid="{00000000-0005-0000-0000-0000EC190000}"/>
    <cellStyle name="Normal 5 3 3 3 8 2" xfId="13250" xr:uid="{9ACF701B-3AB7-4B9F-A2F2-4DD0266A0F7D}"/>
    <cellStyle name="Normal 5 3 3 3 9" xfId="9032" xr:uid="{D52205A5-51C7-4EE5-BE03-1BC95A2F0602}"/>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7E425CEF-1B2F-433F-AA8C-362ECD34EEDA}"/>
    <cellStyle name="Normal 5 3 3 4 2 2 3" xfId="11592" xr:uid="{36517521-34CF-4631-95A0-D62804787766}"/>
    <cellStyle name="Normal 5 3 3 4 2 3" xfId="5236" xr:uid="{00000000-0005-0000-0000-0000F1190000}"/>
    <cellStyle name="Normal 5 3 3 4 2 3 2" xfId="13665" xr:uid="{083AB103-1EF4-4D65-A965-28BE841D26CC}"/>
    <cellStyle name="Normal 5 3 3 4 2 4" xfId="9447" xr:uid="{66B50426-C8F2-4540-9139-7E2F49C5D39E}"/>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39C747E6-66B1-4243-9CC8-8094F5758D0A}"/>
    <cellStyle name="Normal 5 3 3 4 3 2 3" xfId="12005" xr:uid="{800D3700-AFF0-47D1-98C9-09996E1DF79C}"/>
    <cellStyle name="Normal 5 3 3 4 3 3" xfId="5649" xr:uid="{00000000-0005-0000-0000-0000F5190000}"/>
    <cellStyle name="Normal 5 3 3 4 3 3 2" xfId="14078" xr:uid="{1B061281-7D50-4F1F-A66C-BB8AC87A68FF}"/>
    <cellStyle name="Normal 5 3 3 4 3 4" xfId="9860" xr:uid="{91E78987-B512-4F8A-B1A1-0970E72259FA}"/>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F3FC00C1-8747-45A7-AA02-9AF3ADFCD6D6}"/>
    <cellStyle name="Normal 5 3 3 4 4 2 3" xfId="12418" xr:uid="{16D918A8-6131-468C-920D-D6595F42DACE}"/>
    <cellStyle name="Normal 5 3 3 4 4 3" xfId="6062" xr:uid="{00000000-0005-0000-0000-0000F9190000}"/>
    <cellStyle name="Normal 5 3 3 4 4 3 2" xfId="14491" xr:uid="{337184A2-6E0C-4235-A9DA-8CBA05CD37A2}"/>
    <cellStyle name="Normal 5 3 3 4 4 4" xfId="10273" xr:uid="{6EEBC590-AFCD-4230-8DED-EF299ABD6E5C}"/>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5D0AA34D-73F2-4912-9A79-DA12B9A757F6}"/>
    <cellStyle name="Normal 5 3 3 4 5 2 3" xfId="12831" xr:uid="{472A8055-E3C6-43A9-8AE6-0047CA63AB7F}"/>
    <cellStyle name="Normal 5 3 3 4 5 3" xfId="6475" xr:uid="{00000000-0005-0000-0000-0000FD190000}"/>
    <cellStyle name="Normal 5 3 3 4 5 3 2" xfId="14904" xr:uid="{707B06D0-4D1F-4E0D-B2AE-30DFA1A36066}"/>
    <cellStyle name="Normal 5 3 3 4 5 4" xfId="10686" xr:uid="{59391A93-B2C1-46B2-B0A6-BA05A5A73E3B}"/>
    <cellStyle name="Normal 5 3 3 4 6" xfId="2603" xr:uid="{00000000-0005-0000-0000-0000FE190000}"/>
    <cellStyle name="Normal 5 3 3 4 6 2" xfId="6888" xr:uid="{00000000-0005-0000-0000-0000FF190000}"/>
    <cellStyle name="Normal 5 3 3 4 6 2 2" xfId="15317" xr:uid="{F54B05A9-DE94-46CD-AA3A-F23860E4CA95}"/>
    <cellStyle name="Normal 5 3 3 4 6 3" xfId="11099" xr:uid="{1D19D1C9-39CD-4B41-8CDA-5993282CB195}"/>
    <cellStyle name="Normal 5 3 3 4 7" xfId="4823" xr:uid="{00000000-0005-0000-0000-0000001A0000}"/>
    <cellStyle name="Normal 5 3 3 4 7 2" xfId="13252" xr:uid="{C9D195FB-10E4-4C7A-937D-D6AE8EB2DD40}"/>
    <cellStyle name="Normal 5 3 3 4 8" xfId="9034" xr:uid="{23336D0B-0322-473A-A840-2D94202525D7}"/>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F0502DD7-0347-4FCD-B108-B5BDEDC906A8}"/>
    <cellStyle name="Normal 5 3 3 5 2 3" xfId="11585" xr:uid="{6E925F6B-F0E7-431D-B3FF-F5A37633734E}"/>
    <cellStyle name="Normal 5 3 3 5 3" xfId="5229" xr:uid="{00000000-0005-0000-0000-0000041A0000}"/>
    <cellStyle name="Normal 5 3 3 5 3 2" xfId="13658" xr:uid="{F43E0DCF-3CC9-49AD-9B31-AC282005687F}"/>
    <cellStyle name="Normal 5 3 3 5 4" xfId="9440" xr:uid="{A89CF449-AF9F-4209-8981-7BDDC0C073F6}"/>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FD87DFF3-4C50-40CF-B6D6-C0B9C0945E6E}"/>
    <cellStyle name="Normal 5 3 3 6 2 3" xfId="11998" xr:uid="{14237441-24EA-4843-B40D-D2CA247A9705}"/>
    <cellStyle name="Normal 5 3 3 6 3" xfId="5642" xr:uid="{00000000-0005-0000-0000-0000081A0000}"/>
    <cellStyle name="Normal 5 3 3 6 3 2" xfId="14071" xr:uid="{AA484C1A-45A9-45EC-9792-A78592999A59}"/>
    <cellStyle name="Normal 5 3 3 6 4" xfId="9853" xr:uid="{A81AD10C-58E1-4B92-B657-AF16AE165804}"/>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07CD1040-1EFD-4D34-BE7F-1940D2737FC2}"/>
    <cellStyle name="Normal 5 3 3 7 2 3" xfId="12411" xr:uid="{1801A50A-F685-4EC7-984F-E0DD42E399E6}"/>
    <cellStyle name="Normal 5 3 3 7 3" xfId="6055" xr:uid="{00000000-0005-0000-0000-00000C1A0000}"/>
    <cellStyle name="Normal 5 3 3 7 3 2" xfId="14484" xr:uid="{958D20B9-A538-4FDB-AEB1-91C104EFE827}"/>
    <cellStyle name="Normal 5 3 3 7 4" xfId="10266" xr:uid="{B9588F77-F70A-4453-8E5D-A5675EB8DB54}"/>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D66B06C6-9C32-422E-A063-57F1EE4152AE}"/>
    <cellStyle name="Normal 5 3 3 8 2 3" xfId="12824" xr:uid="{9F2F0A8A-2B15-4E72-A2C5-A64611B29635}"/>
    <cellStyle name="Normal 5 3 3 8 3" xfId="6468" xr:uid="{00000000-0005-0000-0000-0000101A0000}"/>
    <cellStyle name="Normal 5 3 3 8 3 2" xfId="14897" xr:uid="{8B7E381F-BD84-4225-BF6C-6EA1B4D6ABF0}"/>
    <cellStyle name="Normal 5 3 3 8 4" xfId="10679" xr:uid="{9692329B-5A04-49D3-94B1-70D1543994DB}"/>
    <cellStyle name="Normal 5 3 3 9" xfId="2596" xr:uid="{00000000-0005-0000-0000-0000111A0000}"/>
    <cellStyle name="Normal 5 3 3 9 2" xfId="6881" xr:uid="{00000000-0005-0000-0000-0000121A0000}"/>
    <cellStyle name="Normal 5 3 3 9 2 2" xfId="15310" xr:uid="{6C116067-3169-492A-AF90-895FCBB9F890}"/>
    <cellStyle name="Normal 5 3 3 9 3" xfId="11092" xr:uid="{A73CD3B6-7258-4321-9FDC-1FF79D52D266}"/>
    <cellStyle name="Normal 5 3 4" xfId="449" xr:uid="{00000000-0005-0000-0000-0000131A0000}"/>
    <cellStyle name="Normal 5 3 4 10" xfId="9035" xr:uid="{471E99EC-AFA9-4E42-9989-2448FCAE3D02}"/>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2DA26115-C17F-48C8-9966-9DCCEEB2FC05}"/>
    <cellStyle name="Normal 5 3 4 2 2 2 2 3" xfId="11595" xr:uid="{10D7FF5C-14F4-435F-BCD6-5B7D30E6D09C}"/>
    <cellStyle name="Normal 5 3 4 2 2 2 3" xfId="5239" xr:uid="{00000000-0005-0000-0000-0000191A0000}"/>
    <cellStyle name="Normal 5 3 4 2 2 2 3 2" xfId="13668" xr:uid="{C8096717-1D98-499D-AC58-BCAE361C9134}"/>
    <cellStyle name="Normal 5 3 4 2 2 2 4" xfId="9450" xr:uid="{202D8FB5-080C-40EA-8E79-8EB8AB6AC239}"/>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7242E8FC-FB7D-473B-9D7F-A8C434DF167A}"/>
    <cellStyle name="Normal 5 3 4 2 2 3 2 3" xfId="12008" xr:uid="{B49506ED-5EAD-469F-B50A-730CA4D7654E}"/>
    <cellStyle name="Normal 5 3 4 2 2 3 3" xfId="5652" xr:uid="{00000000-0005-0000-0000-00001D1A0000}"/>
    <cellStyle name="Normal 5 3 4 2 2 3 3 2" xfId="14081" xr:uid="{A98D1A08-85DB-4DC9-AB27-4C4377DA23BE}"/>
    <cellStyle name="Normal 5 3 4 2 2 3 4" xfId="9863" xr:uid="{0B9DA199-6585-4CBB-9CAA-699DA2478B94}"/>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0A3626CE-0DB1-48CF-A633-9C8B0304412A}"/>
    <cellStyle name="Normal 5 3 4 2 2 4 2 3" xfId="12421" xr:uid="{76FD4EB0-BDCB-40C8-B6B8-01130E12C18A}"/>
    <cellStyle name="Normal 5 3 4 2 2 4 3" xfId="6065" xr:uid="{00000000-0005-0000-0000-0000211A0000}"/>
    <cellStyle name="Normal 5 3 4 2 2 4 3 2" xfId="14494" xr:uid="{82FA2B81-3808-411C-80EA-608E704DDD83}"/>
    <cellStyle name="Normal 5 3 4 2 2 4 4" xfId="10276" xr:uid="{7A196646-FE6C-40A1-85FD-6F0C533BE79F}"/>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1B2FBC8C-7DD7-49CA-BC9B-6EC36F9731B2}"/>
    <cellStyle name="Normal 5 3 4 2 2 5 2 3" xfId="12834" xr:uid="{AA71F2AA-8248-45B8-AAD2-9440FCA6B9AE}"/>
    <cellStyle name="Normal 5 3 4 2 2 5 3" xfId="6478" xr:uid="{00000000-0005-0000-0000-0000251A0000}"/>
    <cellStyle name="Normal 5 3 4 2 2 5 3 2" xfId="14907" xr:uid="{8F4C1B4C-C240-4F08-8D7D-32BFE32C34D7}"/>
    <cellStyle name="Normal 5 3 4 2 2 5 4" xfId="10689" xr:uid="{FD520FA1-A255-4E6E-82F1-F7A841D32F25}"/>
    <cellStyle name="Normal 5 3 4 2 2 6" xfId="2606" xr:uid="{00000000-0005-0000-0000-0000261A0000}"/>
    <cellStyle name="Normal 5 3 4 2 2 6 2" xfId="6891" xr:uid="{00000000-0005-0000-0000-0000271A0000}"/>
    <cellStyle name="Normal 5 3 4 2 2 6 2 2" xfId="15320" xr:uid="{CE523C3A-A635-4796-9037-05B9DF33F4BF}"/>
    <cellStyle name="Normal 5 3 4 2 2 6 3" xfId="11102" xr:uid="{847AA5E3-9913-4AD8-98F3-8F663C94432E}"/>
    <cellStyle name="Normal 5 3 4 2 2 7" xfId="4826" xr:uid="{00000000-0005-0000-0000-0000281A0000}"/>
    <cellStyle name="Normal 5 3 4 2 2 7 2" xfId="13255" xr:uid="{B4D0C877-C017-489A-92D5-9D5196213673}"/>
    <cellStyle name="Normal 5 3 4 2 2 8" xfId="9037" xr:uid="{A4FB464B-E87D-4C57-9485-9A4C21F4426B}"/>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B8274EBA-53BD-40D8-990A-6898B4CBF5CB}"/>
    <cellStyle name="Normal 5 3 4 2 3 2 3" xfId="11594" xr:uid="{2A2D2908-71F3-49FA-96F5-4D85EE44D5E8}"/>
    <cellStyle name="Normal 5 3 4 2 3 3" xfId="5238" xr:uid="{00000000-0005-0000-0000-00002C1A0000}"/>
    <cellStyle name="Normal 5 3 4 2 3 3 2" xfId="13667" xr:uid="{C576D05F-93D8-40B2-B9B4-1083F4C9AB9B}"/>
    <cellStyle name="Normal 5 3 4 2 3 4" xfId="9449" xr:uid="{930FC468-4E3D-4B56-BF9E-2480983B8C2F}"/>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A84D7913-5BF1-4A44-9925-D2D9D684D66B}"/>
    <cellStyle name="Normal 5 3 4 2 4 2 3" xfId="12007" xr:uid="{DA39ED5D-FB32-4CDE-A3DA-49D08053C2C6}"/>
    <cellStyle name="Normal 5 3 4 2 4 3" xfId="5651" xr:uid="{00000000-0005-0000-0000-0000301A0000}"/>
    <cellStyle name="Normal 5 3 4 2 4 3 2" xfId="14080" xr:uid="{E338130A-B3AE-40A4-901A-E903A6FB4C25}"/>
    <cellStyle name="Normal 5 3 4 2 4 4" xfId="9862" xr:uid="{30C00038-6789-40D3-ABA3-0C450AC9C280}"/>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9E4AA41E-01A4-4A95-8C7E-49A2E42B1357}"/>
    <cellStyle name="Normal 5 3 4 2 5 2 3" xfId="12420" xr:uid="{4C81EC2A-006C-4AE8-BE92-652A156CF588}"/>
    <cellStyle name="Normal 5 3 4 2 5 3" xfId="6064" xr:uid="{00000000-0005-0000-0000-0000341A0000}"/>
    <cellStyle name="Normal 5 3 4 2 5 3 2" xfId="14493" xr:uid="{04440953-238F-4BA2-B438-B12B7BC8FE41}"/>
    <cellStyle name="Normal 5 3 4 2 5 4" xfId="10275" xr:uid="{9E3D917B-416F-446A-A6F1-5D37B61CF942}"/>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85768D4E-7393-44C3-8EB1-7763547B339E}"/>
    <cellStyle name="Normal 5 3 4 2 6 2 3" xfId="12833" xr:uid="{1782E53B-29A5-49CE-A2BF-8BBEFF01E776}"/>
    <cellStyle name="Normal 5 3 4 2 6 3" xfId="6477" xr:uid="{00000000-0005-0000-0000-0000381A0000}"/>
    <cellStyle name="Normal 5 3 4 2 6 3 2" xfId="14906" xr:uid="{2B54DF20-E232-458E-B254-DC486FDB180C}"/>
    <cellStyle name="Normal 5 3 4 2 6 4" xfId="10688" xr:uid="{274A3F1E-A41E-491D-9A5C-CCB48D9BE12E}"/>
    <cellStyle name="Normal 5 3 4 2 7" xfId="2605" xr:uid="{00000000-0005-0000-0000-0000391A0000}"/>
    <cellStyle name="Normal 5 3 4 2 7 2" xfId="6890" xr:uid="{00000000-0005-0000-0000-00003A1A0000}"/>
    <cellStyle name="Normal 5 3 4 2 7 2 2" xfId="15319" xr:uid="{CCF05AB1-7093-4E30-A2CB-DEC626CD1BB3}"/>
    <cellStyle name="Normal 5 3 4 2 7 3" xfId="11101" xr:uid="{D6E79E0C-5A3B-43CF-B5F7-843CDA518C49}"/>
    <cellStyle name="Normal 5 3 4 2 8" xfId="4825" xr:uid="{00000000-0005-0000-0000-00003B1A0000}"/>
    <cellStyle name="Normal 5 3 4 2 8 2" xfId="13254" xr:uid="{AAA31CAB-38D8-4585-BB01-8FF19F408F6C}"/>
    <cellStyle name="Normal 5 3 4 2 9" xfId="9036" xr:uid="{568D8BC7-AF53-4864-95D1-E5F92B46A1FD}"/>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DFD1B29C-DC04-40E2-AF0D-562BEA37ACD8}"/>
    <cellStyle name="Normal 5 3 4 3 2 2 3" xfId="11596" xr:uid="{54A3468B-3432-45EF-A1E2-957127C0EA88}"/>
    <cellStyle name="Normal 5 3 4 3 2 3" xfId="5240" xr:uid="{00000000-0005-0000-0000-0000401A0000}"/>
    <cellStyle name="Normal 5 3 4 3 2 3 2" xfId="13669" xr:uid="{8942CB68-6B24-4075-B446-73A8A57180EC}"/>
    <cellStyle name="Normal 5 3 4 3 2 4" xfId="9451" xr:uid="{1B719E34-521C-4FCB-9B88-E137EF9EA977}"/>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CF983B20-051E-42F2-B358-C4F4AD711B79}"/>
    <cellStyle name="Normal 5 3 4 3 3 2 3" xfId="12009" xr:uid="{B29654E1-587F-428C-A0A9-8D5531B28C27}"/>
    <cellStyle name="Normal 5 3 4 3 3 3" xfId="5653" xr:uid="{00000000-0005-0000-0000-0000441A0000}"/>
    <cellStyle name="Normal 5 3 4 3 3 3 2" xfId="14082" xr:uid="{37647546-42F0-43DF-BED5-70F7B751D1A3}"/>
    <cellStyle name="Normal 5 3 4 3 3 4" xfId="9864" xr:uid="{71337407-1436-4D6C-8EA7-081C15178541}"/>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AEDA9160-C7A2-4A26-B726-2F448735450B}"/>
    <cellStyle name="Normal 5 3 4 3 4 2 3" xfId="12422" xr:uid="{DC7F03C1-8C44-4233-89C5-4AEA0E0F7F51}"/>
    <cellStyle name="Normal 5 3 4 3 4 3" xfId="6066" xr:uid="{00000000-0005-0000-0000-0000481A0000}"/>
    <cellStyle name="Normal 5 3 4 3 4 3 2" xfId="14495" xr:uid="{C46A6CE9-A819-4038-ADC7-3AA884EA6569}"/>
    <cellStyle name="Normal 5 3 4 3 4 4" xfId="10277" xr:uid="{9A381419-19DF-4E85-9051-820619A038E7}"/>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D97D0CB2-26CB-4124-BB4D-7418ECBD422A}"/>
    <cellStyle name="Normal 5 3 4 3 5 2 3" xfId="12835" xr:uid="{BFF35C63-C19F-4CF5-9427-A1C402A917DF}"/>
    <cellStyle name="Normal 5 3 4 3 5 3" xfId="6479" xr:uid="{00000000-0005-0000-0000-00004C1A0000}"/>
    <cellStyle name="Normal 5 3 4 3 5 3 2" xfId="14908" xr:uid="{79E8B567-2843-40E4-9B18-FA75FFBCD9D8}"/>
    <cellStyle name="Normal 5 3 4 3 5 4" xfId="10690" xr:uid="{836BEED5-B96E-47EE-915F-E48749012EF0}"/>
    <cellStyle name="Normal 5 3 4 3 6" xfId="2607" xr:uid="{00000000-0005-0000-0000-00004D1A0000}"/>
    <cellStyle name="Normal 5 3 4 3 6 2" xfId="6892" xr:uid="{00000000-0005-0000-0000-00004E1A0000}"/>
    <cellStyle name="Normal 5 3 4 3 6 2 2" xfId="15321" xr:uid="{A6BFAE9C-1019-4F3E-8CE4-874271F53D7E}"/>
    <cellStyle name="Normal 5 3 4 3 6 3" xfId="11103" xr:uid="{AEA435AC-71F2-4393-AB3D-648A984B2D12}"/>
    <cellStyle name="Normal 5 3 4 3 7" xfId="4827" xr:uid="{00000000-0005-0000-0000-00004F1A0000}"/>
    <cellStyle name="Normal 5 3 4 3 7 2" xfId="13256" xr:uid="{03775E0C-1D10-4519-8CDB-8877297AE405}"/>
    <cellStyle name="Normal 5 3 4 3 8" xfId="9038" xr:uid="{C6EB9082-C515-4E1C-8FC5-8914AC695BD1}"/>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C70D026D-E4DF-40BE-8ADD-E583C53E807B}"/>
    <cellStyle name="Normal 5 3 4 4 2 3" xfId="11593" xr:uid="{4D690F4B-5591-40CE-A08F-CFEDAC433A41}"/>
    <cellStyle name="Normal 5 3 4 4 3" xfId="5237" xr:uid="{00000000-0005-0000-0000-0000531A0000}"/>
    <cellStyle name="Normal 5 3 4 4 3 2" xfId="13666" xr:uid="{659640EC-EA7E-403A-B266-D27246CF143A}"/>
    <cellStyle name="Normal 5 3 4 4 4" xfId="9448" xr:uid="{09ADB605-38AC-4FF2-BB18-24A01FC4536F}"/>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4770D38A-066C-4F20-AFC1-F43371914848}"/>
    <cellStyle name="Normal 5 3 4 5 2 3" xfId="12006" xr:uid="{A5C7A48E-4EFF-40DB-9EAB-9755FE6DA86C}"/>
    <cellStyle name="Normal 5 3 4 5 3" xfId="5650" xr:uid="{00000000-0005-0000-0000-0000571A0000}"/>
    <cellStyle name="Normal 5 3 4 5 3 2" xfId="14079" xr:uid="{8AF10A52-5212-4E24-A911-894123C9A24C}"/>
    <cellStyle name="Normal 5 3 4 5 4" xfId="9861" xr:uid="{8BCE2364-EB6C-42FB-A827-51308E6B2F5A}"/>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FE7FDF58-970D-49B5-B8B1-78A78A88D617}"/>
    <cellStyle name="Normal 5 3 4 6 2 3" xfId="12419" xr:uid="{70F1A818-E9E3-4CED-930E-3C5614217CD4}"/>
    <cellStyle name="Normal 5 3 4 6 3" xfId="6063" xr:uid="{00000000-0005-0000-0000-00005B1A0000}"/>
    <cellStyle name="Normal 5 3 4 6 3 2" xfId="14492" xr:uid="{465EA07D-B170-4CD0-99C2-F1BCA053DAB0}"/>
    <cellStyle name="Normal 5 3 4 6 4" xfId="10274" xr:uid="{226265E5-2B36-4A4A-BE15-80BDD7FEA9BF}"/>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A392C56E-69C2-4B19-9666-45C5B2C0343D}"/>
    <cellStyle name="Normal 5 3 4 7 2 3" xfId="12832" xr:uid="{7C6B3502-B984-4F65-BA23-A88DE20CB9FA}"/>
    <cellStyle name="Normal 5 3 4 7 3" xfId="6476" xr:uid="{00000000-0005-0000-0000-00005F1A0000}"/>
    <cellStyle name="Normal 5 3 4 7 3 2" xfId="14905" xr:uid="{FCD18082-DC08-43C8-BFFE-C88947A40B7E}"/>
    <cellStyle name="Normal 5 3 4 7 4" xfId="10687" xr:uid="{B00FCA2F-E85A-4CE0-A2DE-7B762F132EF2}"/>
    <cellStyle name="Normal 5 3 4 8" xfId="2604" xr:uid="{00000000-0005-0000-0000-0000601A0000}"/>
    <cellStyle name="Normal 5 3 4 8 2" xfId="6889" xr:uid="{00000000-0005-0000-0000-0000611A0000}"/>
    <cellStyle name="Normal 5 3 4 8 2 2" xfId="15318" xr:uid="{DDCCC478-D143-4959-A0F7-372342BE8407}"/>
    <cellStyle name="Normal 5 3 4 8 3" xfId="11100" xr:uid="{CBC98B1F-D36C-416D-A2BE-4230B79AE5A9}"/>
    <cellStyle name="Normal 5 3 4 9" xfId="4824" xr:uid="{00000000-0005-0000-0000-0000621A0000}"/>
    <cellStyle name="Normal 5 3 4 9 2" xfId="13253" xr:uid="{ACB7331D-2BDD-45AC-B1E6-A6C82AFD5C52}"/>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9AE36E3F-8FB5-4A2A-8CBB-F41C0E50558B}"/>
    <cellStyle name="Normal 5 3 5 2 2 2 3" xfId="11598" xr:uid="{341EF985-3217-4CBC-A975-F6B5D85F973D}"/>
    <cellStyle name="Normal 5 3 5 2 2 3" xfId="5242" xr:uid="{00000000-0005-0000-0000-0000681A0000}"/>
    <cellStyle name="Normal 5 3 5 2 2 3 2" xfId="13671" xr:uid="{8C1AD1EC-74F8-4FF3-B7D2-7E8DC6B28BAB}"/>
    <cellStyle name="Normal 5 3 5 2 2 4" xfId="9453" xr:uid="{FF855514-8723-4FF9-A06B-BF5A2C978A44}"/>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8FC6A087-BFC1-4833-9DC8-B8D6DEEEBC42}"/>
    <cellStyle name="Normal 5 3 5 2 3 2 3" xfId="12011" xr:uid="{A5FC6D0F-3C9B-4B80-9AAB-5DA39BD14906}"/>
    <cellStyle name="Normal 5 3 5 2 3 3" xfId="5655" xr:uid="{00000000-0005-0000-0000-00006C1A0000}"/>
    <cellStyle name="Normal 5 3 5 2 3 3 2" xfId="14084" xr:uid="{F8270804-D882-48B8-A79A-A85DB950625B}"/>
    <cellStyle name="Normal 5 3 5 2 3 4" xfId="9866" xr:uid="{D08840E0-7106-4E55-905F-B34E52439517}"/>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9925CF20-0AFD-477F-82DC-850811B88FEA}"/>
    <cellStyle name="Normal 5 3 5 2 4 2 3" xfId="12424" xr:uid="{7D585AB6-DF37-4341-936B-2330A5229C12}"/>
    <cellStyle name="Normal 5 3 5 2 4 3" xfId="6068" xr:uid="{00000000-0005-0000-0000-0000701A0000}"/>
    <cellStyle name="Normal 5 3 5 2 4 3 2" xfId="14497" xr:uid="{0B82CC1E-7EE4-41FF-AD9E-A6F1B79A38BC}"/>
    <cellStyle name="Normal 5 3 5 2 4 4" xfId="10279" xr:uid="{6D249B9C-17E6-4B66-A9B9-52DED49FC604}"/>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397F28BB-39B1-4F6F-A11E-86D7EA3188E4}"/>
    <cellStyle name="Normal 5 3 5 2 5 2 3" xfId="12837" xr:uid="{91B27032-42CA-4E52-982D-B82AF7015391}"/>
    <cellStyle name="Normal 5 3 5 2 5 3" xfId="6481" xr:uid="{00000000-0005-0000-0000-0000741A0000}"/>
    <cellStyle name="Normal 5 3 5 2 5 3 2" xfId="14910" xr:uid="{DCD2B584-D157-4C67-8683-C233A4944B6F}"/>
    <cellStyle name="Normal 5 3 5 2 5 4" xfId="10692" xr:uid="{F993F21E-30D3-4C7A-BF48-DFDE1634155D}"/>
    <cellStyle name="Normal 5 3 5 2 6" xfId="2609" xr:uid="{00000000-0005-0000-0000-0000751A0000}"/>
    <cellStyle name="Normal 5 3 5 2 6 2" xfId="6894" xr:uid="{00000000-0005-0000-0000-0000761A0000}"/>
    <cellStyle name="Normal 5 3 5 2 6 2 2" xfId="15323" xr:uid="{46DAEC00-353F-4A82-9052-21E8FB5D4D3B}"/>
    <cellStyle name="Normal 5 3 5 2 6 3" xfId="11105" xr:uid="{E30F0842-283B-458E-8936-ACA8FD4BC727}"/>
    <cellStyle name="Normal 5 3 5 2 7" xfId="4829" xr:uid="{00000000-0005-0000-0000-0000771A0000}"/>
    <cellStyle name="Normal 5 3 5 2 7 2" xfId="13258" xr:uid="{F11A98F2-DEC6-4050-BC55-CE0F91759C7B}"/>
    <cellStyle name="Normal 5 3 5 2 8" xfId="9040" xr:uid="{20253069-C010-4916-B3D5-8BE2D27497E2}"/>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65F5F7BA-89CF-4E8B-8430-4AAC7F01E2AE}"/>
    <cellStyle name="Normal 5 3 5 3 2 3" xfId="11597" xr:uid="{57379A34-9CF0-43EE-AB92-91475A7E75D4}"/>
    <cellStyle name="Normal 5 3 5 3 3" xfId="5241" xr:uid="{00000000-0005-0000-0000-00007B1A0000}"/>
    <cellStyle name="Normal 5 3 5 3 3 2" xfId="13670" xr:uid="{227B274F-FB6D-4B01-939C-51C4C5DE100A}"/>
    <cellStyle name="Normal 5 3 5 3 4" xfId="9452" xr:uid="{662BEA50-6ABD-47B1-B36A-20C5907CE898}"/>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FA63AA89-00B9-4AC7-979B-97E67A1F7ECC}"/>
    <cellStyle name="Normal 5 3 5 4 2 3" xfId="12010" xr:uid="{CAE8A5EB-6272-441C-983A-768560F453A7}"/>
    <cellStyle name="Normal 5 3 5 4 3" xfId="5654" xr:uid="{00000000-0005-0000-0000-00007F1A0000}"/>
    <cellStyle name="Normal 5 3 5 4 3 2" xfId="14083" xr:uid="{81B4AC87-3D7F-44BE-9E41-F66F1F804C58}"/>
    <cellStyle name="Normal 5 3 5 4 4" xfId="9865" xr:uid="{F3BCD533-A103-4D9A-9F54-BD1E7DD927A5}"/>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C4A4208E-EDE8-430C-8FFE-491DD612D2AF}"/>
    <cellStyle name="Normal 5 3 5 5 2 3" xfId="12423" xr:uid="{2CBCC5C4-56E2-4B62-A121-68068AA75452}"/>
    <cellStyle name="Normal 5 3 5 5 3" xfId="6067" xr:uid="{00000000-0005-0000-0000-0000831A0000}"/>
    <cellStyle name="Normal 5 3 5 5 3 2" xfId="14496" xr:uid="{A3BD92BC-958A-4D78-B7E9-423A476D04FA}"/>
    <cellStyle name="Normal 5 3 5 5 4" xfId="10278" xr:uid="{D9799EAA-8AF5-4C51-8286-BB8D1F0252FB}"/>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9A96E417-1A60-4C12-8162-FEE72DDF3990}"/>
    <cellStyle name="Normal 5 3 5 6 2 3" xfId="12836" xr:uid="{277F9FCF-954C-4438-9B3F-CEF09EBBAD7E}"/>
    <cellStyle name="Normal 5 3 5 6 3" xfId="6480" xr:uid="{00000000-0005-0000-0000-0000871A0000}"/>
    <cellStyle name="Normal 5 3 5 6 3 2" xfId="14909" xr:uid="{ED2A5FF2-926C-46DF-A300-09C3EC9B17FB}"/>
    <cellStyle name="Normal 5 3 5 6 4" xfId="10691" xr:uid="{5CE40176-954A-41C5-85DA-00A50E221086}"/>
    <cellStyle name="Normal 5 3 5 7" xfId="2608" xr:uid="{00000000-0005-0000-0000-0000881A0000}"/>
    <cellStyle name="Normal 5 3 5 7 2" xfId="6893" xr:uid="{00000000-0005-0000-0000-0000891A0000}"/>
    <cellStyle name="Normal 5 3 5 7 2 2" xfId="15322" xr:uid="{65A38B69-A8A3-4223-80AD-F7DBB888CC45}"/>
    <cellStyle name="Normal 5 3 5 7 3" xfId="11104" xr:uid="{111BBD34-BDF7-48D2-9F6B-C038938F0B8C}"/>
    <cellStyle name="Normal 5 3 5 8" xfId="4828" xr:uid="{00000000-0005-0000-0000-00008A1A0000}"/>
    <cellStyle name="Normal 5 3 5 8 2" xfId="13257" xr:uid="{07DD0D2C-D4C3-488C-86CB-6569A093A3BA}"/>
    <cellStyle name="Normal 5 3 5 9" xfId="9039" xr:uid="{07ABB435-CF8D-4CDA-A078-DE6F7536E275}"/>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B7CD7506-1736-4375-9D17-1BEA6629FFF3}"/>
    <cellStyle name="Normal 5 3 6 2 2 3" xfId="11599" xr:uid="{0D2273DD-33AD-49FE-9C61-D957098913C4}"/>
    <cellStyle name="Normal 5 3 6 2 3" xfId="5243" xr:uid="{00000000-0005-0000-0000-00008F1A0000}"/>
    <cellStyle name="Normal 5 3 6 2 3 2" xfId="13672" xr:uid="{21369F74-2179-49E2-B34E-082B017939E8}"/>
    <cellStyle name="Normal 5 3 6 2 4" xfId="9454" xr:uid="{0B4AAC31-754A-48FE-9DBB-67B3D4FC76A5}"/>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16A03665-86CB-429A-930C-57F24636588B}"/>
    <cellStyle name="Normal 5 3 6 3 2 3" xfId="12012" xr:uid="{2A809D3C-AC21-454E-A74B-0ED46C24C98E}"/>
    <cellStyle name="Normal 5 3 6 3 3" xfId="5656" xr:uid="{00000000-0005-0000-0000-0000931A0000}"/>
    <cellStyle name="Normal 5 3 6 3 3 2" xfId="14085" xr:uid="{9E51AB8C-6361-4A82-80E3-14F1A08747EB}"/>
    <cellStyle name="Normal 5 3 6 3 4" xfId="9867" xr:uid="{B933A79C-AE89-419C-8F7C-12DA485FB6EC}"/>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16BCF0B1-9CE0-4ECF-99FE-27396B459BF5}"/>
    <cellStyle name="Normal 5 3 6 4 2 3" xfId="12425" xr:uid="{5E32CEFC-1523-408C-ADF0-203999019DD2}"/>
    <cellStyle name="Normal 5 3 6 4 3" xfId="6069" xr:uid="{00000000-0005-0000-0000-0000971A0000}"/>
    <cellStyle name="Normal 5 3 6 4 3 2" xfId="14498" xr:uid="{FE0C2954-672B-4830-83B3-11D465C93513}"/>
    <cellStyle name="Normal 5 3 6 4 4" xfId="10280" xr:uid="{1E4DFC58-BA52-44C2-8159-67CD445A18D0}"/>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4E8C47C6-2F42-4E5C-8A16-C4811A760C70}"/>
    <cellStyle name="Normal 5 3 6 5 2 3" xfId="12838" xr:uid="{407FCD55-35B2-4014-B419-7F93D5A2295B}"/>
    <cellStyle name="Normal 5 3 6 5 3" xfId="6482" xr:uid="{00000000-0005-0000-0000-00009B1A0000}"/>
    <cellStyle name="Normal 5 3 6 5 3 2" xfId="14911" xr:uid="{C41F2E15-8647-463D-AB6A-90AAC05F18EB}"/>
    <cellStyle name="Normal 5 3 6 5 4" xfId="10693" xr:uid="{F5A5EE2B-EEFC-466D-85FB-AF31ECD6B5B5}"/>
    <cellStyle name="Normal 5 3 6 6" xfId="2610" xr:uid="{00000000-0005-0000-0000-00009C1A0000}"/>
    <cellStyle name="Normal 5 3 6 6 2" xfId="6895" xr:uid="{00000000-0005-0000-0000-00009D1A0000}"/>
    <cellStyle name="Normal 5 3 6 6 2 2" xfId="15324" xr:uid="{14D8167C-2735-4109-81E2-A34CA722E7D8}"/>
    <cellStyle name="Normal 5 3 6 6 3" xfId="11106" xr:uid="{35771600-699E-4523-8567-5475F405BB13}"/>
    <cellStyle name="Normal 5 3 6 7" xfId="4830" xr:uid="{00000000-0005-0000-0000-00009E1A0000}"/>
    <cellStyle name="Normal 5 3 6 7 2" xfId="13259" xr:uid="{CABA2D79-0694-4219-B246-955C004D688C}"/>
    <cellStyle name="Normal 5 3 6 8" xfId="9041" xr:uid="{015C0237-927C-420B-A874-B902DBDFB8DD}"/>
    <cellStyle name="Normal 5 3 7" xfId="914" xr:uid="{00000000-0005-0000-0000-00009F1A0000}"/>
    <cellStyle name="Normal 5 3 7 2" xfId="3149" xr:uid="{00000000-0005-0000-0000-0000A01A0000}"/>
    <cellStyle name="Normal 5 3 7 2 2" xfId="7373" xr:uid="{00000000-0005-0000-0000-0000A11A0000}"/>
    <cellStyle name="Normal 5 3 7 2 2 2" xfId="15802" xr:uid="{EF2D64E7-4E1B-40B8-8373-EA7E6E71D54D}"/>
    <cellStyle name="Normal 5 3 7 2 3" xfId="11584" xr:uid="{5C6554B4-FE00-4F13-BAD6-6A52CDBFC8BB}"/>
    <cellStyle name="Normal 5 3 7 3" xfId="5228" xr:uid="{00000000-0005-0000-0000-0000A21A0000}"/>
    <cellStyle name="Normal 5 3 7 3 2" xfId="13657" xr:uid="{6588605E-4C8C-4472-B761-A57D8BD72F39}"/>
    <cellStyle name="Normal 5 3 7 4" xfId="9439" xr:uid="{7A43A6A7-4AD2-4C9D-A10F-B4E89FC56F71}"/>
    <cellStyle name="Normal 5 3 8" xfId="1332" xr:uid="{00000000-0005-0000-0000-0000A31A0000}"/>
    <cellStyle name="Normal 5 3 8 2" xfId="3562" xr:uid="{00000000-0005-0000-0000-0000A41A0000}"/>
    <cellStyle name="Normal 5 3 8 2 2" xfId="7786" xr:uid="{00000000-0005-0000-0000-0000A51A0000}"/>
    <cellStyle name="Normal 5 3 8 2 2 2" xfId="16215" xr:uid="{E5FB4D8E-5E41-480B-BF97-133569F696AE}"/>
    <cellStyle name="Normal 5 3 8 2 3" xfId="11997" xr:uid="{25938118-A4A6-4760-B4FB-B219F9514D2B}"/>
    <cellStyle name="Normal 5 3 8 3" xfId="5641" xr:uid="{00000000-0005-0000-0000-0000A61A0000}"/>
    <cellStyle name="Normal 5 3 8 3 2" xfId="14070" xr:uid="{27C6AC0B-3D72-45EA-9FCA-7BEF01D64625}"/>
    <cellStyle name="Normal 5 3 8 4" xfId="9852" xr:uid="{88E43786-C2C6-49F5-A8AD-79CE868D22E0}"/>
    <cellStyle name="Normal 5 3 9" xfId="1745" xr:uid="{00000000-0005-0000-0000-0000A71A0000}"/>
    <cellStyle name="Normal 5 3 9 2" xfId="3975" xr:uid="{00000000-0005-0000-0000-0000A81A0000}"/>
    <cellStyle name="Normal 5 3 9 2 2" xfId="8199" xr:uid="{00000000-0005-0000-0000-0000A91A0000}"/>
    <cellStyle name="Normal 5 3 9 2 2 2" xfId="16628" xr:uid="{EB6D52CE-824E-4190-816E-13C4EED3BBDE}"/>
    <cellStyle name="Normal 5 3 9 2 3" xfId="12410" xr:uid="{BB4916A6-F874-4934-A285-C05F3C348EC7}"/>
    <cellStyle name="Normal 5 3 9 3" xfId="6054" xr:uid="{00000000-0005-0000-0000-0000AA1A0000}"/>
    <cellStyle name="Normal 5 3 9 3 2" xfId="14483" xr:uid="{44BFA2E5-6F56-46C5-BCE7-456D3473671D}"/>
    <cellStyle name="Normal 5 3 9 4" xfId="10265" xr:uid="{74B958AB-AAC7-422A-AFC5-CE8D685C2004}"/>
    <cellStyle name="Normal 5 4" xfId="456" xr:uid="{00000000-0005-0000-0000-0000AB1A0000}"/>
    <cellStyle name="Normal 5 4 10" xfId="4831" xr:uid="{00000000-0005-0000-0000-0000AC1A0000}"/>
    <cellStyle name="Normal 5 4 10 2" xfId="13260" xr:uid="{6A018FC5-0171-465A-A6AB-61E98EAAE8D1}"/>
    <cellStyle name="Normal 5 4 11" xfId="9042" xr:uid="{3A042D9B-7410-4827-8381-92C999578E5D}"/>
    <cellStyle name="Normal 5 4 2" xfId="457" xr:uid="{00000000-0005-0000-0000-0000AD1A0000}"/>
    <cellStyle name="Normal 5 4 2 10" xfId="9043" xr:uid="{5A1B1940-597B-4312-9FD7-73534A584941}"/>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86198D16-17C2-49E0-821F-BE538FEA0482}"/>
    <cellStyle name="Normal 5 4 2 2 2 2 2 3" xfId="11603" xr:uid="{F3EDFAEA-3C52-4A93-BC42-66F790FC7577}"/>
    <cellStyle name="Normal 5 4 2 2 2 2 3" xfId="5247" xr:uid="{00000000-0005-0000-0000-0000B31A0000}"/>
    <cellStyle name="Normal 5 4 2 2 2 2 3 2" xfId="13676" xr:uid="{60A89218-6891-49C7-A309-31F5A2DE0390}"/>
    <cellStyle name="Normal 5 4 2 2 2 2 4" xfId="9458" xr:uid="{0480E512-EBAF-4056-A06E-D307021106C6}"/>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9A13E534-5AE3-4769-A609-27B0A0BDD734}"/>
    <cellStyle name="Normal 5 4 2 2 2 3 2 3" xfId="12016" xr:uid="{39601A30-9C03-42BD-AF48-D1324C48107E}"/>
    <cellStyle name="Normal 5 4 2 2 2 3 3" xfId="5660" xr:uid="{00000000-0005-0000-0000-0000B71A0000}"/>
    <cellStyle name="Normal 5 4 2 2 2 3 3 2" xfId="14089" xr:uid="{820D6C9D-516D-4923-B93A-DDA3D219A778}"/>
    <cellStyle name="Normal 5 4 2 2 2 3 4" xfId="9871" xr:uid="{BD624C11-8E43-4958-9D04-A3997D8CE4D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8CFE9174-AC47-4740-9B9F-D0ADF59AB8A3}"/>
    <cellStyle name="Normal 5 4 2 2 2 4 2 3" xfId="12429" xr:uid="{1F0C1E09-A4A4-4694-B20C-7A41F9557573}"/>
    <cellStyle name="Normal 5 4 2 2 2 4 3" xfId="6073" xr:uid="{00000000-0005-0000-0000-0000BB1A0000}"/>
    <cellStyle name="Normal 5 4 2 2 2 4 3 2" xfId="14502" xr:uid="{2B3EB079-69E6-478A-8988-807B0F4732DC}"/>
    <cellStyle name="Normal 5 4 2 2 2 4 4" xfId="10284" xr:uid="{33556E53-0C19-40FC-8EC8-EE4A3F814F6D}"/>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F1FE570E-1466-4371-A9BD-70EF92731246}"/>
    <cellStyle name="Normal 5 4 2 2 2 5 2 3" xfId="12842" xr:uid="{16521FC8-31A6-4EC2-B1F6-A84D4084F6E0}"/>
    <cellStyle name="Normal 5 4 2 2 2 5 3" xfId="6486" xr:uid="{00000000-0005-0000-0000-0000BF1A0000}"/>
    <cellStyle name="Normal 5 4 2 2 2 5 3 2" xfId="14915" xr:uid="{D560FD7F-7590-485F-A52B-62B9EF309253}"/>
    <cellStyle name="Normal 5 4 2 2 2 5 4" xfId="10697" xr:uid="{424CA793-3091-4EC9-897C-B8A194A0F99D}"/>
    <cellStyle name="Normal 5 4 2 2 2 6" xfId="2614" xr:uid="{00000000-0005-0000-0000-0000C01A0000}"/>
    <cellStyle name="Normal 5 4 2 2 2 6 2" xfId="6899" xr:uid="{00000000-0005-0000-0000-0000C11A0000}"/>
    <cellStyle name="Normal 5 4 2 2 2 6 2 2" xfId="15328" xr:uid="{BA7709C8-E5EE-45F8-914F-93318E086C6B}"/>
    <cellStyle name="Normal 5 4 2 2 2 6 3" xfId="11110" xr:uid="{A659AD56-961C-4212-A27B-05F2639CB980}"/>
    <cellStyle name="Normal 5 4 2 2 2 7" xfId="4834" xr:uid="{00000000-0005-0000-0000-0000C21A0000}"/>
    <cellStyle name="Normal 5 4 2 2 2 7 2" xfId="13263" xr:uid="{707A1203-ED95-49B9-B955-9FA9933A5FA8}"/>
    <cellStyle name="Normal 5 4 2 2 2 8" xfId="9045" xr:uid="{8D1CB62A-AFC3-44A1-B2EF-96B10E0B4499}"/>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D1655F69-4FB0-4DA9-987D-FBF1BA51EB8D}"/>
    <cellStyle name="Normal 5 4 2 2 3 2 3" xfId="11602" xr:uid="{101505BC-21E5-4FE9-941F-1BFA5B2089EC}"/>
    <cellStyle name="Normal 5 4 2 2 3 3" xfId="5246" xr:uid="{00000000-0005-0000-0000-0000C61A0000}"/>
    <cellStyle name="Normal 5 4 2 2 3 3 2" xfId="13675" xr:uid="{50C2C5C3-7536-43B5-95E8-FA5517A35BA5}"/>
    <cellStyle name="Normal 5 4 2 2 3 4" xfId="9457" xr:uid="{AC70B761-4328-41D2-A3E4-EE9283E5E9FD}"/>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8A8A5C77-9A1D-4EBC-922F-B3D237FD861A}"/>
    <cellStyle name="Normal 5 4 2 2 4 2 3" xfId="12015" xr:uid="{E57B3EFE-96B1-41A4-95C2-03C96D7071CE}"/>
    <cellStyle name="Normal 5 4 2 2 4 3" xfId="5659" xr:uid="{00000000-0005-0000-0000-0000CA1A0000}"/>
    <cellStyle name="Normal 5 4 2 2 4 3 2" xfId="14088" xr:uid="{96A1588D-BC5F-46B8-A51F-2A0FDBFCE478}"/>
    <cellStyle name="Normal 5 4 2 2 4 4" xfId="9870" xr:uid="{5011BB76-DB79-446D-8559-9C46060F4547}"/>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A50A276A-9144-48FD-B532-EF626EC19134}"/>
    <cellStyle name="Normal 5 4 2 2 5 2 3" xfId="12428" xr:uid="{5717D237-6C1B-47E6-A643-65D3B32765B5}"/>
    <cellStyle name="Normal 5 4 2 2 5 3" xfId="6072" xr:uid="{00000000-0005-0000-0000-0000CE1A0000}"/>
    <cellStyle name="Normal 5 4 2 2 5 3 2" xfId="14501" xr:uid="{6AFE4F20-4D6A-4EE4-80E3-484C391FF31D}"/>
    <cellStyle name="Normal 5 4 2 2 5 4" xfId="10283" xr:uid="{88D3DC19-C391-4EBF-BC1C-2F87C1268E1C}"/>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80474343-66D3-4BC6-A107-0B4BF678E6DE}"/>
    <cellStyle name="Normal 5 4 2 2 6 2 3" xfId="12841" xr:uid="{4B775621-BF75-40FD-9C64-AF1D129C2093}"/>
    <cellStyle name="Normal 5 4 2 2 6 3" xfId="6485" xr:uid="{00000000-0005-0000-0000-0000D21A0000}"/>
    <cellStyle name="Normal 5 4 2 2 6 3 2" xfId="14914" xr:uid="{BE0EF054-828A-4D07-A045-8FB0234A7568}"/>
    <cellStyle name="Normal 5 4 2 2 6 4" xfId="10696" xr:uid="{5C800686-5E04-48E5-BFF1-F65562A26E1A}"/>
    <cellStyle name="Normal 5 4 2 2 7" xfId="2613" xr:uid="{00000000-0005-0000-0000-0000D31A0000}"/>
    <cellStyle name="Normal 5 4 2 2 7 2" xfId="6898" xr:uid="{00000000-0005-0000-0000-0000D41A0000}"/>
    <cellStyle name="Normal 5 4 2 2 7 2 2" xfId="15327" xr:uid="{9E711EE2-6B6F-4266-AF75-9ECF2337B09F}"/>
    <cellStyle name="Normal 5 4 2 2 7 3" xfId="11109" xr:uid="{FB9EEC13-BB5A-4472-9F2A-DDDFE1978D38}"/>
    <cellStyle name="Normal 5 4 2 2 8" xfId="4833" xr:uid="{00000000-0005-0000-0000-0000D51A0000}"/>
    <cellStyle name="Normal 5 4 2 2 8 2" xfId="13262" xr:uid="{9B69EE50-D468-4F72-B925-A51E82F78B10}"/>
    <cellStyle name="Normal 5 4 2 2 9" xfId="9044" xr:uid="{EA35A07E-B297-49DF-98BA-D45296A258E4}"/>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FE3DCBDF-E358-43BB-9014-DF1B13F24371}"/>
    <cellStyle name="Normal 5 4 2 3 2 2 3" xfId="11604" xr:uid="{464355CB-3D07-4655-8BBB-425707943A62}"/>
    <cellStyle name="Normal 5 4 2 3 2 3" xfId="5248" xr:uid="{00000000-0005-0000-0000-0000DA1A0000}"/>
    <cellStyle name="Normal 5 4 2 3 2 3 2" xfId="13677" xr:uid="{75B83424-638E-41D8-AE56-C22B5693E79C}"/>
    <cellStyle name="Normal 5 4 2 3 2 4" xfId="9459" xr:uid="{84FC24A1-1BC4-486C-9874-FAB985B1C54D}"/>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DC6DCFCB-462E-48E9-9677-398CD3D6BD61}"/>
    <cellStyle name="Normal 5 4 2 3 3 2 3" xfId="12017" xr:uid="{2D3B1ADB-7905-4A48-AA70-F00E6B814305}"/>
    <cellStyle name="Normal 5 4 2 3 3 3" xfId="5661" xr:uid="{00000000-0005-0000-0000-0000DE1A0000}"/>
    <cellStyle name="Normal 5 4 2 3 3 3 2" xfId="14090" xr:uid="{22B59EC6-AE1D-4A98-89D8-012B64ACE9FF}"/>
    <cellStyle name="Normal 5 4 2 3 3 4" xfId="9872" xr:uid="{2BB1151A-CBFE-49A3-AF41-0E09E3C1D803}"/>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E9583FED-A735-43E5-996B-DF13B810190D}"/>
    <cellStyle name="Normal 5 4 2 3 4 2 3" xfId="12430" xr:uid="{34CB8350-4606-41C8-ADEC-C95016FFEED0}"/>
    <cellStyle name="Normal 5 4 2 3 4 3" xfId="6074" xr:uid="{00000000-0005-0000-0000-0000E21A0000}"/>
    <cellStyle name="Normal 5 4 2 3 4 3 2" xfId="14503" xr:uid="{4890FF5A-90AF-42D5-B734-71C9C3BB23C3}"/>
    <cellStyle name="Normal 5 4 2 3 4 4" xfId="10285" xr:uid="{7722A83F-4531-4FF4-83F0-CBB22020E3A0}"/>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566A297C-3329-42C3-8B24-4BF0EA52F4B3}"/>
    <cellStyle name="Normal 5 4 2 3 5 2 3" xfId="12843" xr:uid="{49987053-C5DD-410E-B034-1A4BEA5FE302}"/>
    <cellStyle name="Normal 5 4 2 3 5 3" xfId="6487" xr:uid="{00000000-0005-0000-0000-0000E61A0000}"/>
    <cellStyle name="Normal 5 4 2 3 5 3 2" xfId="14916" xr:uid="{C97F2198-2BFE-42EF-A808-E3287C73F1D1}"/>
    <cellStyle name="Normal 5 4 2 3 5 4" xfId="10698" xr:uid="{F6ED0562-C551-41CB-B708-67DAC651A2ED}"/>
    <cellStyle name="Normal 5 4 2 3 6" xfId="2615" xr:uid="{00000000-0005-0000-0000-0000E71A0000}"/>
    <cellStyle name="Normal 5 4 2 3 6 2" xfId="6900" xr:uid="{00000000-0005-0000-0000-0000E81A0000}"/>
    <cellStyle name="Normal 5 4 2 3 6 2 2" xfId="15329" xr:uid="{F9CE4BF6-8ACA-4BD4-B122-1F17CB09FDCC}"/>
    <cellStyle name="Normal 5 4 2 3 6 3" xfId="11111" xr:uid="{9E40013F-AC82-4B33-946C-979BB450C2A5}"/>
    <cellStyle name="Normal 5 4 2 3 7" xfId="4835" xr:uid="{00000000-0005-0000-0000-0000E91A0000}"/>
    <cellStyle name="Normal 5 4 2 3 7 2" xfId="13264" xr:uid="{5C806471-80A2-4B8A-A374-1A7580AE9F75}"/>
    <cellStyle name="Normal 5 4 2 3 8" xfId="9046" xr:uid="{9A670FD0-9282-4A5D-8710-2E2834BC699C}"/>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39C64761-E705-45F0-980E-0E39A68A8DFD}"/>
    <cellStyle name="Normal 5 4 2 4 2 3" xfId="11601" xr:uid="{523398DA-DA82-4674-96E2-894D58284BD4}"/>
    <cellStyle name="Normal 5 4 2 4 3" xfId="5245" xr:uid="{00000000-0005-0000-0000-0000ED1A0000}"/>
    <cellStyle name="Normal 5 4 2 4 3 2" xfId="13674" xr:uid="{8675B487-36E3-4879-9B60-D70F833B5B4F}"/>
    <cellStyle name="Normal 5 4 2 4 4" xfId="9456" xr:uid="{EC473EC0-B2B9-4789-BD51-98EBF8F49FE4}"/>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A051BD3E-64D2-478B-AACF-F74CDFA1D013}"/>
    <cellStyle name="Normal 5 4 2 5 2 3" xfId="12014" xr:uid="{6FAA29FF-3739-49C9-93FF-3D06278DF688}"/>
    <cellStyle name="Normal 5 4 2 5 3" xfId="5658" xr:uid="{00000000-0005-0000-0000-0000F11A0000}"/>
    <cellStyle name="Normal 5 4 2 5 3 2" xfId="14087" xr:uid="{E5D9E873-19D6-4DEC-9521-3E24793D4DDC}"/>
    <cellStyle name="Normal 5 4 2 5 4" xfId="9869" xr:uid="{9831491F-D232-4475-AD1B-E0409237ED95}"/>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2BC77CCC-7D41-4BC6-8182-94379DCA28EE}"/>
    <cellStyle name="Normal 5 4 2 6 2 3" xfId="12427" xr:uid="{45C97E27-8E66-4492-8A68-F0DBB3396EAA}"/>
    <cellStyle name="Normal 5 4 2 6 3" xfId="6071" xr:uid="{00000000-0005-0000-0000-0000F51A0000}"/>
    <cellStyle name="Normal 5 4 2 6 3 2" xfId="14500" xr:uid="{95FBE5D1-8A08-4FAA-ABB4-9F3DD2003C94}"/>
    <cellStyle name="Normal 5 4 2 6 4" xfId="10282" xr:uid="{F4FC8FAB-B13E-4F28-8CCD-EC306759A0FF}"/>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87250C41-6D89-4219-9C3A-FE4D24C3D05B}"/>
    <cellStyle name="Normal 5 4 2 7 2 3" xfId="12840" xr:uid="{1E729687-9FC9-4957-A930-D721EEEEC9C5}"/>
    <cellStyle name="Normal 5 4 2 7 3" xfId="6484" xr:uid="{00000000-0005-0000-0000-0000F91A0000}"/>
    <cellStyle name="Normal 5 4 2 7 3 2" xfId="14913" xr:uid="{4253BB60-43CA-4524-B21B-F6A628AAD614}"/>
    <cellStyle name="Normal 5 4 2 7 4" xfId="10695" xr:uid="{049459E0-CCC9-4F5B-BB7C-1E7202BB95E8}"/>
    <cellStyle name="Normal 5 4 2 8" xfId="2612" xr:uid="{00000000-0005-0000-0000-0000FA1A0000}"/>
    <cellStyle name="Normal 5 4 2 8 2" xfId="6897" xr:uid="{00000000-0005-0000-0000-0000FB1A0000}"/>
    <cellStyle name="Normal 5 4 2 8 2 2" xfId="15326" xr:uid="{E1002BD0-6308-487B-99CC-11C108F86686}"/>
    <cellStyle name="Normal 5 4 2 8 3" xfId="11108" xr:uid="{C34DCC7A-9512-46C0-972D-4A8098353625}"/>
    <cellStyle name="Normal 5 4 2 9" xfId="4832" xr:uid="{00000000-0005-0000-0000-0000FC1A0000}"/>
    <cellStyle name="Normal 5 4 2 9 2" xfId="13261" xr:uid="{CAEF0C7D-DEC3-4F01-BE19-C208CD3AE7C3}"/>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EB06AD16-1E41-4F30-BBF2-DD163D15E0C8}"/>
    <cellStyle name="Normal 5 4 3 2 2 2 3" xfId="11606" xr:uid="{EEB4F1E8-CBF5-4AE6-9C1D-0346E38F609F}"/>
    <cellStyle name="Normal 5 4 3 2 2 3" xfId="5250" xr:uid="{00000000-0005-0000-0000-0000021B0000}"/>
    <cellStyle name="Normal 5 4 3 2 2 3 2" xfId="13679" xr:uid="{48281D7E-98DE-470E-A241-E976497E68B1}"/>
    <cellStyle name="Normal 5 4 3 2 2 4" xfId="9461" xr:uid="{92941058-9EA5-4DF4-A267-9CD41D598B0C}"/>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07D17DFE-E199-44B9-AAF4-6775825E3A5A}"/>
    <cellStyle name="Normal 5 4 3 2 3 2 3" xfId="12019" xr:uid="{D03414FE-B4E2-4016-90D7-415F5A0AF608}"/>
    <cellStyle name="Normal 5 4 3 2 3 3" xfId="5663" xr:uid="{00000000-0005-0000-0000-0000061B0000}"/>
    <cellStyle name="Normal 5 4 3 2 3 3 2" xfId="14092" xr:uid="{ABDB0455-0F69-46A4-9715-C6B96E862F45}"/>
    <cellStyle name="Normal 5 4 3 2 3 4" xfId="9874" xr:uid="{58DBBE04-C03A-47E2-9C71-FC2B8703ADE3}"/>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CFAB82AE-A708-433D-84C2-0C9E942A156A}"/>
    <cellStyle name="Normal 5 4 3 2 4 2 3" xfId="12432" xr:uid="{901EBDAF-F286-450D-88D1-38993A97F559}"/>
    <cellStyle name="Normal 5 4 3 2 4 3" xfId="6076" xr:uid="{00000000-0005-0000-0000-00000A1B0000}"/>
    <cellStyle name="Normal 5 4 3 2 4 3 2" xfId="14505" xr:uid="{E3CED52F-5332-4FEE-A231-3A72D018E7BF}"/>
    <cellStyle name="Normal 5 4 3 2 4 4" xfId="10287" xr:uid="{38ED7866-A7C3-4333-9B5D-AA18CD9D6BC1}"/>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DC2583DE-411C-45E2-88E4-BADBDF09C21A}"/>
    <cellStyle name="Normal 5 4 3 2 5 2 3" xfId="12845" xr:uid="{FDB199E6-B704-4E48-B54A-D9D3B26EAD8F}"/>
    <cellStyle name="Normal 5 4 3 2 5 3" xfId="6489" xr:uid="{00000000-0005-0000-0000-00000E1B0000}"/>
    <cellStyle name="Normal 5 4 3 2 5 3 2" xfId="14918" xr:uid="{D2F9D658-F882-4D23-9BA2-33E8DAD80703}"/>
    <cellStyle name="Normal 5 4 3 2 5 4" xfId="10700" xr:uid="{E2E7DFE9-FD7A-40B9-AB5A-A2FE25846174}"/>
    <cellStyle name="Normal 5 4 3 2 6" xfId="2617" xr:uid="{00000000-0005-0000-0000-00000F1B0000}"/>
    <cellStyle name="Normal 5 4 3 2 6 2" xfId="6902" xr:uid="{00000000-0005-0000-0000-0000101B0000}"/>
    <cellStyle name="Normal 5 4 3 2 6 2 2" xfId="15331" xr:uid="{5A36BE33-6E31-40D4-BDA0-ABBB42E7DA21}"/>
    <cellStyle name="Normal 5 4 3 2 6 3" xfId="11113" xr:uid="{0FF867EF-34F8-4476-8CAF-F29690DCE3A3}"/>
    <cellStyle name="Normal 5 4 3 2 7" xfId="4837" xr:uid="{00000000-0005-0000-0000-0000111B0000}"/>
    <cellStyle name="Normal 5 4 3 2 7 2" xfId="13266" xr:uid="{5417BB7B-765F-4145-B19A-303C9697C744}"/>
    <cellStyle name="Normal 5 4 3 2 8" xfId="9048" xr:uid="{55FC28DF-50DF-4314-B968-DD3FBC8234E8}"/>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FB3E24D1-E6A0-40B1-ADD1-547C1808D1DC}"/>
    <cellStyle name="Normal 5 4 3 3 2 3" xfId="11605" xr:uid="{94FCF192-B777-473E-B610-0FD1260DE6EE}"/>
    <cellStyle name="Normal 5 4 3 3 3" xfId="5249" xr:uid="{00000000-0005-0000-0000-0000151B0000}"/>
    <cellStyle name="Normal 5 4 3 3 3 2" xfId="13678" xr:uid="{68C31DB4-AF1F-43AE-BC6D-09AD8C7790C2}"/>
    <cellStyle name="Normal 5 4 3 3 4" xfId="9460" xr:uid="{A584DC83-BC3A-4C1D-8EB9-7BE3BA96914B}"/>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DC2B66F8-BF8B-42FB-BD70-9C8734716083}"/>
    <cellStyle name="Normal 5 4 3 4 2 3" xfId="12018" xr:uid="{636F854F-1D66-437E-8DBE-281188353790}"/>
    <cellStyle name="Normal 5 4 3 4 3" xfId="5662" xr:uid="{00000000-0005-0000-0000-0000191B0000}"/>
    <cellStyle name="Normal 5 4 3 4 3 2" xfId="14091" xr:uid="{90D38423-8D08-459F-B932-2BA2C7E8A56F}"/>
    <cellStyle name="Normal 5 4 3 4 4" xfId="9873" xr:uid="{C9BE3442-C9AB-4B80-8B86-58E418A80531}"/>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C4324548-2C4E-4657-A9A3-917980ACDE72}"/>
    <cellStyle name="Normal 5 4 3 5 2 3" xfId="12431" xr:uid="{5F8FD541-0781-48BC-AF7F-192AD82408F8}"/>
    <cellStyle name="Normal 5 4 3 5 3" xfId="6075" xr:uid="{00000000-0005-0000-0000-00001D1B0000}"/>
    <cellStyle name="Normal 5 4 3 5 3 2" xfId="14504" xr:uid="{DC77E08D-E1F3-4C9C-AC2A-770EF8428BF4}"/>
    <cellStyle name="Normal 5 4 3 5 4" xfId="10286" xr:uid="{E574868A-3F91-4F16-9566-B2BD9A6CA258}"/>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D1C1FD23-8378-4170-B349-24E6FFF2A443}"/>
    <cellStyle name="Normal 5 4 3 6 2 3" xfId="12844" xr:uid="{3508E69A-CE76-4215-AF75-C305D55E36C8}"/>
    <cellStyle name="Normal 5 4 3 6 3" xfId="6488" xr:uid="{00000000-0005-0000-0000-0000211B0000}"/>
    <cellStyle name="Normal 5 4 3 6 3 2" xfId="14917" xr:uid="{70AA0ED3-59BF-4476-B942-99CE04C9D26A}"/>
    <cellStyle name="Normal 5 4 3 6 4" xfId="10699" xr:uid="{5AF6F017-7438-4B8A-8D52-9DC8BA30179A}"/>
    <cellStyle name="Normal 5 4 3 7" xfId="2616" xr:uid="{00000000-0005-0000-0000-0000221B0000}"/>
    <cellStyle name="Normal 5 4 3 7 2" xfId="6901" xr:uid="{00000000-0005-0000-0000-0000231B0000}"/>
    <cellStyle name="Normal 5 4 3 7 2 2" xfId="15330" xr:uid="{1B9E81B3-B8E1-4834-8F9E-D3015EDAE7D0}"/>
    <cellStyle name="Normal 5 4 3 7 3" xfId="11112" xr:uid="{AFDCDE00-28A9-4847-8592-99049657BEAE}"/>
    <cellStyle name="Normal 5 4 3 8" xfId="4836" xr:uid="{00000000-0005-0000-0000-0000241B0000}"/>
    <cellStyle name="Normal 5 4 3 8 2" xfId="13265" xr:uid="{6BD40569-9C03-4953-B279-96CA4AEDFFB4}"/>
    <cellStyle name="Normal 5 4 3 9" xfId="9047" xr:uid="{0308C476-6DDF-462B-A3CB-FC2FD9C66D9B}"/>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68A9F450-8467-4E01-A507-B56BA7102647}"/>
    <cellStyle name="Normal 5 4 4 2 2 3" xfId="11607" xr:uid="{51ADF6A3-288A-4C65-9F81-4525D7AE203C}"/>
    <cellStyle name="Normal 5 4 4 2 3" xfId="5251" xr:uid="{00000000-0005-0000-0000-0000291B0000}"/>
    <cellStyle name="Normal 5 4 4 2 3 2" xfId="13680" xr:uid="{476A9708-09DB-4143-BAAC-FD24A420D410}"/>
    <cellStyle name="Normal 5 4 4 2 4" xfId="9462" xr:uid="{7AA8C8F4-0AD6-4622-BD2C-C198B6D447D7}"/>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9599EC72-4FC7-4390-B57B-AD2E15C6F604}"/>
    <cellStyle name="Normal 5 4 4 3 2 3" xfId="12020" xr:uid="{F0B37427-0B19-4409-B63A-B3966CCA46FC}"/>
    <cellStyle name="Normal 5 4 4 3 3" xfId="5664" xr:uid="{00000000-0005-0000-0000-00002D1B0000}"/>
    <cellStyle name="Normal 5 4 4 3 3 2" xfId="14093" xr:uid="{4AEA0D85-1892-4D6E-8220-AAF56DE5FE55}"/>
    <cellStyle name="Normal 5 4 4 3 4" xfId="9875" xr:uid="{0FCF9FE0-C65F-41BB-BDCB-89041E0C31FB}"/>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6C04E0E7-2F2D-4F10-85A7-AA18453AE1E9}"/>
    <cellStyle name="Normal 5 4 4 4 2 3" xfId="12433" xr:uid="{9524F917-348E-4EAB-BBA5-DC2A49FB7DAC}"/>
    <cellStyle name="Normal 5 4 4 4 3" xfId="6077" xr:uid="{00000000-0005-0000-0000-0000311B0000}"/>
    <cellStyle name="Normal 5 4 4 4 3 2" xfId="14506" xr:uid="{8B231B79-9189-47B3-A21D-F17BD6B5AB09}"/>
    <cellStyle name="Normal 5 4 4 4 4" xfId="10288" xr:uid="{B9360B31-23A9-4F35-B688-C762DDA271CD}"/>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B49D8728-CDDD-4C9C-A305-B83C8FB17AD5}"/>
    <cellStyle name="Normal 5 4 4 5 2 3" xfId="12846" xr:uid="{28EEFC19-53F3-4F33-AEFC-CE7F5E5A0A18}"/>
    <cellStyle name="Normal 5 4 4 5 3" xfId="6490" xr:uid="{00000000-0005-0000-0000-0000351B0000}"/>
    <cellStyle name="Normal 5 4 4 5 3 2" xfId="14919" xr:uid="{4E18CB6E-B0C2-4A5A-8EC6-9134A4AE2D22}"/>
    <cellStyle name="Normal 5 4 4 5 4" xfId="10701" xr:uid="{BAA40A57-9815-48C2-B18F-4686CDF8F814}"/>
    <cellStyle name="Normal 5 4 4 6" xfId="2618" xr:uid="{00000000-0005-0000-0000-0000361B0000}"/>
    <cellStyle name="Normal 5 4 4 6 2" xfId="6903" xr:uid="{00000000-0005-0000-0000-0000371B0000}"/>
    <cellStyle name="Normal 5 4 4 6 2 2" xfId="15332" xr:uid="{FC9AF1B3-ACF8-4BD8-A8DA-39B5EAE15009}"/>
    <cellStyle name="Normal 5 4 4 6 3" xfId="11114" xr:uid="{3E7AC217-DFAC-4809-8B8E-A54CEDDA3995}"/>
    <cellStyle name="Normal 5 4 4 7" xfId="4838" xr:uid="{00000000-0005-0000-0000-0000381B0000}"/>
    <cellStyle name="Normal 5 4 4 7 2" xfId="13267" xr:uid="{8D2E6DD3-8DC2-4A3C-ADC1-C4E991082122}"/>
    <cellStyle name="Normal 5 4 4 8" xfId="9049" xr:uid="{2CF48F99-061A-4951-A28F-8FDC34476486}"/>
    <cellStyle name="Normal 5 4 5" xfId="931" xr:uid="{00000000-0005-0000-0000-0000391B0000}"/>
    <cellStyle name="Normal 5 4 5 2" xfId="3165" xr:uid="{00000000-0005-0000-0000-00003A1B0000}"/>
    <cellStyle name="Normal 5 4 5 2 2" xfId="7389" xr:uid="{00000000-0005-0000-0000-00003B1B0000}"/>
    <cellStyle name="Normal 5 4 5 2 2 2" xfId="15818" xr:uid="{8881E753-64AA-4FA9-B1C0-213B6B70EAA7}"/>
    <cellStyle name="Normal 5 4 5 2 3" xfId="11600" xr:uid="{E95EC892-2F0E-43F3-B935-EAC6664762FA}"/>
    <cellStyle name="Normal 5 4 5 3" xfId="5244" xr:uid="{00000000-0005-0000-0000-00003C1B0000}"/>
    <cellStyle name="Normal 5 4 5 3 2" xfId="13673" xr:uid="{7EE36A22-8DBC-43E3-8135-3303AEC4A218}"/>
    <cellStyle name="Normal 5 4 5 4" xfId="9455" xr:uid="{4317B01D-4D21-4F9A-899D-C037EDD4B16B}"/>
    <cellStyle name="Normal 5 4 6" xfId="1348" xr:uid="{00000000-0005-0000-0000-00003D1B0000}"/>
    <cellStyle name="Normal 5 4 6 2" xfId="3578" xr:uid="{00000000-0005-0000-0000-00003E1B0000}"/>
    <cellStyle name="Normal 5 4 6 2 2" xfId="7802" xr:uid="{00000000-0005-0000-0000-00003F1B0000}"/>
    <cellStyle name="Normal 5 4 6 2 2 2" xfId="16231" xr:uid="{C3FDFE3C-DB1F-4D7B-8FA4-115C797091ED}"/>
    <cellStyle name="Normal 5 4 6 2 3" xfId="12013" xr:uid="{DFD3EF40-533D-4585-A6E3-959C3CD4D1DD}"/>
    <cellStyle name="Normal 5 4 6 3" xfId="5657" xr:uid="{00000000-0005-0000-0000-0000401B0000}"/>
    <cellStyle name="Normal 5 4 6 3 2" xfId="14086" xr:uid="{7519C48D-76CD-4BC1-B381-95A199999B0D}"/>
    <cellStyle name="Normal 5 4 6 4" xfId="9868" xr:uid="{6FAF05DD-3A1E-4290-9124-8854B4FCF704}"/>
    <cellStyle name="Normal 5 4 7" xfId="1761" xr:uid="{00000000-0005-0000-0000-0000411B0000}"/>
    <cellStyle name="Normal 5 4 7 2" xfId="3991" xr:uid="{00000000-0005-0000-0000-0000421B0000}"/>
    <cellStyle name="Normal 5 4 7 2 2" xfId="8215" xr:uid="{00000000-0005-0000-0000-0000431B0000}"/>
    <cellStyle name="Normal 5 4 7 2 2 2" xfId="16644" xr:uid="{C4FC83F2-5230-4EC9-8882-6090F095B603}"/>
    <cellStyle name="Normal 5 4 7 2 3" xfId="12426" xr:uid="{E339212C-A57C-4C9B-B02B-8E5395DB10CB}"/>
    <cellStyle name="Normal 5 4 7 3" xfId="6070" xr:uid="{00000000-0005-0000-0000-0000441B0000}"/>
    <cellStyle name="Normal 5 4 7 3 2" xfId="14499" xr:uid="{74999C91-340C-4770-9BF8-47D2309387DC}"/>
    <cellStyle name="Normal 5 4 7 4" xfId="10281" xr:uid="{4170984F-B363-4AC0-933C-7F322B29040F}"/>
    <cellStyle name="Normal 5 4 8" xfId="2175" xr:uid="{00000000-0005-0000-0000-0000451B0000}"/>
    <cellStyle name="Normal 5 4 8 2" xfId="4404" xr:uid="{00000000-0005-0000-0000-0000461B0000}"/>
    <cellStyle name="Normal 5 4 8 2 2" xfId="8628" xr:uid="{00000000-0005-0000-0000-0000471B0000}"/>
    <cellStyle name="Normal 5 4 8 2 2 2" xfId="17057" xr:uid="{131F7B9C-979C-458E-83BD-ADB306535462}"/>
    <cellStyle name="Normal 5 4 8 2 3" xfId="12839" xr:uid="{26601048-A50C-4F74-AC85-E5FECF7C09C8}"/>
    <cellStyle name="Normal 5 4 8 3" xfId="6483" xr:uid="{00000000-0005-0000-0000-0000481B0000}"/>
    <cellStyle name="Normal 5 4 8 3 2" xfId="14912" xr:uid="{327B3664-0DD2-4191-AB29-D227A5634DF6}"/>
    <cellStyle name="Normal 5 4 8 4" xfId="10694" xr:uid="{F23B1ED0-3E83-437D-B0FB-D266F5D33564}"/>
    <cellStyle name="Normal 5 4 9" xfId="2611" xr:uid="{00000000-0005-0000-0000-0000491B0000}"/>
    <cellStyle name="Normal 5 4 9 2" xfId="6896" xr:uid="{00000000-0005-0000-0000-00004A1B0000}"/>
    <cellStyle name="Normal 5 4 9 2 2" xfId="15325" xr:uid="{8EF0B697-96FC-450F-BCC4-BD471968BE78}"/>
    <cellStyle name="Normal 5 4 9 3" xfId="11107" xr:uid="{10A3904E-D3AC-4A0E-A1EA-F94132DE440B}"/>
    <cellStyle name="Normal 5 5" xfId="464" xr:uid="{00000000-0005-0000-0000-00004B1B0000}"/>
    <cellStyle name="Normal 5 5 10" xfId="9050" xr:uid="{CC709875-A2AB-470B-86F0-C9F4548B0E95}"/>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8A3A822D-E1B8-4756-AA02-D2E24CFB4CAC}"/>
    <cellStyle name="Normal 5 5 2 2 2 2 3" xfId="11610" xr:uid="{2738B89F-CB7B-4BEB-9E76-CF4D3FCD3666}"/>
    <cellStyle name="Normal 5 5 2 2 2 3" xfId="5254" xr:uid="{00000000-0005-0000-0000-0000511B0000}"/>
    <cellStyle name="Normal 5 5 2 2 2 3 2" xfId="13683" xr:uid="{C5C7C98E-A627-4426-9FBC-DBC90EB0B582}"/>
    <cellStyle name="Normal 5 5 2 2 2 4" xfId="9465" xr:uid="{D58347AC-C82E-4A36-A60F-56CC52B64AFB}"/>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C1D98A36-91D5-43DF-8B31-F3045DA308DB}"/>
    <cellStyle name="Normal 5 5 2 2 3 2 3" xfId="12023" xr:uid="{4FB1A43D-8B55-4731-9828-B86F2BC5A3E0}"/>
    <cellStyle name="Normal 5 5 2 2 3 3" xfId="5667" xr:uid="{00000000-0005-0000-0000-0000551B0000}"/>
    <cellStyle name="Normal 5 5 2 2 3 3 2" xfId="14096" xr:uid="{E2D6F36A-07BF-453E-B546-1C6FCF1E59B3}"/>
    <cellStyle name="Normal 5 5 2 2 3 4" xfId="9878" xr:uid="{8EE40364-2FCF-4429-8BFE-38B1179CA600}"/>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7C80C091-D18C-46DD-927F-5FAB2BDD0236}"/>
    <cellStyle name="Normal 5 5 2 2 4 2 3" xfId="12436" xr:uid="{7A6A4078-A18E-4F34-964A-FA5210457E7F}"/>
    <cellStyle name="Normal 5 5 2 2 4 3" xfId="6080" xr:uid="{00000000-0005-0000-0000-0000591B0000}"/>
    <cellStyle name="Normal 5 5 2 2 4 3 2" xfId="14509" xr:uid="{48C1D4D7-153C-4E92-ADAF-CB4684EC9A48}"/>
    <cellStyle name="Normal 5 5 2 2 4 4" xfId="10291" xr:uid="{49C03DA1-AFB0-403B-876A-DBA24CA82A47}"/>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D8AE0C9A-CE45-48C4-B21F-51185CE36D7A}"/>
    <cellStyle name="Normal 5 5 2 2 5 2 3" xfId="12849" xr:uid="{9347CA0F-8002-4844-949F-A0FCDF6994B4}"/>
    <cellStyle name="Normal 5 5 2 2 5 3" xfId="6493" xr:uid="{00000000-0005-0000-0000-00005D1B0000}"/>
    <cellStyle name="Normal 5 5 2 2 5 3 2" xfId="14922" xr:uid="{4A6D9343-0DF6-4867-8085-D2F696703300}"/>
    <cellStyle name="Normal 5 5 2 2 5 4" xfId="10704" xr:uid="{C393D550-1855-4E4F-BD13-CFEEFD138268}"/>
    <cellStyle name="Normal 5 5 2 2 6" xfId="2621" xr:uid="{00000000-0005-0000-0000-00005E1B0000}"/>
    <cellStyle name="Normal 5 5 2 2 6 2" xfId="6906" xr:uid="{00000000-0005-0000-0000-00005F1B0000}"/>
    <cellStyle name="Normal 5 5 2 2 6 2 2" xfId="15335" xr:uid="{53F94AF6-0A15-439F-B49B-E2D3762347B7}"/>
    <cellStyle name="Normal 5 5 2 2 6 3" xfId="11117" xr:uid="{E9EF4C74-3F9B-4BF5-8694-22A0060ECEA8}"/>
    <cellStyle name="Normal 5 5 2 2 7" xfId="4841" xr:uid="{00000000-0005-0000-0000-0000601B0000}"/>
    <cellStyle name="Normal 5 5 2 2 7 2" xfId="13270" xr:uid="{B5B05E6D-D45C-40B8-B147-95A2D8630E7A}"/>
    <cellStyle name="Normal 5 5 2 2 8" xfId="9052" xr:uid="{F4B14E8C-83E0-4D93-84CD-6603567D35AA}"/>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2F5F05E7-8B0C-4068-961F-A1E2BCECD8E9}"/>
    <cellStyle name="Normal 5 5 2 3 2 3" xfId="11609" xr:uid="{56CD8E3C-C16A-49F6-BF9C-67DE159DD449}"/>
    <cellStyle name="Normal 5 5 2 3 3" xfId="5253" xr:uid="{00000000-0005-0000-0000-0000641B0000}"/>
    <cellStyle name="Normal 5 5 2 3 3 2" xfId="13682" xr:uid="{F0A32259-3DA4-49A1-9BD4-7E4ECC57431A}"/>
    <cellStyle name="Normal 5 5 2 3 4" xfId="9464" xr:uid="{912BA310-794B-4132-B58B-977B6160E0B9}"/>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45A90CCB-3359-468A-8AE3-64066524A432}"/>
    <cellStyle name="Normal 5 5 2 4 2 3" xfId="12022" xr:uid="{3CB09A05-EC51-4933-9F8C-28D8AD7C81DE}"/>
    <cellStyle name="Normal 5 5 2 4 3" xfId="5666" xr:uid="{00000000-0005-0000-0000-0000681B0000}"/>
    <cellStyle name="Normal 5 5 2 4 3 2" xfId="14095" xr:uid="{5A9FA468-7192-4068-AF2E-BDC0ABD1F9B5}"/>
    <cellStyle name="Normal 5 5 2 4 4" xfId="9877" xr:uid="{87C95B99-62CD-43D0-9057-868CFD8524A7}"/>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56ED357D-D9D1-4190-8BE6-85D6675C1504}"/>
    <cellStyle name="Normal 5 5 2 5 2 3" xfId="12435" xr:uid="{8C0A911D-5A11-4935-9F0B-15B2CB78BC40}"/>
    <cellStyle name="Normal 5 5 2 5 3" xfId="6079" xr:uid="{00000000-0005-0000-0000-00006C1B0000}"/>
    <cellStyle name="Normal 5 5 2 5 3 2" xfId="14508" xr:uid="{73A3F1A0-1449-4025-B424-7AF55B859BC6}"/>
    <cellStyle name="Normal 5 5 2 5 4" xfId="10290" xr:uid="{BA807406-A987-4B80-87F2-08E624763DCD}"/>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026B4F38-E16A-4544-B0A2-8F22A3FC1914}"/>
    <cellStyle name="Normal 5 5 2 6 2 3" xfId="12848" xr:uid="{FEAD7FAF-F39B-4474-9561-FF66C18158F4}"/>
    <cellStyle name="Normal 5 5 2 6 3" xfId="6492" xr:uid="{00000000-0005-0000-0000-0000701B0000}"/>
    <cellStyle name="Normal 5 5 2 6 3 2" xfId="14921" xr:uid="{F6862DE8-3BBE-4726-9463-7D32E5712D84}"/>
    <cellStyle name="Normal 5 5 2 6 4" xfId="10703" xr:uid="{7D7288D3-4F4D-4F4B-940C-31E6BCAD5FD5}"/>
    <cellStyle name="Normal 5 5 2 7" xfId="2620" xr:uid="{00000000-0005-0000-0000-0000711B0000}"/>
    <cellStyle name="Normal 5 5 2 7 2" xfId="6905" xr:uid="{00000000-0005-0000-0000-0000721B0000}"/>
    <cellStyle name="Normal 5 5 2 7 2 2" xfId="15334" xr:uid="{BD858DB9-2D4A-4ECF-AAE8-494752372D85}"/>
    <cellStyle name="Normal 5 5 2 7 3" xfId="11116" xr:uid="{8F599A27-F6D0-4209-9D7C-8CFCA574E03F}"/>
    <cellStyle name="Normal 5 5 2 8" xfId="4840" xr:uid="{00000000-0005-0000-0000-0000731B0000}"/>
    <cellStyle name="Normal 5 5 2 8 2" xfId="13269" xr:uid="{2385BFC2-F54C-4E4A-9D23-B6BC573F1E7E}"/>
    <cellStyle name="Normal 5 5 2 9" xfId="9051" xr:uid="{6E59B274-CE7E-4513-BE7B-A4D85A872859}"/>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709BF1DE-BD6A-4D3C-A7C5-08E0433B1E37}"/>
    <cellStyle name="Normal 5 5 3 2 2 3" xfId="11611" xr:uid="{374678BD-59AB-47EF-A6AE-FB97AF138173}"/>
    <cellStyle name="Normal 5 5 3 2 3" xfId="5255" xr:uid="{00000000-0005-0000-0000-0000781B0000}"/>
    <cellStyle name="Normal 5 5 3 2 3 2" xfId="13684" xr:uid="{21399E14-70D0-4994-898F-503BA30C3FA7}"/>
    <cellStyle name="Normal 5 5 3 2 4" xfId="9466" xr:uid="{9D0EBCA5-AAB4-4D47-A482-859436371377}"/>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655D5629-32D9-49EB-9B72-93D93E14EF06}"/>
    <cellStyle name="Normal 5 5 3 3 2 3" xfId="12024" xr:uid="{F1B27235-A152-489E-9B65-090383B5B94C}"/>
    <cellStyle name="Normal 5 5 3 3 3" xfId="5668" xr:uid="{00000000-0005-0000-0000-00007C1B0000}"/>
    <cellStyle name="Normal 5 5 3 3 3 2" xfId="14097" xr:uid="{AF44DB24-EB5E-4BBD-A67B-B5963977145E}"/>
    <cellStyle name="Normal 5 5 3 3 4" xfId="9879" xr:uid="{51A3EEA0-BA53-4995-9BFC-4C1883ADD288}"/>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C8CFF2EE-97A0-485D-BB54-7F6CEE9A54BB}"/>
    <cellStyle name="Normal 5 5 3 4 2 3" xfId="12437" xr:uid="{F3F06B2E-AF6A-4781-B5CE-A0F0970073C5}"/>
    <cellStyle name="Normal 5 5 3 4 3" xfId="6081" xr:uid="{00000000-0005-0000-0000-0000801B0000}"/>
    <cellStyle name="Normal 5 5 3 4 3 2" xfId="14510" xr:uid="{4854FC02-EEB7-4A04-AC54-8000082E3241}"/>
    <cellStyle name="Normal 5 5 3 4 4" xfId="10292" xr:uid="{01950CE9-2544-4092-8C00-F136C4E0A94D}"/>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0B5BECAC-5E27-4975-B373-CF722062DE84}"/>
    <cellStyle name="Normal 5 5 3 5 2 3" xfId="12850" xr:uid="{A104033B-BA15-47CF-9DEA-D1085FA8EC5B}"/>
    <cellStyle name="Normal 5 5 3 5 3" xfId="6494" xr:uid="{00000000-0005-0000-0000-0000841B0000}"/>
    <cellStyle name="Normal 5 5 3 5 3 2" xfId="14923" xr:uid="{8014CFA8-36ED-46B5-84C5-EF328C625726}"/>
    <cellStyle name="Normal 5 5 3 5 4" xfId="10705" xr:uid="{6A79B175-48D8-4393-A088-DD52E1D124B4}"/>
    <cellStyle name="Normal 5 5 3 6" xfId="2622" xr:uid="{00000000-0005-0000-0000-0000851B0000}"/>
    <cellStyle name="Normal 5 5 3 6 2" xfId="6907" xr:uid="{00000000-0005-0000-0000-0000861B0000}"/>
    <cellStyle name="Normal 5 5 3 6 2 2" xfId="15336" xr:uid="{A6E03E26-D652-47A7-91CD-DD154933E5AB}"/>
    <cellStyle name="Normal 5 5 3 6 3" xfId="11118" xr:uid="{FAA8501A-FB63-48AE-AF02-5B4FA1D63002}"/>
    <cellStyle name="Normal 5 5 3 7" xfId="4842" xr:uid="{00000000-0005-0000-0000-0000871B0000}"/>
    <cellStyle name="Normal 5 5 3 7 2" xfId="13271" xr:uid="{C0A41ACB-2A75-4FFE-ABA2-A79937BE1DA8}"/>
    <cellStyle name="Normal 5 5 3 8" xfId="9053" xr:uid="{D1A2A8B9-82FE-4CB4-83A9-9D48FDD3A3CD}"/>
    <cellStyle name="Normal 5 5 4" xfId="939" xr:uid="{00000000-0005-0000-0000-0000881B0000}"/>
    <cellStyle name="Normal 5 5 4 2" xfId="3173" xr:uid="{00000000-0005-0000-0000-0000891B0000}"/>
    <cellStyle name="Normal 5 5 4 2 2" xfId="7397" xr:uid="{00000000-0005-0000-0000-00008A1B0000}"/>
    <cellStyle name="Normal 5 5 4 2 2 2" xfId="15826" xr:uid="{1A22D228-604E-40EC-867E-A06AF441A088}"/>
    <cellStyle name="Normal 5 5 4 2 3" xfId="11608" xr:uid="{3B7EAFA7-71B4-4E3E-8474-79C60D0616E0}"/>
    <cellStyle name="Normal 5 5 4 3" xfId="5252" xr:uid="{00000000-0005-0000-0000-00008B1B0000}"/>
    <cellStyle name="Normal 5 5 4 3 2" xfId="13681" xr:uid="{B50FFE5C-25C3-4039-9E4E-B8D0615BAD9D}"/>
    <cellStyle name="Normal 5 5 4 4" xfId="9463" xr:uid="{67737E54-D0A9-48B6-AB56-B85715720F8E}"/>
    <cellStyle name="Normal 5 5 5" xfId="1356" xr:uid="{00000000-0005-0000-0000-00008C1B0000}"/>
    <cellStyle name="Normal 5 5 5 2" xfId="3586" xr:uid="{00000000-0005-0000-0000-00008D1B0000}"/>
    <cellStyle name="Normal 5 5 5 2 2" xfId="7810" xr:uid="{00000000-0005-0000-0000-00008E1B0000}"/>
    <cellStyle name="Normal 5 5 5 2 2 2" xfId="16239" xr:uid="{5BABC815-3C33-4EE7-934C-A507A5A389E6}"/>
    <cellStyle name="Normal 5 5 5 2 3" xfId="12021" xr:uid="{84566BBF-1817-4594-BC0B-23316D17719D}"/>
    <cellStyle name="Normal 5 5 5 3" xfId="5665" xr:uid="{00000000-0005-0000-0000-00008F1B0000}"/>
    <cellStyle name="Normal 5 5 5 3 2" xfId="14094" xr:uid="{7BE1EDB5-D410-446D-8DC4-C5A943B63ED1}"/>
    <cellStyle name="Normal 5 5 5 4" xfId="9876" xr:uid="{FA2B4265-0A58-44AB-914A-8ECADE03BC85}"/>
    <cellStyle name="Normal 5 5 6" xfId="1769" xr:uid="{00000000-0005-0000-0000-0000901B0000}"/>
    <cellStyle name="Normal 5 5 6 2" xfId="3999" xr:uid="{00000000-0005-0000-0000-0000911B0000}"/>
    <cellStyle name="Normal 5 5 6 2 2" xfId="8223" xr:uid="{00000000-0005-0000-0000-0000921B0000}"/>
    <cellStyle name="Normal 5 5 6 2 2 2" xfId="16652" xr:uid="{2564F206-29F5-46C6-A83F-599B4100685B}"/>
    <cellStyle name="Normal 5 5 6 2 3" xfId="12434" xr:uid="{59BFEB73-1675-4D7D-92EC-B7DD6096B15C}"/>
    <cellStyle name="Normal 5 5 6 3" xfId="6078" xr:uid="{00000000-0005-0000-0000-0000931B0000}"/>
    <cellStyle name="Normal 5 5 6 3 2" xfId="14507" xr:uid="{D8DD46AB-08FE-4D3E-907F-25F0F48A755C}"/>
    <cellStyle name="Normal 5 5 6 4" xfId="10289" xr:uid="{A80A4DB1-9EE1-4CBE-BD69-7EF8D6F08FF7}"/>
    <cellStyle name="Normal 5 5 7" xfId="2183" xr:uid="{00000000-0005-0000-0000-0000941B0000}"/>
    <cellStyle name="Normal 5 5 7 2" xfId="4412" xr:uid="{00000000-0005-0000-0000-0000951B0000}"/>
    <cellStyle name="Normal 5 5 7 2 2" xfId="8636" xr:uid="{00000000-0005-0000-0000-0000961B0000}"/>
    <cellStyle name="Normal 5 5 7 2 2 2" xfId="17065" xr:uid="{C9E62880-7100-4F4A-B64B-A7B2ECA9815E}"/>
    <cellStyle name="Normal 5 5 7 2 3" xfId="12847" xr:uid="{82EF06C8-0B8C-4CC7-8DBE-64609C36E423}"/>
    <cellStyle name="Normal 5 5 7 3" xfId="6491" xr:uid="{00000000-0005-0000-0000-0000971B0000}"/>
    <cellStyle name="Normal 5 5 7 3 2" xfId="14920" xr:uid="{E514DCA2-DF67-451A-BF94-5F1CB0633FA0}"/>
    <cellStyle name="Normal 5 5 7 4" xfId="10702" xr:uid="{C0D7E091-0AB1-4ADD-BB07-7DA5DD0A66F3}"/>
    <cellStyle name="Normal 5 5 8" xfId="2619" xr:uid="{00000000-0005-0000-0000-0000981B0000}"/>
    <cellStyle name="Normal 5 5 8 2" xfId="6904" xr:uid="{00000000-0005-0000-0000-0000991B0000}"/>
    <cellStyle name="Normal 5 5 8 2 2" xfId="15333" xr:uid="{BC1159DE-A75B-463D-9033-F5A21138B4E6}"/>
    <cellStyle name="Normal 5 5 8 3" xfId="11115" xr:uid="{AD77F4B4-B270-4934-940B-F2940471CFA5}"/>
    <cellStyle name="Normal 5 5 9" xfId="4839" xr:uid="{00000000-0005-0000-0000-00009A1B0000}"/>
    <cellStyle name="Normal 5 5 9 2" xfId="13268" xr:uid="{D4FB02C6-531D-4525-B89B-32ECBB6DBBC6}"/>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66F9E2E8-75F5-4155-83D1-DB20D10DD432}"/>
    <cellStyle name="Normal 5 6 2 2 2 3" xfId="11613" xr:uid="{629DE789-7285-4F6A-9FAA-FE8EA1D80D88}"/>
    <cellStyle name="Normal 5 6 2 2 3" xfId="5257" xr:uid="{00000000-0005-0000-0000-0000A01B0000}"/>
    <cellStyle name="Normal 5 6 2 2 3 2" xfId="13686" xr:uid="{EDA28506-644C-42A0-8DAB-A88886DF41C2}"/>
    <cellStyle name="Normal 5 6 2 2 4" xfId="9468" xr:uid="{A7F9D28B-DD24-422C-8FCD-3020091D8C5A}"/>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FA45C7E3-AD3A-4399-9BFA-22C00C999825}"/>
    <cellStyle name="Normal 5 6 2 3 2 3" xfId="12026" xr:uid="{322EC373-77FA-4975-AABE-09378C35DB72}"/>
    <cellStyle name="Normal 5 6 2 3 3" xfId="5670" xr:uid="{00000000-0005-0000-0000-0000A41B0000}"/>
    <cellStyle name="Normal 5 6 2 3 3 2" xfId="14099" xr:uid="{5F017C48-2CA0-4EA4-9999-552D96C1E294}"/>
    <cellStyle name="Normal 5 6 2 3 4" xfId="9881" xr:uid="{591F4840-48AC-4F1C-8AC2-DB842DA171E1}"/>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936332C7-ABFD-46C5-B3F8-E6E63FD2FB29}"/>
    <cellStyle name="Normal 5 6 2 4 2 3" xfId="12439" xr:uid="{BF765999-F02C-43CA-9A24-0010A1AE6E5C}"/>
    <cellStyle name="Normal 5 6 2 4 3" xfId="6083" xr:uid="{00000000-0005-0000-0000-0000A81B0000}"/>
    <cellStyle name="Normal 5 6 2 4 3 2" xfId="14512" xr:uid="{7F5F73BA-4462-43E5-823C-A7A378D02C5D}"/>
    <cellStyle name="Normal 5 6 2 4 4" xfId="10294" xr:uid="{E3604372-B869-4EC0-8AC8-6ACD167647C8}"/>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28562EF1-4468-46CB-ACF8-D585A5B6FBFE}"/>
    <cellStyle name="Normal 5 6 2 5 2 3" xfId="12852" xr:uid="{A16840E7-5D46-4D9B-B360-C2B0341674D0}"/>
    <cellStyle name="Normal 5 6 2 5 3" xfId="6496" xr:uid="{00000000-0005-0000-0000-0000AC1B0000}"/>
    <cellStyle name="Normal 5 6 2 5 3 2" xfId="14925" xr:uid="{DA990975-B6E8-4607-9C92-425735A005EC}"/>
    <cellStyle name="Normal 5 6 2 5 4" xfId="10707" xr:uid="{9B44D659-D135-4413-A9C0-A127B58BA7C4}"/>
    <cellStyle name="Normal 5 6 2 6" xfId="2624" xr:uid="{00000000-0005-0000-0000-0000AD1B0000}"/>
    <cellStyle name="Normal 5 6 2 6 2" xfId="6909" xr:uid="{00000000-0005-0000-0000-0000AE1B0000}"/>
    <cellStyle name="Normal 5 6 2 6 2 2" xfId="15338" xr:uid="{BB7B4175-7641-45DC-BEFF-A70E32378335}"/>
    <cellStyle name="Normal 5 6 2 6 3" xfId="11120" xr:uid="{C227FF77-7C75-4FFB-AE9B-F396BAC5588F}"/>
    <cellStyle name="Normal 5 6 2 7" xfId="4844" xr:uid="{00000000-0005-0000-0000-0000AF1B0000}"/>
    <cellStyle name="Normal 5 6 2 7 2" xfId="13273" xr:uid="{550A574D-8DB6-4FFC-8C7B-0F1BE70E0F67}"/>
    <cellStyle name="Normal 5 6 2 8" xfId="9055" xr:uid="{B982CE89-4403-4B98-B0C3-4456CB60AA03}"/>
    <cellStyle name="Normal 5 6 3" xfId="943" xr:uid="{00000000-0005-0000-0000-0000B01B0000}"/>
    <cellStyle name="Normal 5 6 3 2" xfId="3177" xr:uid="{00000000-0005-0000-0000-0000B11B0000}"/>
    <cellStyle name="Normal 5 6 3 2 2" xfId="7401" xr:uid="{00000000-0005-0000-0000-0000B21B0000}"/>
    <cellStyle name="Normal 5 6 3 2 2 2" xfId="15830" xr:uid="{15E47EFB-4428-4291-B714-0C00D19EA985}"/>
    <cellStyle name="Normal 5 6 3 2 3" xfId="11612" xr:uid="{A716BF6A-33A9-4246-AC46-13CD43192EB2}"/>
    <cellStyle name="Normal 5 6 3 3" xfId="5256" xr:uid="{00000000-0005-0000-0000-0000B31B0000}"/>
    <cellStyle name="Normal 5 6 3 3 2" xfId="13685" xr:uid="{2A0A9759-2F0E-4B2E-980D-A60E125BBBE7}"/>
    <cellStyle name="Normal 5 6 3 4" xfId="9467" xr:uid="{0A08C8C5-B382-4F37-A9D1-90D64023CE05}"/>
    <cellStyle name="Normal 5 6 4" xfId="1360" xr:uid="{00000000-0005-0000-0000-0000B41B0000}"/>
    <cellStyle name="Normal 5 6 4 2" xfId="3590" xr:uid="{00000000-0005-0000-0000-0000B51B0000}"/>
    <cellStyle name="Normal 5 6 4 2 2" xfId="7814" xr:uid="{00000000-0005-0000-0000-0000B61B0000}"/>
    <cellStyle name="Normal 5 6 4 2 2 2" xfId="16243" xr:uid="{99FA0973-4FD0-4E39-A8A8-9B850DEE3D3E}"/>
    <cellStyle name="Normal 5 6 4 2 3" xfId="12025" xr:uid="{32C95D3E-3E3A-4D60-9FDF-BBBFAF105266}"/>
    <cellStyle name="Normal 5 6 4 3" xfId="5669" xr:uid="{00000000-0005-0000-0000-0000B71B0000}"/>
    <cellStyle name="Normal 5 6 4 3 2" xfId="14098" xr:uid="{5CAC2A11-3D5B-47BF-B988-6CEEC9FA21AD}"/>
    <cellStyle name="Normal 5 6 4 4" xfId="9880" xr:uid="{C916BBEF-4145-4646-A196-DA8497C85D0C}"/>
    <cellStyle name="Normal 5 6 5" xfId="1773" xr:uid="{00000000-0005-0000-0000-0000B81B0000}"/>
    <cellStyle name="Normal 5 6 5 2" xfId="4003" xr:uid="{00000000-0005-0000-0000-0000B91B0000}"/>
    <cellStyle name="Normal 5 6 5 2 2" xfId="8227" xr:uid="{00000000-0005-0000-0000-0000BA1B0000}"/>
    <cellStyle name="Normal 5 6 5 2 2 2" xfId="16656" xr:uid="{580A8810-EEC1-4931-8730-C4825C116B19}"/>
    <cellStyle name="Normal 5 6 5 2 3" xfId="12438" xr:uid="{D6262466-9272-4FA4-B3AB-B526F08220BD}"/>
    <cellStyle name="Normal 5 6 5 3" xfId="6082" xr:uid="{00000000-0005-0000-0000-0000BB1B0000}"/>
    <cellStyle name="Normal 5 6 5 3 2" xfId="14511" xr:uid="{D51DF6D4-C895-4FAD-A77E-2CA39A865CAF}"/>
    <cellStyle name="Normal 5 6 5 4" xfId="10293" xr:uid="{ED626E26-0131-4E8B-87D6-AC25BC4DB7C7}"/>
    <cellStyle name="Normal 5 6 6" xfId="2187" xr:uid="{00000000-0005-0000-0000-0000BC1B0000}"/>
    <cellStyle name="Normal 5 6 6 2" xfId="4416" xr:uid="{00000000-0005-0000-0000-0000BD1B0000}"/>
    <cellStyle name="Normal 5 6 6 2 2" xfId="8640" xr:uid="{00000000-0005-0000-0000-0000BE1B0000}"/>
    <cellStyle name="Normal 5 6 6 2 2 2" xfId="17069" xr:uid="{522B47AF-8166-42E6-B80F-A0DE368CC2CF}"/>
    <cellStyle name="Normal 5 6 6 2 3" xfId="12851" xr:uid="{6D339780-A56D-4038-B194-F6580BB56F15}"/>
    <cellStyle name="Normal 5 6 6 3" xfId="6495" xr:uid="{00000000-0005-0000-0000-0000BF1B0000}"/>
    <cellStyle name="Normal 5 6 6 3 2" xfId="14924" xr:uid="{0D8C9D8B-57B0-461C-B662-BE32DBE965AE}"/>
    <cellStyle name="Normal 5 6 6 4" xfId="10706" xr:uid="{2A0A088C-3A47-4337-B876-F0BCF2C7B1FF}"/>
    <cellStyle name="Normal 5 6 7" xfId="2623" xr:uid="{00000000-0005-0000-0000-0000C01B0000}"/>
    <cellStyle name="Normal 5 6 7 2" xfId="6908" xr:uid="{00000000-0005-0000-0000-0000C11B0000}"/>
    <cellStyle name="Normal 5 6 7 2 2" xfId="15337" xr:uid="{CED374BB-80DB-4929-9FD4-F2641BF9F303}"/>
    <cellStyle name="Normal 5 6 7 3" xfId="11119" xr:uid="{546080D6-4FFD-4AFE-8902-3F459A1C7AF7}"/>
    <cellStyle name="Normal 5 6 8" xfId="4843" xr:uid="{00000000-0005-0000-0000-0000C21B0000}"/>
    <cellStyle name="Normal 5 6 8 2" xfId="13272" xr:uid="{133E19B7-D47E-405A-A9F9-2DEB724128A4}"/>
    <cellStyle name="Normal 5 6 9" xfId="9054" xr:uid="{DCA7BA2F-11F8-4C16-9A39-0C86BDF17AC6}"/>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14B04924-E281-4029-85DE-1F19667E26D6}"/>
    <cellStyle name="Normal 5 7 2 2 3" xfId="11614" xr:uid="{C0D61A9D-C93B-4450-9E11-4B8EB7E6C873}"/>
    <cellStyle name="Normal 5 7 2 3" xfId="5258" xr:uid="{00000000-0005-0000-0000-0000C71B0000}"/>
    <cellStyle name="Normal 5 7 2 3 2" xfId="13687" xr:uid="{4E0B7CAD-3C07-439A-9B5A-0503BFEC56D6}"/>
    <cellStyle name="Normal 5 7 2 4" xfId="9469" xr:uid="{72A4A331-2AE5-477C-9117-CC5C7802EAD5}"/>
    <cellStyle name="Normal 5 7 3" xfId="1362" xr:uid="{00000000-0005-0000-0000-0000C81B0000}"/>
    <cellStyle name="Normal 5 7 3 2" xfId="3592" xr:uid="{00000000-0005-0000-0000-0000C91B0000}"/>
    <cellStyle name="Normal 5 7 3 2 2" xfId="7816" xr:uid="{00000000-0005-0000-0000-0000CA1B0000}"/>
    <cellStyle name="Normal 5 7 3 2 2 2" xfId="16245" xr:uid="{BD0992D3-CF27-4E31-9462-E07C10168334}"/>
    <cellStyle name="Normal 5 7 3 2 3" xfId="12027" xr:uid="{D0B009AA-4D36-4869-A5E3-574DEBD96A4F}"/>
    <cellStyle name="Normal 5 7 3 3" xfId="5671" xr:uid="{00000000-0005-0000-0000-0000CB1B0000}"/>
    <cellStyle name="Normal 5 7 3 3 2" xfId="14100" xr:uid="{3F4CB46F-F623-4BE0-83BD-F90C648E7D5C}"/>
    <cellStyle name="Normal 5 7 3 4" xfId="9882" xr:uid="{EF68DCC2-6E6B-408B-9893-46BBEB6E9852}"/>
    <cellStyle name="Normal 5 7 4" xfId="1775" xr:uid="{00000000-0005-0000-0000-0000CC1B0000}"/>
    <cellStyle name="Normal 5 7 4 2" xfId="4005" xr:uid="{00000000-0005-0000-0000-0000CD1B0000}"/>
    <cellStyle name="Normal 5 7 4 2 2" xfId="8229" xr:uid="{00000000-0005-0000-0000-0000CE1B0000}"/>
    <cellStyle name="Normal 5 7 4 2 2 2" xfId="16658" xr:uid="{2D1CE3B2-5B78-44C1-A3D5-AD7AA48CF865}"/>
    <cellStyle name="Normal 5 7 4 2 3" xfId="12440" xr:uid="{9B3D084A-57D3-4E17-BF59-BD2878A6EC68}"/>
    <cellStyle name="Normal 5 7 4 3" xfId="6084" xr:uid="{00000000-0005-0000-0000-0000CF1B0000}"/>
    <cellStyle name="Normal 5 7 4 3 2" xfId="14513" xr:uid="{55AF93CE-9F10-4C3D-A2F2-4D0C6F787E2C}"/>
    <cellStyle name="Normal 5 7 4 4" xfId="10295" xr:uid="{03F1FD1C-37FF-4598-8B8E-0D193E3EF394}"/>
    <cellStyle name="Normal 5 7 5" xfId="2189" xr:uid="{00000000-0005-0000-0000-0000D01B0000}"/>
    <cellStyle name="Normal 5 7 5 2" xfId="4418" xr:uid="{00000000-0005-0000-0000-0000D11B0000}"/>
    <cellStyle name="Normal 5 7 5 2 2" xfId="8642" xr:uid="{00000000-0005-0000-0000-0000D21B0000}"/>
    <cellStyle name="Normal 5 7 5 2 2 2" xfId="17071" xr:uid="{06BEDB3E-D12B-4DC2-86F0-02139ADDA41F}"/>
    <cellStyle name="Normal 5 7 5 2 3" xfId="12853" xr:uid="{C2E8309B-03A7-4627-865C-5743CCA85386}"/>
    <cellStyle name="Normal 5 7 5 3" xfId="6497" xr:uid="{00000000-0005-0000-0000-0000D31B0000}"/>
    <cellStyle name="Normal 5 7 5 3 2" xfId="14926" xr:uid="{ED8F3C94-6A15-497C-8A84-D1A657DFC170}"/>
    <cellStyle name="Normal 5 7 5 4" xfId="10708" xr:uid="{12D05E27-1208-4B4E-BC8B-EFC7855205BA}"/>
    <cellStyle name="Normal 5 7 6" xfId="2625" xr:uid="{00000000-0005-0000-0000-0000D41B0000}"/>
    <cellStyle name="Normal 5 7 6 2" xfId="6910" xr:uid="{00000000-0005-0000-0000-0000D51B0000}"/>
    <cellStyle name="Normal 5 7 6 2 2" xfId="15339" xr:uid="{00C53F82-695E-4384-AFC6-065064DC9BE9}"/>
    <cellStyle name="Normal 5 7 6 3" xfId="11121" xr:uid="{3B460B66-A3E6-4418-9B04-0890353CA972}"/>
    <cellStyle name="Normal 5 7 7" xfId="4845" xr:uid="{00000000-0005-0000-0000-0000D61B0000}"/>
    <cellStyle name="Normal 5 7 7 2" xfId="13274" xr:uid="{63AD7C93-9937-425D-8BC8-FC13F2DB1CF4}"/>
    <cellStyle name="Normal 5 7 8" xfId="9056" xr:uid="{B4847455-F8EA-4024-A38E-C703C543EA03}"/>
    <cellStyle name="Normal 5 8" xfId="881" xr:uid="{00000000-0005-0000-0000-0000D71B0000}"/>
    <cellStyle name="Normal 5 8 2" xfId="3116" xr:uid="{00000000-0005-0000-0000-0000D81B0000}"/>
    <cellStyle name="Normal 5 8 2 2" xfId="7340" xr:uid="{00000000-0005-0000-0000-0000D91B0000}"/>
    <cellStyle name="Normal 5 8 2 2 2" xfId="15769" xr:uid="{A893C38C-57F2-4278-852B-31C25A422A4C}"/>
    <cellStyle name="Normal 5 8 2 3" xfId="11551" xr:uid="{174CBD4F-997A-49C5-9BC8-0E154AD9419C}"/>
    <cellStyle name="Normal 5 8 3" xfId="5195" xr:uid="{00000000-0005-0000-0000-0000DA1B0000}"/>
    <cellStyle name="Normal 5 8 3 2" xfId="13624" xr:uid="{95574BF3-77E8-4F2F-B72B-48BA7557E295}"/>
    <cellStyle name="Normal 5 8 4" xfId="9406" xr:uid="{F928D4B8-74D1-48AB-863D-BF6E5D23E369}"/>
    <cellStyle name="Normal 5 9" xfId="1299" xr:uid="{00000000-0005-0000-0000-0000DB1B0000}"/>
    <cellStyle name="Normal 5 9 2" xfId="3529" xr:uid="{00000000-0005-0000-0000-0000DC1B0000}"/>
    <cellStyle name="Normal 5 9 2 2" xfId="7753" xr:uid="{00000000-0005-0000-0000-0000DD1B0000}"/>
    <cellStyle name="Normal 5 9 2 2 2" xfId="16182" xr:uid="{0EEFA908-528B-4B3D-A2B0-784099BE7A59}"/>
    <cellStyle name="Normal 5 9 2 3" xfId="11964" xr:uid="{A1004DDE-83DE-4B86-AE41-CC1D6BFC04E0}"/>
    <cellStyle name="Normal 5 9 3" xfId="5608" xr:uid="{00000000-0005-0000-0000-0000DE1B0000}"/>
    <cellStyle name="Normal 5 9 3 2" xfId="14037" xr:uid="{4610E8B2-2976-4F30-8401-7F8DC8E361D7}"/>
    <cellStyle name="Normal 5 9 4" xfId="9819" xr:uid="{AFF38F98-5594-4E83-87F7-5064730F2B8F}"/>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4C4F82E6-D40F-45E1-9149-78AB12E80BC4}"/>
    <cellStyle name="Normal 8 10 2 3" xfId="12854" xr:uid="{40AC53A1-184C-4824-985B-CCA5CA65DE65}"/>
    <cellStyle name="Normal 8 10 3" xfId="6498" xr:uid="{00000000-0005-0000-0000-0000EA1B0000}"/>
    <cellStyle name="Normal 8 10 3 2" xfId="14927" xr:uid="{2F7DFF4C-1526-4300-86DE-E59DA058C4EC}"/>
    <cellStyle name="Normal 8 10 4" xfId="10709" xr:uid="{0DBBB5A7-22D7-4ED6-BCC3-D68ECE36FE19}"/>
    <cellStyle name="Normal 8 11" xfId="2626" xr:uid="{00000000-0005-0000-0000-0000EB1B0000}"/>
    <cellStyle name="Normal 8 11 2" xfId="6911" xr:uid="{00000000-0005-0000-0000-0000EC1B0000}"/>
    <cellStyle name="Normal 8 11 2 2" xfId="15340" xr:uid="{A6792AE1-4646-4F9C-9C04-670F8151BD05}"/>
    <cellStyle name="Normal 8 11 3" xfId="11122" xr:uid="{A17F5A65-CFB6-4E76-BFB3-77F16D217F17}"/>
    <cellStyle name="Normal 8 12" xfId="4846" xr:uid="{00000000-0005-0000-0000-0000ED1B0000}"/>
    <cellStyle name="Normal 8 12 2" xfId="13275" xr:uid="{6FAC3C11-025B-4BA4-92B5-4A3E38EB04BF}"/>
    <cellStyle name="Normal 8 13" xfId="9057" xr:uid="{65E58F40-7F76-44BB-B294-5F0808245918}"/>
    <cellStyle name="Normal 8 2" xfId="479" xr:uid="{00000000-0005-0000-0000-0000EE1B0000}"/>
    <cellStyle name="Normal 8 2 10" xfId="2627" xr:uid="{00000000-0005-0000-0000-0000EF1B0000}"/>
    <cellStyle name="Normal 8 2 10 2" xfId="6912" xr:uid="{00000000-0005-0000-0000-0000F01B0000}"/>
    <cellStyle name="Normal 8 2 10 2 2" xfId="15341" xr:uid="{CF5EC800-A609-46C4-A48A-BF65B260020F}"/>
    <cellStyle name="Normal 8 2 10 3" xfId="11123" xr:uid="{87354C49-AF2D-4AFD-BF75-7BE1D768D94E}"/>
    <cellStyle name="Normal 8 2 11" xfId="4847" xr:uid="{00000000-0005-0000-0000-0000F11B0000}"/>
    <cellStyle name="Normal 8 2 11 2" xfId="13276" xr:uid="{D54A58D2-4426-4FE1-869D-512564B3DA3B}"/>
    <cellStyle name="Normal 8 2 12" xfId="9058" xr:uid="{76620712-8D09-48B1-8C38-2876E9343B15}"/>
    <cellStyle name="Normal 8 2 2" xfId="480" xr:uid="{00000000-0005-0000-0000-0000F21B0000}"/>
    <cellStyle name="Normal 8 2 2 10" xfId="4848" xr:uid="{00000000-0005-0000-0000-0000F31B0000}"/>
    <cellStyle name="Normal 8 2 2 10 2" xfId="13277" xr:uid="{2892DAF3-CDA2-473C-BA99-5D2B5FE47879}"/>
    <cellStyle name="Normal 8 2 2 11" xfId="9059" xr:uid="{3C9C7EDE-333D-4114-9B5F-7D1DBC5973D2}"/>
    <cellStyle name="Normal 8 2 2 2" xfId="481" xr:uid="{00000000-0005-0000-0000-0000F41B0000}"/>
    <cellStyle name="Normal 8 2 2 2 10" xfId="9060" xr:uid="{742CD5CF-5BFC-4C54-BFB2-3389532D51D3}"/>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6B9C71E6-951B-45A5-8F67-FC1CA006F451}"/>
    <cellStyle name="Normal 8 2 2 2 2 2 2 2 3" xfId="11620" xr:uid="{58AB952D-3235-48C8-83C8-16F9671F5B1F}"/>
    <cellStyle name="Normal 8 2 2 2 2 2 2 3" xfId="5264" xr:uid="{00000000-0005-0000-0000-0000FA1B0000}"/>
    <cellStyle name="Normal 8 2 2 2 2 2 2 3 2" xfId="13693" xr:uid="{55DA238C-C58F-42B5-83F5-854C17A8471B}"/>
    <cellStyle name="Normal 8 2 2 2 2 2 2 4" xfId="9475" xr:uid="{AAF16BFD-930D-41BD-B018-7D419C93B585}"/>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9381F15D-7D69-400F-87E9-C2D8423AE5B3}"/>
    <cellStyle name="Normal 8 2 2 2 2 2 3 2 3" xfId="12033" xr:uid="{12F7FAC3-03CF-4021-8488-3DF337451066}"/>
    <cellStyle name="Normal 8 2 2 2 2 2 3 3" xfId="5677" xr:uid="{00000000-0005-0000-0000-0000FE1B0000}"/>
    <cellStyle name="Normal 8 2 2 2 2 2 3 3 2" xfId="14106" xr:uid="{F828821C-B083-4B1C-842D-ACD47FE46E33}"/>
    <cellStyle name="Normal 8 2 2 2 2 2 3 4" xfId="9888" xr:uid="{97AF4841-F32B-4A32-9C52-F8659AA5C50C}"/>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E0EC8832-B0FB-41A2-9B92-E9F276A6E202}"/>
    <cellStyle name="Normal 8 2 2 2 2 2 4 2 3" xfId="12446" xr:uid="{EFDF73F6-5E4E-44A3-81DF-E32A2BBBD401}"/>
    <cellStyle name="Normal 8 2 2 2 2 2 4 3" xfId="6090" xr:uid="{00000000-0005-0000-0000-0000021C0000}"/>
    <cellStyle name="Normal 8 2 2 2 2 2 4 3 2" xfId="14519" xr:uid="{477D6F3E-00CF-4574-9A2F-EA72521ABF3A}"/>
    <cellStyle name="Normal 8 2 2 2 2 2 4 4" xfId="10301" xr:uid="{A9B978B3-E8EC-474C-8B6B-23D8A0340B56}"/>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BB776BE0-C499-410F-81A4-24DFFF25DB3D}"/>
    <cellStyle name="Normal 8 2 2 2 2 2 5 2 3" xfId="12859" xr:uid="{01DD2B45-992F-48BA-9429-7FD7027A27EB}"/>
    <cellStyle name="Normal 8 2 2 2 2 2 5 3" xfId="6503" xr:uid="{00000000-0005-0000-0000-0000061C0000}"/>
    <cellStyle name="Normal 8 2 2 2 2 2 5 3 2" xfId="14932" xr:uid="{4832C445-AACE-44A1-A3B4-178ACE51FDD3}"/>
    <cellStyle name="Normal 8 2 2 2 2 2 5 4" xfId="10714" xr:uid="{EEE52815-ED96-420F-910B-96D4A8EFF3EF}"/>
    <cellStyle name="Normal 8 2 2 2 2 2 6" xfId="2631" xr:uid="{00000000-0005-0000-0000-0000071C0000}"/>
    <cellStyle name="Normal 8 2 2 2 2 2 6 2" xfId="6916" xr:uid="{00000000-0005-0000-0000-0000081C0000}"/>
    <cellStyle name="Normal 8 2 2 2 2 2 6 2 2" xfId="15345" xr:uid="{AF0C166C-7853-4555-A133-A1AFF02A7E3B}"/>
    <cellStyle name="Normal 8 2 2 2 2 2 6 3" xfId="11127" xr:uid="{C7F83386-3AE9-4844-A24E-32D54D767318}"/>
    <cellStyle name="Normal 8 2 2 2 2 2 7" xfId="4851" xr:uid="{00000000-0005-0000-0000-0000091C0000}"/>
    <cellStyle name="Normal 8 2 2 2 2 2 7 2" xfId="13280" xr:uid="{986CB4F6-1F07-4604-B3B8-D607FC1B2A11}"/>
    <cellStyle name="Normal 8 2 2 2 2 2 8" xfId="9062" xr:uid="{51CEC3AA-DC6B-4FB4-9AD7-6D225B28460B}"/>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9BCABDEC-08A0-4978-ABAF-B1D78062B3CA}"/>
    <cellStyle name="Normal 8 2 2 2 2 3 2 3" xfId="11619" xr:uid="{44F71DC4-2887-43F1-A45B-393DB4526E33}"/>
    <cellStyle name="Normal 8 2 2 2 2 3 3" xfId="5263" xr:uid="{00000000-0005-0000-0000-00000D1C0000}"/>
    <cellStyle name="Normal 8 2 2 2 2 3 3 2" xfId="13692" xr:uid="{CC75BB5B-8408-4CBA-8A9C-662601C7D783}"/>
    <cellStyle name="Normal 8 2 2 2 2 3 4" xfId="9474" xr:uid="{D860B19C-09D7-4522-9357-2DDA1A6CBB08}"/>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C05BD587-7B58-41A0-90FD-66EEE359E6C6}"/>
    <cellStyle name="Normal 8 2 2 2 2 4 2 3" xfId="12032" xr:uid="{8EF9E8F9-B181-4AD4-B333-D55453D804ED}"/>
    <cellStyle name="Normal 8 2 2 2 2 4 3" xfId="5676" xr:uid="{00000000-0005-0000-0000-0000111C0000}"/>
    <cellStyle name="Normal 8 2 2 2 2 4 3 2" xfId="14105" xr:uid="{93DB19FF-F689-4FEB-8E88-99196A06F58A}"/>
    <cellStyle name="Normal 8 2 2 2 2 4 4" xfId="9887" xr:uid="{DA4EA661-C81F-427D-8949-B8CDB7330743}"/>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BD6D1700-7A18-4809-B147-B3B23A32099D}"/>
    <cellStyle name="Normal 8 2 2 2 2 5 2 3" xfId="12445" xr:uid="{391DFF1F-5F13-4C82-AC9D-291485FEBB91}"/>
    <cellStyle name="Normal 8 2 2 2 2 5 3" xfId="6089" xr:uid="{00000000-0005-0000-0000-0000151C0000}"/>
    <cellStyle name="Normal 8 2 2 2 2 5 3 2" xfId="14518" xr:uid="{B35A5921-4A70-4A36-BF68-E8F9CF6654DA}"/>
    <cellStyle name="Normal 8 2 2 2 2 5 4" xfId="10300" xr:uid="{63A707E0-33BB-4F53-B881-809F1E764BA6}"/>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1B0047D2-F460-4A67-BE89-F0347F2EDD74}"/>
    <cellStyle name="Normal 8 2 2 2 2 6 2 3" xfId="12858" xr:uid="{AD307ABA-7F26-43DA-9CD6-71106C423049}"/>
    <cellStyle name="Normal 8 2 2 2 2 6 3" xfId="6502" xr:uid="{00000000-0005-0000-0000-0000191C0000}"/>
    <cellStyle name="Normal 8 2 2 2 2 6 3 2" xfId="14931" xr:uid="{C6AA4B04-1F51-49FD-B118-4B4E019F4C5F}"/>
    <cellStyle name="Normal 8 2 2 2 2 6 4" xfId="10713" xr:uid="{16F7F94F-6CE0-4CB3-946B-13DDE2C9C9DF}"/>
    <cellStyle name="Normal 8 2 2 2 2 7" xfId="2630" xr:uid="{00000000-0005-0000-0000-00001A1C0000}"/>
    <cellStyle name="Normal 8 2 2 2 2 7 2" xfId="6915" xr:uid="{00000000-0005-0000-0000-00001B1C0000}"/>
    <cellStyle name="Normal 8 2 2 2 2 7 2 2" xfId="15344" xr:uid="{DCEAFA4A-6724-450A-9D37-149F9F4FC97B}"/>
    <cellStyle name="Normal 8 2 2 2 2 7 3" xfId="11126" xr:uid="{97F55975-2A24-4347-98EB-E9186D68E6D1}"/>
    <cellStyle name="Normal 8 2 2 2 2 8" xfId="4850" xr:uid="{00000000-0005-0000-0000-00001C1C0000}"/>
    <cellStyle name="Normal 8 2 2 2 2 8 2" xfId="13279" xr:uid="{4F10A476-9440-4676-B9D8-DD69010C2678}"/>
    <cellStyle name="Normal 8 2 2 2 2 9" xfId="9061" xr:uid="{D2610912-0587-4A9F-822C-E10D6CD62C3A}"/>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7FA7311B-E492-4B7A-8DD9-39A330D3E3C2}"/>
    <cellStyle name="Normal 8 2 2 2 3 2 2 3" xfId="11621" xr:uid="{2C7A23AB-3FA0-4D06-A169-65E20EC79990}"/>
    <cellStyle name="Normal 8 2 2 2 3 2 3" xfId="5265" xr:uid="{00000000-0005-0000-0000-0000211C0000}"/>
    <cellStyle name="Normal 8 2 2 2 3 2 3 2" xfId="13694" xr:uid="{0C246982-3934-4670-BB38-FF7C834D351B}"/>
    <cellStyle name="Normal 8 2 2 2 3 2 4" xfId="9476" xr:uid="{79D9732D-A457-43D3-929E-D28ABEA22444}"/>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E707A6B5-9C1A-44DE-A284-06E32AD77157}"/>
    <cellStyle name="Normal 8 2 2 2 3 3 2 3" xfId="12034" xr:uid="{AF180FE3-CAF1-4F84-BDD1-C10C18008897}"/>
    <cellStyle name="Normal 8 2 2 2 3 3 3" xfId="5678" xr:uid="{00000000-0005-0000-0000-0000251C0000}"/>
    <cellStyle name="Normal 8 2 2 2 3 3 3 2" xfId="14107" xr:uid="{445AA4EF-95DF-4ACC-969E-B27993343DD8}"/>
    <cellStyle name="Normal 8 2 2 2 3 3 4" xfId="9889" xr:uid="{94F89089-4ED4-44CE-9908-E0957DE94A83}"/>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815887C5-6A8B-4B15-8B88-E25D9906A874}"/>
    <cellStyle name="Normal 8 2 2 2 3 4 2 3" xfId="12447" xr:uid="{65513221-671E-48C0-80E8-606E6A80A9FF}"/>
    <cellStyle name="Normal 8 2 2 2 3 4 3" xfId="6091" xr:uid="{00000000-0005-0000-0000-0000291C0000}"/>
    <cellStyle name="Normal 8 2 2 2 3 4 3 2" xfId="14520" xr:uid="{B12B36E0-B28C-465A-8BF0-33C369AC44AC}"/>
    <cellStyle name="Normal 8 2 2 2 3 4 4" xfId="10302" xr:uid="{8EBFC277-24B5-46C9-AE15-3BBFF454C6BF}"/>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D1D46C51-436E-4E3A-860E-357D2F247708}"/>
    <cellStyle name="Normal 8 2 2 2 3 5 2 3" xfId="12860" xr:uid="{E8F93480-9E3F-4595-A8B2-5BA81997C3EE}"/>
    <cellStyle name="Normal 8 2 2 2 3 5 3" xfId="6504" xr:uid="{00000000-0005-0000-0000-00002D1C0000}"/>
    <cellStyle name="Normal 8 2 2 2 3 5 3 2" xfId="14933" xr:uid="{9A1706A5-D02A-44AD-A77D-6846321D6781}"/>
    <cellStyle name="Normal 8 2 2 2 3 5 4" xfId="10715" xr:uid="{21E2C080-BB1E-48DD-8F02-DCFE333EA320}"/>
    <cellStyle name="Normal 8 2 2 2 3 6" xfId="2632" xr:uid="{00000000-0005-0000-0000-00002E1C0000}"/>
    <cellStyle name="Normal 8 2 2 2 3 6 2" xfId="6917" xr:uid="{00000000-0005-0000-0000-00002F1C0000}"/>
    <cellStyle name="Normal 8 2 2 2 3 6 2 2" xfId="15346" xr:uid="{66FF527F-9CD7-4996-AE88-ADDA09B5D8C2}"/>
    <cellStyle name="Normal 8 2 2 2 3 6 3" xfId="11128" xr:uid="{1D153AB1-E02E-4466-8DA5-C74986ABC505}"/>
    <cellStyle name="Normal 8 2 2 2 3 7" xfId="4852" xr:uid="{00000000-0005-0000-0000-0000301C0000}"/>
    <cellStyle name="Normal 8 2 2 2 3 7 2" xfId="13281" xr:uid="{57632D57-9F6A-4F45-9175-EC09442DBC0A}"/>
    <cellStyle name="Normal 8 2 2 2 3 8" xfId="9063" xr:uid="{568ADB2B-910E-4BAC-BED9-BE0E8809676A}"/>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CBAD8576-BFF4-45F2-8DC1-7F88776DDC78}"/>
    <cellStyle name="Normal 8 2 2 2 4 2 3" xfId="11618" xr:uid="{9C705834-04B9-4FF8-B843-4121A40E59A6}"/>
    <cellStyle name="Normal 8 2 2 2 4 3" xfId="5262" xr:uid="{00000000-0005-0000-0000-0000341C0000}"/>
    <cellStyle name="Normal 8 2 2 2 4 3 2" xfId="13691" xr:uid="{BD5FDD71-BE80-4E95-9C7B-C0F777F6407E}"/>
    <cellStyle name="Normal 8 2 2 2 4 4" xfId="9473" xr:uid="{EB4C003F-3446-4E1C-820A-6FE55420DA60}"/>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384BC8E3-B489-4FB1-8968-88717571764E}"/>
    <cellStyle name="Normal 8 2 2 2 5 2 3" xfId="12031" xr:uid="{FF41EC16-4CCC-4C7A-B970-6108D40D85E2}"/>
    <cellStyle name="Normal 8 2 2 2 5 3" xfId="5675" xr:uid="{00000000-0005-0000-0000-0000381C0000}"/>
    <cellStyle name="Normal 8 2 2 2 5 3 2" xfId="14104" xr:uid="{6814CEBE-AC9A-4445-9A7F-DB89D2D98548}"/>
    <cellStyle name="Normal 8 2 2 2 5 4" xfId="9886" xr:uid="{3AA2DA6A-FCF8-4BFB-9B57-5136ED7B956B}"/>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D584B385-A5E9-4994-AD96-1D6145AA6C6C}"/>
    <cellStyle name="Normal 8 2 2 2 6 2 3" xfId="12444" xr:uid="{779F4B90-E3B5-4ECD-9835-51A9C698004C}"/>
    <cellStyle name="Normal 8 2 2 2 6 3" xfId="6088" xr:uid="{00000000-0005-0000-0000-00003C1C0000}"/>
    <cellStyle name="Normal 8 2 2 2 6 3 2" xfId="14517" xr:uid="{28F2FF83-2D45-48ED-BB4A-EDABADC4511A}"/>
    <cellStyle name="Normal 8 2 2 2 6 4" xfId="10299" xr:uid="{482177A7-D2D0-4583-B195-EDB28485FF06}"/>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86BFE004-D3C2-4E6C-86F7-1C8D795FD518}"/>
    <cellStyle name="Normal 8 2 2 2 7 2 3" xfId="12857" xr:uid="{C223EA30-CFF1-460A-943A-3E882AF5AD37}"/>
    <cellStyle name="Normal 8 2 2 2 7 3" xfId="6501" xr:uid="{00000000-0005-0000-0000-0000401C0000}"/>
    <cellStyle name="Normal 8 2 2 2 7 3 2" xfId="14930" xr:uid="{F2B615DF-D766-4C9B-AE28-29A5C99FC8F9}"/>
    <cellStyle name="Normal 8 2 2 2 7 4" xfId="10712" xr:uid="{9A5E813E-FCC6-472C-86FD-6D0F6D9CA146}"/>
    <cellStyle name="Normal 8 2 2 2 8" xfId="2629" xr:uid="{00000000-0005-0000-0000-0000411C0000}"/>
    <cellStyle name="Normal 8 2 2 2 8 2" xfId="6914" xr:uid="{00000000-0005-0000-0000-0000421C0000}"/>
    <cellStyle name="Normal 8 2 2 2 8 2 2" xfId="15343" xr:uid="{A22F21C5-6CB9-4E70-B0D4-4BD1B2C44C4F}"/>
    <cellStyle name="Normal 8 2 2 2 8 3" xfId="11125" xr:uid="{2575B72D-C61B-44E9-9D6D-6AFDB1CB3EF9}"/>
    <cellStyle name="Normal 8 2 2 2 9" xfId="4849" xr:uid="{00000000-0005-0000-0000-0000431C0000}"/>
    <cellStyle name="Normal 8 2 2 2 9 2" xfId="13278" xr:uid="{DFFE5417-CB9A-4AD8-A308-8A042973AD36}"/>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C8BB8282-823B-41E4-801D-4C16B0B3140E}"/>
    <cellStyle name="Normal 8 2 2 3 2 2 2 3" xfId="11623" xr:uid="{E0958327-6ADD-428E-BBDC-2EF58D0A2094}"/>
    <cellStyle name="Normal 8 2 2 3 2 2 3" xfId="5267" xr:uid="{00000000-0005-0000-0000-0000491C0000}"/>
    <cellStyle name="Normal 8 2 2 3 2 2 3 2" xfId="13696" xr:uid="{288E9C22-CC4D-4D48-8A87-2574CEC0671B}"/>
    <cellStyle name="Normal 8 2 2 3 2 2 4" xfId="9478" xr:uid="{BBF8219E-E2EE-44A7-A781-B8B9FBA1B53B}"/>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40989D3B-51CA-42B6-A2FE-29F6D32CA2F5}"/>
    <cellStyle name="Normal 8 2 2 3 2 3 2 3" xfId="12036" xr:uid="{C2831A02-8BAF-45FE-A30D-47013E4CE3AA}"/>
    <cellStyle name="Normal 8 2 2 3 2 3 3" xfId="5680" xr:uid="{00000000-0005-0000-0000-00004D1C0000}"/>
    <cellStyle name="Normal 8 2 2 3 2 3 3 2" xfId="14109" xr:uid="{DBAFA735-AF1F-4A3D-A55B-AB00D3768DF9}"/>
    <cellStyle name="Normal 8 2 2 3 2 3 4" xfId="9891" xr:uid="{F8FB8930-5297-4660-939C-EAF680CEAEFD}"/>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9222DB62-984F-40AA-9EEC-B9B2B995C697}"/>
    <cellStyle name="Normal 8 2 2 3 2 4 2 3" xfId="12449" xr:uid="{81DAF734-E41A-4B23-A4D1-4FFD64E39A9A}"/>
    <cellStyle name="Normal 8 2 2 3 2 4 3" xfId="6093" xr:uid="{00000000-0005-0000-0000-0000511C0000}"/>
    <cellStyle name="Normal 8 2 2 3 2 4 3 2" xfId="14522" xr:uid="{FEA3D681-A3E7-4CBC-87AD-2D27509D7A63}"/>
    <cellStyle name="Normal 8 2 2 3 2 4 4" xfId="10304" xr:uid="{E77B987B-6D49-432D-9359-5E91B5F7603A}"/>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B53CF1B3-13D2-4DE0-A021-BBD45B0CB922}"/>
    <cellStyle name="Normal 8 2 2 3 2 5 2 3" xfId="12862" xr:uid="{33A63CC3-557A-467D-A685-CDAF61F325D6}"/>
    <cellStyle name="Normal 8 2 2 3 2 5 3" xfId="6506" xr:uid="{00000000-0005-0000-0000-0000551C0000}"/>
    <cellStyle name="Normal 8 2 2 3 2 5 3 2" xfId="14935" xr:uid="{D82B903D-A92F-4975-B8D4-2AC8A061251F}"/>
    <cellStyle name="Normal 8 2 2 3 2 5 4" xfId="10717" xr:uid="{8D8E1F31-F6CA-4839-BB1F-97A0C54A43D0}"/>
    <cellStyle name="Normal 8 2 2 3 2 6" xfId="2634" xr:uid="{00000000-0005-0000-0000-0000561C0000}"/>
    <cellStyle name="Normal 8 2 2 3 2 6 2" xfId="6919" xr:uid="{00000000-0005-0000-0000-0000571C0000}"/>
    <cellStyle name="Normal 8 2 2 3 2 6 2 2" xfId="15348" xr:uid="{BA0D69A4-3E82-4FA8-9E68-EB04C7C3D4E5}"/>
    <cellStyle name="Normal 8 2 2 3 2 6 3" xfId="11130" xr:uid="{A31587AF-E9AF-44F3-95C0-71D80DBF3C27}"/>
    <cellStyle name="Normal 8 2 2 3 2 7" xfId="4854" xr:uid="{00000000-0005-0000-0000-0000581C0000}"/>
    <cellStyle name="Normal 8 2 2 3 2 7 2" xfId="13283" xr:uid="{AA5DED7B-F5FA-41DD-8F90-28435DC2B659}"/>
    <cellStyle name="Normal 8 2 2 3 2 8" xfId="9065" xr:uid="{26D1E095-9AE7-456C-9F3E-3C259F0888F9}"/>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395F988D-A189-4C8E-AF84-624590D2FFA9}"/>
    <cellStyle name="Normal 8 2 2 3 3 2 3" xfId="11622" xr:uid="{E1317D6D-2B04-44A7-BEED-1D7C5B8EB5FC}"/>
    <cellStyle name="Normal 8 2 2 3 3 3" xfId="5266" xr:uid="{00000000-0005-0000-0000-00005C1C0000}"/>
    <cellStyle name="Normal 8 2 2 3 3 3 2" xfId="13695" xr:uid="{63184F26-881B-4FDE-8157-7A8C8954892F}"/>
    <cellStyle name="Normal 8 2 2 3 3 4" xfId="9477" xr:uid="{A61573D5-4CF9-45A5-87E0-283BE96644B4}"/>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0FADA2BE-F7E7-4823-8CBD-72E5E764249C}"/>
    <cellStyle name="Normal 8 2 2 3 4 2 3" xfId="12035" xr:uid="{9DF25942-0471-4786-8EA3-D99151792FC2}"/>
    <cellStyle name="Normal 8 2 2 3 4 3" xfId="5679" xr:uid="{00000000-0005-0000-0000-0000601C0000}"/>
    <cellStyle name="Normal 8 2 2 3 4 3 2" xfId="14108" xr:uid="{61D7721D-7AC4-4CE8-9F6D-9621F8AE6FDB}"/>
    <cellStyle name="Normal 8 2 2 3 4 4" xfId="9890" xr:uid="{21165CA1-9B29-4199-BF8F-FB7BCE066BA6}"/>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FF0D6F5D-2D2B-4613-8B15-CBAA73568F98}"/>
    <cellStyle name="Normal 8 2 2 3 5 2 3" xfId="12448" xr:uid="{5E5984E1-A3A9-47A6-918C-529C7C086717}"/>
    <cellStyle name="Normal 8 2 2 3 5 3" xfId="6092" xr:uid="{00000000-0005-0000-0000-0000641C0000}"/>
    <cellStyle name="Normal 8 2 2 3 5 3 2" xfId="14521" xr:uid="{B9990876-3F90-413A-9B9A-2E77FCF01B43}"/>
    <cellStyle name="Normal 8 2 2 3 5 4" xfId="10303" xr:uid="{C0761A81-86F1-406A-8F7B-5C273FDD9201}"/>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98748EBB-67C3-4D1F-A432-D0BFD1CCBEDF}"/>
    <cellStyle name="Normal 8 2 2 3 6 2 3" xfId="12861" xr:uid="{6B361EF1-6D43-47BB-BC6D-865DD647EDBF}"/>
    <cellStyle name="Normal 8 2 2 3 6 3" xfId="6505" xr:uid="{00000000-0005-0000-0000-0000681C0000}"/>
    <cellStyle name="Normal 8 2 2 3 6 3 2" xfId="14934" xr:uid="{61009E43-0710-445E-BE84-4B72E3E2CBCD}"/>
    <cellStyle name="Normal 8 2 2 3 6 4" xfId="10716" xr:uid="{E89EF516-3E6C-4903-BA98-52DDB527C4E7}"/>
    <cellStyle name="Normal 8 2 2 3 7" xfId="2633" xr:uid="{00000000-0005-0000-0000-0000691C0000}"/>
    <cellStyle name="Normal 8 2 2 3 7 2" xfId="6918" xr:uid="{00000000-0005-0000-0000-00006A1C0000}"/>
    <cellStyle name="Normal 8 2 2 3 7 2 2" xfId="15347" xr:uid="{81FEBA89-9F94-44B8-9902-A78D2CDADC13}"/>
    <cellStyle name="Normal 8 2 2 3 7 3" xfId="11129" xr:uid="{CD4C85A9-5178-4A29-BD6F-F5AE6F55D9B7}"/>
    <cellStyle name="Normal 8 2 2 3 8" xfId="4853" xr:uid="{00000000-0005-0000-0000-00006B1C0000}"/>
    <cellStyle name="Normal 8 2 2 3 8 2" xfId="13282" xr:uid="{6F7453D0-90C5-4F61-A25C-3B979A8D67CC}"/>
    <cellStyle name="Normal 8 2 2 3 9" xfId="9064" xr:uid="{4FA061F1-32F6-4490-A16C-69738CC8655D}"/>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3142C5AE-22ED-48C9-901C-8F3507307710}"/>
    <cellStyle name="Normal 8 2 2 4 2 2 3" xfId="11624" xr:uid="{1484AAD5-3CF5-468E-BFA2-DFA76A4AF5C4}"/>
    <cellStyle name="Normal 8 2 2 4 2 3" xfId="5268" xr:uid="{00000000-0005-0000-0000-0000701C0000}"/>
    <cellStyle name="Normal 8 2 2 4 2 3 2" xfId="13697" xr:uid="{FB370CE1-DCA4-4CE8-8B7F-FD5224F1C94A}"/>
    <cellStyle name="Normal 8 2 2 4 2 4" xfId="9479" xr:uid="{5D48ED84-4F80-48F7-8843-DAEE6CBD212B}"/>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A9F7C35B-D649-4790-B207-0DA22E264425}"/>
    <cellStyle name="Normal 8 2 2 4 3 2 3" xfId="12037" xr:uid="{F7E423CB-9C66-4791-AC84-8F8A0B79F09A}"/>
    <cellStyle name="Normal 8 2 2 4 3 3" xfId="5681" xr:uid="{00000000-0005-0000-0000-0000741C0000}"/>
    <cellStyle name="Normal 8 2 2 4 3 3 2" xfId="14110" xr:uid="{9D269003-4900-426F-85B5-69C97717A15E}"/>
    <cellStyle name="Normal 8 2 2 4 3 4" xfId="9892" xr:uid="{74D41265-3105-45BA-8BAC-A1D099A6F090}"/>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84CC2D87-B5A0-4D5A-A48B-D16794D3C071}"/>
    <cellStyle name="Normal 8 2 2 4 4 2 3" xfId="12450" xr:uid="{98DF298B-D624-49A1-980A-89BAF6887ECA}"/>
    <cellStyle name="Normal 8 2 2 4 4 3" xfId="6094" xr:uid="{00000000-0005-0000-0000-0000781C0000}"/>
    <cellStyle name="Normal 8 2 2 4 4 3 2" xfId="14523" xr:uid="{B1D8F019-6EDD-471F-9C89-00F59767D1C7}"/>
    <cellStyle name="Normal 8 2 2 4 4 4" xfId="10305" xr:uid="{7EEF8E06-1423-434C-8592-1BB39DA0BD99}"/>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B863E11C-5D7B-4EF6-946E-388DB7555A0B}"/>
    <cellStyle name="Normal 8 2 2 4 5 2 3" xfId="12863" xr:uid="{AAA5EBC7-F6E7-400E-8228-F4142B362118}"/>
    <cellStyle name="Normal 8 2 2 4 5 3" xfId="6507" xr:uid="{00000000-0005-0000-0000-00007C1C0000}"/>
    <cellStyle name="Normal 8 2 2 4 5 3 2" xfId="14936" xr:uid="{E0464707-5D70-459B-A605-6DBE26BDE874}"/>
    <cellStyle name="Normal 8 2 2 4 5 4" xfId="10718" xr:uid="{8408F453-6740-4DB2-A097-C180DBA0011D}"/>
    <cellStyle name="Normal 8 2 2 4 6" xfId="2635" xr:uid="{00000000-0005-0000-0000-00007D1C0000}"/>
    <cellStyle name="Normal 8 2 2 4 6 2" xfId="6920" xr:uid="{00000000-0005-0000-0000-00007E1C0000}"/>
    <cellStyle name="Normal 8 2 2 4 6 2 2" xfId="15349" xr:uid="{8E2ECECB-5EED-4A86-80AA-E8A8578BC904}"/>
    <cellStyle name="Normal 8 2 2 4 6 3" xfId="11131" xr:uid="{5080CBDE-ACA2-4D72-8654-47003C2C442E}"/>
    <cellStyle name="Normal 8 2 2 4 7" xfId="4855" xr:uid="{00000000-0005-0000-0000-00007F1C0000}"/>
    <cellStyle name="Normal 8 2 2 4 7 2" xfId="13284" xr:uid="{F10ACAAC-BB13-4087-A066-02A8C47313C6}"/>
    <cellStyle name="Normal 8 2 2 4 8" xfId="9066" xr:uid="{B36FA144-D8AB-45B9-B473-FA097CCFFC4D}"/>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31D35F41-B71B-45AC-8A78-DEE5677F3298}"/>
    <cellStyle name="Normal 8 2 2 5 2 3" xfId="11617" xr:uid="{4AE5EA15-A0F1-48E4-8656-32348841A711}"/>
    <cellStyle name="Normal 8 2 2 5 3" xfId="5261" xr:uid="{00000000-0005-0000-0000-0000831C0000}"/>
    <cellStyle name="Normal 8 2 2 5 3 2" xfId="13690" xr:uid="{BA73A935-C8D6-43C0-B90D-9A1D45793078}"/>
    <cellStyle name="Normal 8 2 2 5 4" xfId="9472" xr:uid="{C9CBBD69-DBD8-4783-AE17-58BA736BC696}"/>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A6610F17-E77A-4C62-905D-C9AB4331193C}"/>
    <cellStyle name="Normal 8 2 2 6 2 3" xfId="12030" xr:uid="{4888B4A8-164F-4101-88E9-C3EBE6DFE246}"/>
    <cellStyle name="Normal 8 2 2 6 3" xfId="5674" xr:uid="{00000000-0005-0000-0000-0000871C0000}"/>
    <cellStyle name="Normal 8 2 2 6 3 2" xfId="14103" xr:uid="{D58F92A5-3F7A-4F6F-8B7B-3D1E01D19E07}"/>
    <cellStyle name="Normal 8 2 2 6 4" xfId="9885" xr:uid="{D30E4726-1845-4749-8C10-B26664D6BD36}"/>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88D0574E-508D-45AE-B1DD-EF1F3D38645E}"/>
    <cellStyle name="Normal 8 2 2 7 2 3" xfId="12443" xr:uid="{57724E40-5F7A-49F5-B165-DA421B016039}"/>
    <cellStyle name="Normal 8 2 2 7 3" xfId="6087" xr:uid="{00000000-0005-0000-0000-00008B1C0000}"/>
    <cellStyle name="Normal 8 2 2 7 3 2" xfId="14516" xr:uid="{C6C113A4-DF7F-4568-825A-7CD59448E908}"/>
    <cellStyle name="Normal 8 2 2 7 4" xfId="10298" xr:uid="{807945FD-1CAE-48EC-9E33-38BDB33AF110}"/>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99068475-DFAA-47BC-92D7-B63535F5BFDD}"/>
    <cellStyle name="Normal 8 2 2 8 2 3" xfId="12856" xr:uid="{00E750E3-C880-4ED5-A304-9567E9162CB5}"/>
    <cellStyle name="Normal 8 2 2 8 3" xfId="6500" xr:uid="{00000000-0005-0000-0000-00008F1C0000}"/>
    <cellStyle name="Normal 8 2 2 8 3 2" xfId="14929" xr:uid="{3016002C-420C-4F75-A509-85ECE18B39FC}"/>
    <cellStyle name="Normal 8 2 2 8 4" xfId="10711" xr:uid="{1507132C-0A62-4FE7-ABF0-A52C2292F679}"/>
    <cellStyle name="Normal 8 2 2 9" xfId="2628" xr:uid="{00000000-0005-0000-0000-0000901C0000}"/>
    <cellStyle name="Normal 8 2 2 9 2" xfId="6913" xr:uid="{00000000-0005-0000-0000-0000911C0000}"/>
    <cellStyle name="Normal 8 2 2 9 2 2" xfId="15342" xr:uid="{D25E1388-A3E6-4189-8B31-2ED486ABFB3E}"/>
    <cellStyle name="Normal 8 2 2 9 3" xfId="11124" xr:uid="{E100AB6D-FAE0-4A9A-9B38-4B1B68416286}"/>
    <cellStyle name="Normal 8 2 3" xfId="488" xr:uid="{00000000-0005-0000-0000-0000921C0000}"/>
    <cellStyle name="Normal 8 2 3 10" xfId="9067" xr:uid="{E84BED43-BF4A-4E3A-8F5C-9EF12C605B0A}"/>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AF8D8985-C56E-4AD3-9441-B0B8153AB83E}"/>
    <cellStyle name="Normal 8 2 3 2 2 2 2 3" xfId="11627" xr:uid="{EA53510B-61CC-48BB-8350-A0BDFBB2F88E}"/>
    <cellStyle name="Normal 8 2 3 2 2 2 3" xfId="5271" xr:uid="{00000000-0005-0000-0000-0000981C0000}"/>
    <cellStyle name="Normal 8 2 3 2 2 2 3 2" xfId="13700" xr:uid="{FC5B2531-AA0E-4FAC-BEF0-6756F658680C}"/>
    <cellStyle name="Normal 8 2 3 2 2 2 4" xfId="9482" xr:uid="{DD3EAE1C-A31E-46EA-92DB-784B8D70A266}"/>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9C666AFB-3B9F-4283-84DE-A4CAF487A0F0}"/>
    <cellStyle name="Normal 8 2 3 2 2 3 2 3" xfId="12040" xr:uid="{D81A8490-702D-4A57-9C0F-4DAE2F320225}"/>
    <cellStyle name="Normal 8 2 3 2 2 3 3" xfId="5684" xr:uid="{00000000-0005-0000-0000-00009C1C0000}"/>
    <cellStyle name="Normal 8 2 3 2 2 3 3 2" xfId="14113" xr:uid="{7D546B68-FF0D-4511-8888-4A0A68DBF3EC}"/>
    <cellStyle name="Normal 8 2 3 2 2 3 4" xfId="9895" xr:uid="{BD9AFD9D-2104-4ADD-B51C-733585B63783}"/>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21AB8CC6-6ACF-4E4D-854B-E03DBD6045FC}"/>
    <cellStyle name="Normal 8 2 3 2 2 4 2 3" xfId="12453" xr:uid="{54C7670E-792A-495D-8F62-33A656CACBA9}"/>
    <cellStyle name="Normal 8 2 3 2 2 4 3" xfId="6097" xr:uid="{00000000-0005-0000-0000-0000A01C0000}"/>
    <cellStyle name="Normal 8 2 3 2 2 4 3 2" xfId="14526" xr:uid="{E00FEC51-BCF9-4D90-A252-0F89D20840F6}"/>
    <cellStyle name="Normal 8 2 3 2 2 4 4" xfId="10308" xr:uid="{777DBA0E-FC06-46E4-93F1-1FF55366D052}"/>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54E87E3A-D058-4E4E-BB76-291579CABF7E}"/>
    <cellStyle name="Normal 8 2 3 2 2 5 2 3" xfId="12866" xr:uid="{BFFD71FA-E205-447D-8B0A-76221D7CF6C0}"/>
    <cellStyle name="Normal 8 2 3 2 2 5 3" xfId="6510" xr:uid="{00000000-0005-0000-0000-0000A41C0000}"/>
    <cellStyle name="Normal 8 2 3 2 2 5 3 2" xfId="14939" xr:uid="{9FB15B27-360C-463A-A629-187BC8A6C726}"/>
    <cellStyle name="Normal 8 2 3 2 2 5 4" xfId="10721" xr:uid="{6426E0D2-07B6-4CF1-90DC-A0A018A52B1B}"/>
    <cellStyle name="Normal 8 2 3 2 2 6" xfId="2638" xr:uid="{00000000-0005-0000-0000-0000A51C0000}"/>
    <cellStyle name="Normal 8 2 3 2 2 6 2" xfId="6923" xr:uid="{00000000-0005-0000-0000-0000A61C0000}"/>
    <cellStyle name="Normal 8 2 3 2 2 6 2 2" xfId="15352" xr:uid="{97A16E06-9A17-45A7-81B2-9E823513A80F}"/>
    <cellStyle name="Normal 8 2 3 2 2 6 3" xfId="11134" xr:uid="{8774C2A7-A65B-4497-ADBF-BE069BCCC873}"/>
    <cellStyle name="Normal 8 2 3 2 2 7" xfId="4858" xr:uid="{00000000-0005-0000-0000-0000A71C0000}"/>
    <cellStyle name="Normal 8 2 3 2 2 7 2" xfId="13287" xr:uid="{90F533FE-CF9F-437A-8CA0-2A0F2285F5C0}"/>
    <cellStyle name="Normal 8 2 3 2 2 8" xfId="9069" xr:uid="{B30A5E6B-97BC-47A1-A406-6BB86D17B9C7}"/>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DBB77FDB-1A54-4FB5-AF9B-A72E84914317}"/>
    <cellStyle name="Normal 8 2 3 2 3 2 3" xfId="11626" xr:uid="{65FFD6C0-83FC-4085-99E8-51785097C3FD}"/>
    <cellStyle name="Normal 8 2 3 2 3 3" xfId="5270" xr:uid="{00000000-0005-0000-0000-0000AB1C0000}"/>
    <cellStyle name="Normal 8 2 3 2 3 3 2" xfId="13699" xr:uid="{C5D838B4-27D1-4D80-B677-67347C6072C7}"/>
    <cellStyle name="Normal 8 2 3 2 3 4" xfId="9481" xr:uid="{EB7ED57E-C62B-49E4-859F-536E05D10595}"/>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3457852D-C582-411F-AC12-0E45AA11E29A}"/>
    <cellStyle name="Normal 8 2 3 2 4 2 3" xfId="12039" xr:uid="{4F03DAC3-91DB-46C4-8098-80414750A61A}"/>
    <cellStyle name="Normal 8 2 3 2 4 3" xfId="5683" xr:uid="{00000000-0005-0000-0000-0000AF1C0000}"/>
    <cellStyle name="Normal 8 2 3 2 4 3 2" xfId="14112" xr:uid="{3A46135E-C1F1-4948-BFD9-F228AB71B8CF}"/>
    <cellStyle name="Normal 8 2 3 2 4 4" xfId="9894" xr:uid="{634A9FEB-8902-4572-A4F4-7DF5407EFDBD}"/>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F13E04D8-8604-4362-9602-E8E70EB3ADB8}"/>
    <cellStyle name="Normal 8 2 3 2 5 2 3" xfId="12452" xr:uid="{A2277E17-466F-41B7-9292-7AB302C29DCF}"/>
    <cellStyle name="Normal 8 2 3 2 5 3" xfId="6096" xr:uid="{00000000-0005-0000-0000-0000B31C0000}"/>
    <cellStyle name="Normal 8 2 3 2 5 3 2" xfId="14525" xr:uid="{B427D420-313D-428B-BD5A-3DFEE242D3CB}"/>
    <cellStyle name="Normal 8 2 3 2 5 4" xfId="10307" xr:uid="{71FACC57-862E-4E34-A1B4-4BA0C873D60B}"/>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11E3111F-CB25-4070-A0FA-6A4856B86DA7}"/>
    <cellStyle name="Normal 8 2 3 2 6 2 3" xfId="12865" xr:uid="{04FA3C49-0F55-419A-94AB-AF3884EFA7BC}"/>
    <cellStyle name="Normal 8 2 3 2 6 3" xfId="6509" xr:uid="{00000000-0005-0000-0000-0000B71C0000}"/>
    <cellStyle name="Normal 8 2 3 2 6 3 2" xfId="14938" xr:uid="{09856AA4-4776-4EBD-B9F7-A6A67080E9AA}"/>
    <cellStyle name="Normal 8 2 3 2 6 4" xfId="10720" xr:uid="{D2291288-9172-4CE7-83E1-0F016DE4379D}"/>
    <cellStyle name="Normal 8 2 3 2 7" xfId="2637" xr:uid="{00000000-0005-0000-0000-0000B81C0000}"/>
    <cellStyle name="Normal 8 2 3 2 7 2" xfId="6922" xr:uid="{00000000-0005-0000-0000-0000B91C0000}"/>
    <cellStyle name="Normal 8 2 3 2 7 2 2" xfId="15351" xr:uid="{42A6F0B5-9A48-407C-A9DB-C7ED5A4D19A5}"/>
    <cellStyle name="Normal 8 2 3 2 7 3" xfId="11133" xr:uid="{74C24148-29BC-43C7-8A48-BD86F3F95DE5}"/>
    <cellStyle name="Normal 8 2 3 2 8" xfId="4857" xr:uid="{00000000-0005-0000-0000-0000BA1C0000}"/>
    <cellStyle name="Normal 8 2 3 2 8 2" xfId="13286" xr:uid="{41C374B6-2335-4771-A568-DA9ECE71A280}"/>
    <cellStyle name="Normal 8 2 3 2 9" xfId="9068" xr:uid="{DE372197-28CB-434A-B465-707831F0BCD8}"/>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A84B0760-1C4A-4823-A8AF-6A5BB1ED2C21}"/>
    <cellStyle name="Normal 8 2 3 3 2 2 3" xfId="11628" xr:uid="{017C0EFC-90A8-4CCD-9930-29C69BFF5F83}"/>
    <cellStyle name="Normal 8 2 3 3 2 3" xfId="5272" xr:uid="{00000000-0005-0000-0000-0000BF1C0000}"/>
    <cellStyle name="Normal 8 2 3 3 2 3 2" xfId="13701" xr:uid="{350DC120-84C3-4D4A-B602-B8BB1630F06A}"/>
    <cellStyle name="Normal 8 2 3 3 2 4" xfId="9483" xr:uid="{B1A765E5-0BAA-4EF9-A51A-B02BD2D52C91}"/>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5ADEEFBF-D0F4-42DC-A84B-B5988FBE77B9}"/>
    <cellStyle name="Normal 8 2 3 3 3 2 3" xfId="12041" xr:uid="{A1E70F15-181E-4F5A-AD55-F1415A9AEB36}"/>
    <cellStyle name="Normal 8 2 3 3 3 3" xfId="5685" xr:uid="{00000000-0005-0000-0000-0000C31C0000}"/>
    <cellStyle name="Normal 8 2 3 3 3 3 2" xfId="14114" xr:uid="{C062E460-04CC-485F-8FD7-A4B89AB8A228}"/>
    <cellStyle name="Normal 8 2 3 3 3 4" xfId="9896" xr:uid="{3B64523E-8A15-4E27-B6A1-A9A22430113D}"/>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96886087-EA1E-45DB-A1BC-67AEBD71E2E0}"/>
    <cellStyle name="Normal 8 2 3 3 4 2 3" xfId="12454" xr:uid="{B346ADC2-C9E5-43D9-8C42-38E763627982}"/>
    <cellStyle name="Normal 8 2 3 3 4 3" xfId="6098" xr:uid="{00000000-0005-0000-0000-0000C71C0000}"/>
    <cellStyle name="Normal 8 2 3 3 4 3 2" xfId="14527" xr:uid="{47DEC11F-6F5F-4A4F-BFAE-1A026525E5D4}"/>
    <cellStyle name="Normal 8 2 3 3 4 4" xfId="10309" xr:uid="{AC2A0CC3-CB32-40E2-8A88-9D2147302B12}"/>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73EBE227-DD76-4CA3-A1B9-5650AD3B92E5}"/>
    <cellStyle name="Normal 8 2 3 3 5 2 3" xfId="12867" xr:uid="{A729D7E0-27B3-424E-9E37-FD3611F65373}"/>
    <cellStyle name="Normal 8 2 3 3 5 3" xfId="6511" xr:uid="{00000000-0005-0000-0000-0000CB1C0000}"/>
    <cellStyle name="Normal 8 2 3 3 5 3 2" xfId="14940" xr:uid="{CA3AEF58-281E-4733-BC47-90B879424C6C}"/>
    <cellStyle name="Normal 8 2 3 3 5 4" xfId="10722" xr:uid="{1F299A16-1071-41C3-9442-99370A6E806A}"/>
    <cellStyle name="Normal 8 2 3 3 6" xfId="2639" xr:uid="{00000000-0005-0000-0000-0000CC1C0000}"/>
    <cellStyle name="Normal 8 2 3 3 6 2" xfId="6924" xr:uid="{00000000-0005-0000-0000-0000CD1C0000}"/>
    <cellStyle name="Normal 8 2 3 3 6 2 2" xfId="15353" xr:uid="{564D11BB-E2C2-43D8-8830-068D962E270E}"/>
    <cellStyle name="Normal 8 2 3 3 6 3" xfId="11135" xr:uid="{A35BB947-016C-49E6-91DB-E70BFA70AF2F}"/>
    <cellStyle name="Normal 8 2 3 3 7" xfId="4859" xr:uid="{00000000-0005-0000-0000-0000CE1C0000}"/>
    <cellStyle name="Normal 8 2 3 3 7 2" xfId="13288" xr:uid="{654694C2-4F85-4100-81AB-681FE301CFE2}"/>
    <cellStyle name="Normal 8 2 3 3 8" xfId="9070" xr:uid="{2971C6B1-D2ED-4DC7-A7D1-07187716EE20}"/>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29155E18-42D3-4E38-B4E3-5168E5E79BA0}"/>
    <cellStyle name="Normal 8 2 3 4 2 3" xfId="11625" xr:uid="{B2755320-A80C-4524-A0B7-E2A62BEBE22D}"/>
    <cellStyle name="Normal 8 2 3 4 3" xfId="5269" xr:uid="{00000000-0005-0000-0000-0000D21C0000}"/>
    <cellStyle name="Normal 8 2 3 4 3 2" xfId="13698" xr:uid="{E65202B9-5A4C-4204-ADA2-3D51FAA07180}"/>
    <cellStyle name="Normal 8 2 3 4 4" xfId="9480" xr:uid="{AD91A44A-952D-47C7-8489-CD72A7F42354}"/>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F1CF42F5-3B57-4048-BEA9-EEC3BD08D31D}"/>
    <cellStyle name="Normal 8 2 3 5 2 3" xfId="12038" xr:uid="{6B1DF797-146E-4B04-9B2D-B336BD619A41}"/>
    <cellStyle name="Normal 8 2 3 5 3" xfId="5682" xr:uid="{00000000-0005-0000-0000-0000D61C0000}"/>
    <cellStyle name="Normal 8 2 3 5 3 2" xfId="14111" xr:uid="{359DC029-2197-4611-AEC9-B037B14DD589}"/>
    <cellStyle name="Normal 8 2 3 5 4" xfId="9893" xr:uid="{3186B6AD-338D-4917-87FB-D61294F865FB}"/>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239116E4-954E-4DDE-9855-F5FE98E4CD1D}"/>
    <cellStyle name="Normal 8 2 3 6 2 3" xfId="12451" xr:uid="{7359591B-8B30-4C7E-9D52-6B7531368BC5}"/>
    <cellStyle name="Normal 8 2 3 6 3" xfId="6095" xr:uid="{00000000-0005-0000-0000-0000DA1C0000}"/>
    <cellStyle name="Normal 8 2 3 6 3 2" xfId="14524" xr:uid="{B6CEFED6-6947-4109-AEC2-CA428A09324C}"/>
    <cellStyle name="Normal 8 2 3 6 4" xfId="10306" xr:uid="{8ECB7117-E670-47D4-99C5-864908D2C1CE}"/>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06C8784E-8068-434B-8E68-7094C7966484}"/>
    <cellStyle name="Normal 8 2 3 7 2 3" xfId="12864" xr:uid="{C2C5CD9F-E53F-45EA-B8E4-E3F6C8B8293F}"/>
    <cellStyle name="Normal 8 2 3 7 3" xfId="6508" xr:uid="{00000000-0005-0000-0000-0000DE1C0000}"/>
    <cellStyle name="Normal 8 2 3 7 3 2" xfId="14937" xr:uid="{A4409F25-8FC7-49C5-813E-27BF2F9912F5}"/>
    <cellStyle name="Normal 8 2 3 7 4" xfId="10719" xr:uid="{A053CDE9-22F6-4E93-AF14-D31D9285A376}"/>
    <cellStyle name="Normal 8 2 3 8" xfId="2636" xr:uid="{00000000-0005-0000-0000-0000DF1C0000}"/>
    <cellStyle name="Normal 8 2 3 8 2" xfId="6921" xr:uid="{00000000-0005-0000-0000-0000E01C0000}"/>
    <cellStyle name="Normal 8 2 3 8 2 2" xfId="15350" xr:uid="{88DBBEAD-610D-48A9-9A01-2569C8F8575D}"/>
    <cellStyle name="Normal 8 2 3 8 3" xfId="11132" xr:uid="{4BC3D59E-4163-4C70-B954-9D8E2E5D9C73}"/>
    <cellStyle name="Normal 8 2 3 9" xfId="4856" xr:uid="{00000000-0005-0000-0000-0000E11C0000}"/>
    <cellStyle name="Normal 8 2 3 9 2" xfId="13285" xr:uid="{019203FE-E777-4F77-AEEC-537F9B745842}"/>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6EBD2E5C-DC35-440A-A22F-F85A766EF6F9}"/>
    <cellStyle name="Normal 8 2 4 2 2 2 3" xfId="11630" xr:uid="{EB71BDE0-EDC0-480B-89DE-DDB3ED9FEC86}"/>
    <cellStyle name="Normal 8 2 4 2 2 3" xfId="5274" xr:uid="{00000000-0005-0000-0000-0000E71C0000}"/>
    <cellStyle name="Normal 8 2 4 2 2 3 2" xfId="13703" xr:uid="{4E1F1916-0CB1-4DCE-BDCD-6E0A5A417F07}"/>
    <cellStyle name="Normal 8 2 4 2 2 4" xfId="9485" xr:uid="{A28B9576-3897-4F68-BA26-828696A0EC9A}"/>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4BD65A62-EE39-4B5C-A231-5BC7ABD79AB1}"/>
    <cellStyle name="Normal 8 2 4 2 3 2 3" xfId="12043" xr:uid="{072DE116-CAD0-4635-89F0-38A486FA32E6}"/>
    <cellStyle name="Normal 8 2 4 2 3 3" xfId="5687" xr:uid="{00000000-0005-0000-0000-0000EB1C0000}"/>
    <cellStyle name="Normal 8 2 4 2 3 3 2" xfId="14116" xr:uid="{BF32C8CF-208B-41C9-B14A-B5C46779EEB1}"/>
    <cellStyle name="Normal 8 2 4 2 3 4" xfId="9898" xr:uid="{47AF5EEB-0CDA-41D1-920E-23B17B2BB769}"/>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E129D70E-C4DC-43F5-8D10-938DD8C4CB4D}"/>
    <cellStyle name="Normal 8 2 4 2 4 2 3" xfId="12456" xr:uid="{6F146571-38FA-43E1-9175-1764B8C12F6C}"/>
    <cellStyle name="Normal 8 2 4 2 4 3" xfId="6100" xr:uid="{00000000-0005-0000-0000-0000EF1C0000}"/>
    <cellStyle name="Normal 8 2 4 2 4 3 2" xfId="14529" xr:uid="{EB507577-120D-4F46-93E0-75189931C283}"/>
    <cellStyle name="Normal 8 2 4 2 4 4" xfId="10311" xr:uid="{94F604EA-CE6C-4C5F-9FF7-95501ACF4B88}"/>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889C4926-359E-45C4-95EC-CDA14C3909C1}"/>
    <cellStyle name="Normal 8 2 4 2 5 2 3" xfId="12869" xr:uid="{99AFFBE6-505B-4DBE-B114-D8FE25044F8F}"/>
    <cellStyle name="Normal 8 2 4 2 5 3" xfId="6513" xr:uid="{00000000-0005-0000-0000-0000F31C0000}"/>
    <cellStyle name="Normal 8 2 4 2 5 3 2" xfId="14942" xr:uid="{592FB1B6-C22C-47A5-9CBE-78B60A262AEE}"/>
    <cellStyle name="Normal 8 2 4 2 5 4" xfId="10724" xr:uid="{58EA5A3B-F294-4517-A3B5-D1B6AB1001E2}"/>
    <cellStyle name="Normal 8 2 4 2 6" xfId="2641" xr:uid="{00000000-0005-0000-0000-0000F41C0000}"/>
    <cellStyle name="Normal 8 2 4 2 6 2" xfId="6926" xr:uid="{00000000-0005-0000-0000-0000F51C0000}"/>
    <cellStyle name="Normal 8 2 4 2 6 2 2" xfId="15355" xr:uid="{4DAB2C78-861C-4ED2-8FC6-FF54819F4DCC}"/>
    <cellStyle name="Normal 8 2 4 2 6 3" xfId="11137" xr:uid="{63384060-5FCB-4232-A457-33E1875E3D2D}"/>
    <cellStyle name="Normal 8 2 4 2 7" xfId="4861" xr:uid="{00000000-0005-0000-0000-0000F61C0000}"/>
    <cellStyle name="Normal 8 2 4 2 7 2" xfId="13290" xr:uid="{33BF77B5-2DDD-44ED-BCE3-71BCE698D23E}"/>
    <cellStyle name="Normal 8 2 4 2 8" xfId="9072" xr:uid="{6F648BD5-0A64-4A70-8597-29B21A85A5AD}"/>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0195905E-53A0-48D5-B48D-59553EB9BC12}"/>
    <cellStyle name="Normal 8 2 4 3 2 3" xfId="11629" xr:uid="{9A9E6B0E-F375-4D75-B47F-C71254FB342F}"/>
    <cellStyle name="Normal 8 2 4 3 3" xfId="5273" xr:uid="{00000000-0005-0000-0000-0000FA1C0000}"/>
    <cellStyle name="Normal 8 2 4 3 3 2" xfId="13702" xr:uid="{F9B5D6B2-3F33-4FBE-8C16-704DFEA40CF3}"/>
    <cellStyle name="Normal 8 2 4 3 4" xfId="9484" xr:uid="{30F2BB25-718E-40AC-BA4A-FD5EE9053A5B}"/>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3718D0E3-63AB-4903-8E4A-BD3E353BFC7A}"/>
    <cellStyle name="Normal 8 2 4 4 2 3" xfId="12042" xr:uid="{A2326A90-49EC-4BAC-9129-D667E13B5F3C}"/>
    <cellStyle name="Normal 8 2 4 4 3" xfId="5686" xr:uid="{00000000-0005-0000-0000-0000FE1C0000}"/>
    <cellStyle name="Normal 8 2 4 4 3 2" xfId="14115" xr:uid="{2682100A-F699-4A85-A14D-4FA393614506}"/>
    <cellStyle name="Normal 8 2 4 4 4" xfId="9897" xr:uid="{E578695F-56FE-4C2F-BE5A-E30275D19537}"/>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D00C3D42-2455-4E18-9747-B6DD5BEA404B}"/>
    <cellStyle name="Normal 8 2 4 5 2 3" xfId="12455" xr:uid="{693A9B1D-544B-4FF2-B0DE-1DC948BBFE76}"/>
    <cellStyle name="Normal 8 2 4 5 3" xfId="6099" xr:uid="{00000000-0005-0000-0000-0000021D0000}"/>
    <cellStyle name="Normal 8 2 4 5 3 2" xfId="14528" xr:uid="{14B22577-473C-4ED4-B70F-CC38C66D3F91}"/>
    <cellStyle name="Normal 8 2 4 5 4" xfId="10310" xr:uid="{0920826D-AF7B-48F5-9A8D-D94AE9E805B0}"/>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B4DC28C8-CDBC-4E18-993D-51E0658F4669}"/>
    <cellStyle name="Normal 8 2 4 6 2 3" xfId="12868" xr:uid="{26CCF504-68F4-4F55-94D5-B39692257209}"/>
    <cellStyle name="Normal 8 2 4 6 3" xfId="6512" xr:uid="{00000000-0005-0000-0000-0000061D0000}"/>
    <cellStyle name="Normal 8 2 4 6 3 2" xfId="14941" xr:uid="{B26AFDC5-CA0E-4F2B-A3F2-631FD44BF853}"/>
    <cellStyle name="Normal 8 2 4 6 4" xfId="10723" xr:uid="{E88C6185-EFE1-4F07-9744-BAC8E60CD862}"/>
    <cellStyle name="Normal 8 2 4 7" xfId="2640" xr:uid="{00000000-0005-0000-0000-0000071D0000}"/>
    <cellStyle name="Normal 8 2 4 7 2" xfId="6925" xr:uid="{00000000-0005-0000-0000-0000081D0000}"/>
    <cellStyle name="Normal 8 2 4 7 2 2" xfId="15354" xr:uid="{3BC8BCF5-1E1A-4466-922A-B36FD3FCB8BE}"/>
    <cellStyle name="Normal 8 2 4 7 3" xfId="11136" xr:uid="{715CC543-187D-41F3-A717-EBD99758F65A}"/>
    <cellStyle name="Normal 8 2 4 8" xfId="4860" xr:uid="{00000000-0005-0000-0000-0000091D0000}"/>
    <cellStyle name="Normal 8 2 4 8 2" xfId="13289" xr:uid="{003246F7-908B-47F0-B489-3E351328378F}"/>
    <cellStyle name="Normal 8 2 4 9" xfId="9071" xr:uid="{F4A3E76A-6166-48D0-A830-AF42D76B266E}"/>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F06BD2DE-7DEC-4F91-87E8-C7FF207F5EFF}"/>
    <cellStyle name="Normal 8 2 5 2 2 3" xfId="11631" xr:uid="{29569525-5CF2-48F4-B9EF-9C4FD24B394D}"/>
    <cellStyle name="Normal 8 2 5 2 3" xfId="5275" xr:uid="{00000000-0005-0000-0000-00000E1D0000}"/>
    <cellStyle name="Normal 8 2 5 2 3 2" xfId="13704" xr:uid="{70F3B85F-FE10-47F6-B2F0-B304B21E3F0D}"/>
    <cellStyle name="Normal 8 2 5 2 4" xfId="9486" xr:uid="{02475723-5170-4649-8647-985501F6D4C6}"/>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C2B4C7F7-A34E-477D-A318-90330118E6AC}"/>
    <cellStyle name="Normal 8 2 5 3 2 3" xfId="12044" xr:uid="{52989588-D8A3-4048-A4BF-3DD4AB759BA9}"/>
    <cellStyle name="Normal 8 2 5 3 3" xfId="5688" xr:uid="{00000000-0005-0000-0000-0000121D0000}"/>
    <cellStyle name="Normal 8 2 5 3 3 2" xfId="14117" xr:uid="{3BBA4E2B-C896-4294-AFAA-B5A620D2ED55}"/>
    <cellStyle name="Normal 8 2 5 3 4" xfId="9899" xr:uid="{F93966F0-6E22-4D6C-B039-EFA4CF7675BC}"/>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7D90AC71-CF45-4687-8B2E-50C07571B7F9}"/>
    <cellStyle name="Normal 8 2 5 4 2 3" xfId="12457" xr:uid="{A9EE5F22-6945-46CA-9EFE-08989AFC3117}"/>
    <cellStyle name="Normal 8 2 5 4 3" xfId="6101" xr:uid="{00000000-0005-0000-0000-0000161D0000}"/>
    <cellStyle name="Normal 8 2 5 4 3 2" xfId="14530" xr:uid="{52AB86C1-42DA-4D15-9CB9-E488E3FE47FD}"/>
    <cellStyle name="Normal 8 2 5 4 4" xfId="10312" xr:uid="{4332AE0A-DA60-4949-A200-351A708D9B1B}"/>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639AF2A2-2434-408B-BA1C-ED8241791D7E}"/>
    <cellStyle name="Normal 8 2 5 5 2 3" xfId="12870" xr:uid="{59337932-CBC0-4B9C-A658-4EF7CF1762B0}"/>
    <cellStyle name="Normal 8 2 5 5 3" xfId="6514" xr:uid="{00000000-0005-0000-0000-00001A1D0000}"/>
    <cellStyle name="Normal 8 2 5 5 3 2" xfId="14943" xr:uid="{7609695B-78B8-47BE-9083-07CFB43E199A}"/>
    <cellStyle name="Normal 8 2 5 5 4" xfId="10725" xr:uid="{A4BB8952-0347-4394-BC42-CAE6C2808FC8}"/>
    <cellStyle name="Normal 8 2 5 6" xfId="2642" xr:uid="{00000000-0005-0000-0000-00001B1D0000}"/>
    <cellStyle name="Normal 8 2 5 6 2" xfId="6927" xr:uid="{00000000-0005-0000-0000-00001C1D0000}"/>
    <cellStyle name="Normal 8 2 5 6 2 2" xfId="15356" xr:uid="{499FD5AA-63CC-4F5B-A021-284E64B20196}"/>
    <cellStyle name="Normal 8 2 5 6 3" xfId="11138" xr:uid="{BDFA9EE9-5AA1-4FB5-99F1-11C86C363861}"/>
    <cellStyle name="Normal 8 2 5 7" xfId="4862" xr:uid="{00000000-0005-0000-0000-00001D1D0000}"/>
    <cellStyle name="Normal 8 2 5 7 2" xfId="13291" xr:uid="{05548B17-DDF5-48E0-8C09-69585C29DFA3}"/>
    <cellStyle name="Normal 8 2 5 8" xfId="9073" xr:uid="{E1818B3A-ADDE-479F-B2E8-A4DFD64AE1A5}"/>
    <cellStyle name="Normal 8 2 6" xfId="947" xr:uid="{00000000-0005-0000-0000-00001E1D0000}"/>
    <cellStyle name="Normal 8 2 6 2" xfId="3181" xr:uid="{00000000-0005-0000-0000-00001F1D0000}"/>
    <cellStyle name="Normal 8 2 6 2 2" xfId="7405" xr:uid="{00000000-0005-0000-0000-0000201D0000}"/>
    <cellStyle name="Normal 8 2 6 2 2 2" xfId="15834" xr:uid="{FA6DF800-79DC-4650-9A4B-C64C36491B4F}"/>
    <cellStyle name="Normal 8 2 6 2 3" xfId="11616" xr:uid="{A8BA89DF-B382-426E-97E5-665217A7BEC4}"/>
    <cellStyle name="Normal 8 2 6 3" xfId="5260" xr:uid="{00000000-0005-0000-0000-0000211D0000}"/>
    <cellStyle name="Normal 8 2 6 3 2" xfId="13689" xr:uid="{01CA65BE-3401-4A94-9B81-E30CF3DC8C44}"/>
    <cellStyle name="Normal 8 2 6 4" xfId="9471" xr:uid="{F81CB3D2-5743-47E4-AD1F-0A6665B1F4E5}"/>
    <cellStyle name="Normal 8 2 7" xfId="1364" xr:uid="{00000000-0005-0000-0000-0000221D0000}"/>
    <cellStyle name="Normal 8 2 7 2" xfId="3594" xr:uid="{00000000-0005-0000-0000-0000231D0000}"/>
    <cellStyle name="Normal 8 2 7 2 2" xfId="7818" xr:uid="{00000000-0005-0000-0000-0000241D0000}"/>
    <cellStyle name="Normal 8 2 7 2 2 2" xfId="16247" xr:uid="{EC5E2C4D-826D-48C1-B31D-2A4DD7AAB56E}"/>
    <cellStyle name="Normal 8 2 7 2 3" xfId="12029" xr:uid="{ECC18DD7-9134-4FE6-9724-C18BB70399BA}"/>
    <cellStyle name="Normal 8 2 7 3" xfId="5673" xr:uid="{00000000-0005-0000-0000-0000251D0000}"/>
    <cellStyle name="Normal 8 2 7 3 2" xfId="14102" xr:uid="{FAFC8332-0EEB-458E-AB7C-1053EB59AAB2}"/>
    <cellStyle name="Normal 8 2 7 4" xfId="9884" xr:uid="{067CC987-CCDC-4858-96FA-4FDE2F1F05AC}"/>
    <cellStyle name="Normal 8 2 8" xfId="1777" xr:uid="{00000000-0005-0000-0000-0000261D0000}"/>
    <cellStyle name="Normal 8 2 8 2" xfId="4007" xr:uid="{00000000-0005-0000-0000-0000271D0000}"/>
    <cellStyle name="Normal 8 2 8 2 2" xfId="8231" xr:uid="{00000000-0005-0000-0000-0000281D0000}"/>
    <cellStyle name="Normal 8 2 8 2 2 2" xfId="16660" xr:uid="{12EACCE8-AAC7-48FD-B538-F879CF816AB2}"/>
    <cellStyle name="Normal 8 2 8 2 3" xfId="12442" xr:uid="{6DA78B2A-BA77-4CDB-9089-FFA0008ECC74}"/>
    <cellStyle name="Normal 8 2 8 3" xfId="6086" xr:uid="{00000000-0005-0000-0000-0000291D0000}"/>
    <cellStyle name="Normal 8 2 8 3 2" xfId="14515" xr:uid="{E309A437-4376-4432-9193-5D5DFA18F2D4}"/>
    <cellStyle name="Normal 8 2 8 4" xfId="10297" xr:uid="{D742D0AF-E7C7-417F-AE24-B4B7160455AE}"/>
    <cellStyle name="Normal 8 2 9" xfId="2191" xr:uid="{00000000-0005-0000-0000-00002A1D0000}"/>
    <cellStyle name="Normal 8 2 9 2" xfId="4420" xr:uid="{00000000-0005-0000-0000-00002B1D0000}"/>
    <cellStyle name="Normal 8 2 9 2 2" xfId="8644" xr:uid="{00000000-0005-0000-0000-00002C1D0000}"/>
    <cellStyle name="Normal 8 2 9 2 2 2" xfId="17073" xr:uid="{44E225D8-8521-458F-9FDD-DE5E0064E753}"/>
    <cellStyle name="Normal 8 2 9 2 3" xfId="12855" xr:uid="{6D92FF03-5B66-4BEE-BEB7-B5E96042A2AD}"/>
    <cellStyle name="Normal 8 2 9 3" xfId="6499" xr:uid="{00000000-0005-0000-0000-00002D1D0000}"/>
    <cellStyle name="Normal 8 2 9 3 2" xfId="14928" xr:uid="{DFFE76E1-A587-41A4-BD2B-A9D6365E34C6}"/>
    <cellStyle name="Normal 8 2 9 4" xfId="10710" xr:uid="{4A780861-3B9E-4733-B98F-98179A24F1C0}"/>
    <cellStyle name="Normal 8 3" xfId="495" xr:uid="{00000000-0005-0000-0000-00002E1D0000}"/>
    <cellStyle name="Normal 8 3 10" xfId="4863" xr:uid="{00000000-0005-0000-0000-00002F1D0000}"/>
    <cellStyle name="Normal 8 3 10 2" xfId="13292" xr:uid="{44C31468-9EB8-4DA3-B72C-1973C7D723C0}"/>
    <cellStyle name="Normal 8 3 11" xfId="9074" xr:uid="{AB3D160D-1764-4C91-94E6-CD27479DBB82}"/>
    <cellStyle name="Normal 8 3 2" xfId="496" xr:uid="{00000000-0005-0000-0000-0000301D0000}"/>
    <cellStyle name="Normal 8 3 2 10" xfId="9075" xr:uid="{8E229B41-A580-416B-9DCD-BB8995BFC0A6}"/>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7A208648-6BDC-4510-8486-462FE6745B47}"/>
    <cellStyle name="Normal 8 3 2 2 2 2 2 3" xfId="11635" xr:uid="{CF06138B-91D0-4BB7-968F-31E6AB5518BC}"/>
    <cellStyle name="Normal 8 3 2 2 2 2 3" xfId="5279" xr:uid="{00000000-0005-0000-0000-0000361D0000}"/>
    <cellStyle name="Normal 8 3 2 2 2 2 3 2" xfId="13708" xr:uid="{748D244C-F1EB-45FD-A299-89A5D09020C1}"/>
    <cellStyle name="Normal 8 3 2 2 2 2 4" xfId="9490" xr:uid="{10B65C92-B553-4FFC-81D9-ACA9640B5412}"/>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05FA67BE-9348-4AAC-AB36-59792F7CCDCF}"/>
    <cellStyle name="Normal 8 3 2 2 2 3 2 3" xfId="12048" xr:uid="{3EEF417E-E9EA-40CF-AB04-7D27A0973F6D}"/>
    <cellStyle name="Normal 8 3 2 2 2 3 3" xfId="5692" xr:uid="{00000000-0005-0000-0000-00003A1D0000}"/>
    <cellStyle name="Normal 8 3 2 2 2 3 3 2" xfId="14121" xr:uid="{09391C71-1C20-4A20-A74C-41D48B413C00}"/>
    <cellStyle name="Normal 8 3 2 2 2 3 4" xfId="9903" xr:uid="{1065F42F-2EC9-4394-8F60-C279789D29EA}"/>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E5E65BB4-E23F-4BAA-AB97-1A0F1EAC143A}"/>
    <cellStyle name="Normal 8 3 2 2 2 4 2 3" xfId="12461" xr:uid="{8B2A6E6F-1087-47B7-B5E0-3614C87B20C3}"/>
    <cellStyle name="Normal 8 3 2 2 2 4 3" xfId="6105" xr:uid="{00000000-0005-0000-0000-00003E1D0000}"/>
    <cellStyle name="Normal 8 3 2 2 2 4 3 2" xfId="14534" xr:uid="{F32F078A-7ED2-4EC3-BC8C-5402EB905542}"/>
    <cellStyle name="Normal 8 3 2 2 2 4 4" xfId="10316" xr:uid="{F1F3969D-23AF-4AFB-AFC3-C3F33E69DD35}"/>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FFB428E2-B9DC-40F7-BE32-36B467FD86E3}"/>
    <cellStyle name="Normal 8 3 2 2 2 5 2 3" xfId="12874" xr:uid="{F9DBE020-E2FD-4F2F-A6A4-D2380CD0C37D}"/>
    <cellStyle name="Normal 8 3 2 2 2 5 3" xfId="6518" xr:uid="{00000000-0005-0000-0000-0000421D0000}"/>
    <cellStyle name="Normal 8 3 2 2 2 5 3 2" xfId="14947" xr:uid="{12D1785B-0A62-4CE9-A6B9-B9432ED2B985}"/>
    <cellStyle name="Normal 8 3 2 2 2 5 4" xfId="10729" xr:uid="{EF5AE574-315F-41CA-BD98-DB53CDC86EAC}"/>
    <cellStyle name="Normal 8 3 2 2 2 6" xfId="2646" xr:uid="{00000000-0005-0000-0000-0000431D0000}"/>
    <cellStyle name="Normal 8 3 2 2 2 6 2" xfId="6931" xr:uid="{00000000-0005-0000-0000-0000441D0000}"/>
    <cellStyle name="Normal 8 3 2 2 2 6 2 2" xfId="15360" xr:uid="{F63F401B-5260-405B-B78F-67901F1F08F1}"/>
    <cellStyle name="Normal 8 3 2 2 2 6 3" xfId="11142" xr:uid="{3F7ECC5E-902A-4884-924A-E1E138EB2970}"/>
    <cellStyle name="Normal 8 3 2 2 2 7" xfId="4866" xr:uid="{00000000-0005-0000-0000-0000451D0000}"/>
    <cellStyle name="Normal 8 3 2 2 2 7 2" xfId="13295" xr:uid="{9E854E1D-40ED-4C7F-9CF9-2A629D5BAF5B}"/>
    <cellStyle name="Normal 8 3 2 2 2 8" xfId="9077" xr:uid="{B33E54FF-A68C-4331-9644-84A113A08BB1}"/>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E1DB2F33-0856-4BE8-B4AC-24871134E573}"/>
    <cellStyle name="Normal 8 3 2 2 3 2 3" xfId="11634" xr:uid="{1F569441-05BF-4462-8603-6524D63B3643}"/>
    <cellStyle name="Normal 8 3 2 2 3 3" xfId="5278" xr:uid="{00000000-0005-0000-0000-0000491D0000}"/>
    <cellStyle name="Normal 8 3 2 2 3 3 2" xfId="13707" xr:uid="{C415EB02-BC5C-4541-8368-4CA9B77032E0}"/>
    <cellStyle name="Normal 8 3 2 2 3 4" xfId="9489" xr:uid="{34030B86-8822-4490-8872-A79C584174B7}"/>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D6436265-4112-4DE2-BC45-8624A2474C24}"/>
    <cellStyle name="Normal 8 3 2 2 4 2 3" xfId="12047" xr:uid="{194F140E-894F-4C11-B3D7-830C47B360FB}"/>
    <cellStyle name="Normal 8 3 2 2 4 3" xfId="5691" xr:uid="{00000000-0005-0000-0000-00004D1D0000}"/>
    <cellStyle name="Normal 8 3 2 2 4 3 2" xfId="14120" xr:uid="{28928EDB-A128-4C8A-A371-B239C6DF5073}"/>
    <cellStyle name="Normal 8 3 2 2 4 4" xfId="9902" xr:uid="{A21AC083-EC9B-4926-888D-7CAF111CFF02}"/>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0D59E9DF-AA62-4AC3-AE0E-6A33FC77507E}"/>
    <cellStyle name="Normal 8 3 2 2 5 2 3" xfId="12460" xr:uid="{48F41A6A-04A8-4507-B461-6EE205BF0EAF}"/>
    <cellStyle name="Normal 8 3 2 2 5 3" xfId="6104" xr:uid="{00000000-0005-0000-0000-0000511D0000}"/>
    <cellStyle name="Normal 8 3 2 2 5 3 2" xfId="14533" xr:uid="{D0AACE43-982E-4669-BF93-9BB4CB63A787}"/>
    <cellStyle name="Normal 8 3 2 2 5 4" xfId="10315" xr:uid="{6DD3C385-A4CD-4A12-B9A5-22489DC97ACC}"/>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177F6C14-0A03-48E6-B047-27FCA4637E5D}"/>
    <cellStyle name="Normal 8 3 2 2 6 2 3" xfId="12873" xr:uid="{16E59B52-D5F9-4E2C-AD49-9A9808CC284C}"/>
    <cellStyle name="Normal 8 3 2 2 6 3" xfId="6517" xr:uid="{00000000-0005-0000-0000-0000551D0000}"/>
    <cellStyle name="Normal 8 3 2 2 6 3 2" xfId="14946" xr:uid="{A01FF4CC-9311-4858-BDC1-21495A5D1DC0}"/>
    <cellStyle name="Normal 8 3 2 2 6 4" xfId="10728" xr:uid="{CF046B96-1D42-4986-B2A8-6D4C67774A5D}"/>
    <cellStyle name="Normal 8 3 2 2 7" xfId="2645" xr:uid="{00000000-0005-0000-0000-0000561D0000}"/>
    <cellStyle name="Normal 8 3 2 2 7 2" xfId="6930" xr:uid="{00000000-0005-0000-0000-0000571D0000}"/>
    <cellStyle name="Normal 8 3 2 2 7 2 2" xfId="15359" xr:uid="{1C5A483D-E490-4697-AC61-D6426DB01089}"/>
    <cellStyle name="Normal 8 3 2 2 7 3" xfId="11141" xr:uid="{4F59F14C-CDE2-418A-8B8C-8CFDAAF792A9}"/>
    <cellStyle name="Normal 8 3 2 2 8" xfId="4865" xr:uid="{00000000-0005-0000-0000-0000581D0000}"/>
    <cellStyle name="Normal 8 3 2 2 8 2" xfId="13294" xr:uid="{F6BB040A-49B2-4D40-A8FD-49901BB4CF8D}"/>
    <cellStyle name="Normal 8 3 2 2 9" xfId="9076" xr:uid="{F7345362-0A89-4138-9B8F-4B8D47524EA6}"/>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82229FD2-DB00-43E8-91F9-4B926DC87518}"/>
    <cellStyle name="Normal 8 3 2 3 2 2 3" xfId="11636" xr:uid="{A1A41490-F6A8-40A8-92D3-5AC0B3763DE5}"/>
    <cellStyle name="Normal 8 3 2 3 2 3" xfId="5280" xr:uid="{00000000-0005-0000-0000-00005D1D0000}"/>
    <cellStyle name="Normal 8 3 2 3 2 3 2" xfId="13709" xr:uid="{58A03420-CFF0-4B38-B8D1-027299CC00EE}"/>
    <cellStyle name="Normal 8 3 2 3 2 4" xfId="9491" xr:uid="{A82C01E0-0456-4484-A054-86687BB33F60}"/>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5EAFF6CA-BC55-4250-8EB4-C7A3BE6F7E82}"/>
    <cellStyle name="Normal 8 3 2 3 3 2 3" xfId="12049" xr:uid="{CF35142B-430A-442E-A597-020A405BF592}"/>
    <cellStyle name="Normal 8 3 2 3 3 3" xfId="5693" xr:uid="{00000000-0005-0000-0000-0000611D0000}"/>
    <cellStyle name="Normal 8 3 2 3 3 3 2" xfId="14122" xr:uid="{FA0652E5-06D8-4886-AD42-CB8BA898A504}"/>
    <cellStyle name="Normal 8 3 2 3 3 4" xfId="9904" xr:uid="{7C88BC25-3586-4D93-AB6A-B8839CB6E867}"/>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876F39F8-ABB3-44DB-A31F-CDD53C11F114}"/>
    <cellStyle name="Normal 8 3 2 3 4 2 3" xfId="12462" xr:uid="{F8A40DAD-51BA-4B49-9DD4-BDE02CEC65B8}"/>
    <cellStyle name="Normal 8 3 2 3 4 3" xfId="6106" xr:uid="{00000000-0005-0000-0000-0000651D0000}"/>
    <cellStyle name="Normal 8 3 2 3 4 3 2" xfId="14535" xr:uid="{62BC5340-E81C-4784-A528-1A965E042074}"/>
    <cellStyle name="Normal 8 3 2 3 4 4" xfId="10317" xr:uid="{6DFC7C42-3EA8-4CB9-885F-60530C3CE721}"/>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CAC32445-41AE-409D-A9AD-11757D7526FA}"/>
    <cellStyle name="Normal 8 3 2 3 5 2 3" xfId="12875" xr:uid="{BB2F1891-4368-481E-96CC-929F1CE8D14D}"/>
    <cellStyle name="Normal 8 3 2 3 5 3" xfId="6519" xr:uid="{00000000-0005-0000-0000-0000691D0000}"/>
    <cellStyle name="Normal 8 3 2 3 5 3 2" xfId="14948" xr:uid="{D467B6C9-AD74-495F-BDD9-7D5F36FF4D67}"/>
    <cellStyle name="Normal 8 3 2 3 5 4" xfId="10730" xr:uid="{49443C20-3CA1-4E9C-9D37-FC48300F9BD3}"/>
    <cellStyle name="Normal 8 3 2 3 6" xfId="2647" xr:uid="{00000000-0005-0000-0000-00006A1D0000}"/>
    <cellStyle name="Normal 8 3 2 3 6 2" xfId="6932" xr:uid="{00000000-0005-0000-0000-00006B1D0000}"/>
    <cellStyle name="Normal 8 3 2 3 6 2 2" xfId="15361" xr:uid="{BB1DDA04-1B4F-4395-9DFE-E97BB3D2E4C2}"/>
    <cellStyle name="Normal 8 3 2 3 6 3" xfId="11143" xr:uid="{AC7C5B25-2C2C-4B45-A7A3-61A932C4672D}"/>
    <cellStyle name="Normal 8 3 2 3 7" xfId="4867" xr:uid="{00000000-0005-0000-0000-00006C1D0000}"/>
    <cellStyle name="Normal 8 3 2 3 7 2" xfId="13296" xr:uid="{7D5DCC2E-52A9-4EC2-BF16-05DF78EAAA7A}"/>
    <cellStyle name="Normal 8 3 2 3 8" xfId="9078" xr:uid="{4047DF93-E446-49CE-8A8A-75632073B00A}"/>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9F803E67-7877-4B2C-92F9-63462B4F7E05}"/>
    <cellStyle name="Normal 8 3 2 4 2 3" xfId="11633" xr:uid="{6DFE6B86-B086-46BB-A8DD-A4751A952029}"/>
    <cellStyle name="Normal 8 3 2 4 3" xfId="5277" xr:uid="{00000000-0005-0000-0000-0000701D0000}"/>
    <cellStyle name="Normal 8 3 2 4 3 2" xfId="13706" xr:uid="{A7148415-1BFC-47CA-BCD0-44444B8A6E02}"/>
    <cellStyle name="Normal 8 3 2 4 4" xfId="9488" xr:uid="{E2537FF2-F6FD-4519-BAC8-835E2055DCE1}"/>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34DAB12B-8D88-4116-9845-F2524DEE2593}"/>
    <cellStyle name="Normal 8 3 2 5 2 3" xfId="12046" xr:uid="{F89A300F-D4A2-4B5B-95F7-0B2682D9CBD4}"/>
    <cellStyle name="Normal 8 3 2 5 3" xfId="5690" xr:uid="{00000000-0005-0000-0000-0000741D0000}"/>
    <cellStyle name="Normal 8 3 2 5 3 2" xfId="14119" xr:uid="{61635A6F-3B89-4D5C-86EE-DF81ECC0FF33}"/>
    <cellStyle name="Normal 8 3 2 5 4" xfId="9901" xr:uid="{EE1F7FEE-A519-40C9-810D-E38FB73E5541}"/>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94A0190F-EA6C-482C-9E7E-1788F811B3DB}"/>
    <cellStyle name="Normal 8 3 2 6 2 3" xfId="12459" xr:uid="{9094AFEB-D116-4962-81B8-90E5895FD5F2}"/>
    <cellStyle name="Normal 8 3 2 6 3" xfId="6103" xr:uid="{00000000-0005-0000-0000-0000781D0000}"/>
    <cellStyle name="Normal 8 3 2 6 3 2" xfId="14532" xr:uid="{37C403E3-B9D9-4D8F-8342-6CF20696323D}"/>
    <cellStyle name="Normal 8 3 2 6 4" xfId="10314" xr:uid="{5E73CE33-4789-4BA2-8648-B68BF44007D4}"/>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FAF88205-BB19-43D0-9691-8C3B59CA8133}"/>
    <cellStyle name="Normal 8 3 2 7 2 3" xfId="12872" xr:uid="{885D1664-13DE-4704-906D-246D2DE1ABEF}"/>
    <cellStyle name="Normal 8 3 2 7 3" xfId="6516" xr:uid="{00000000-0005-0000-0000-00007C1D0000}"/>
    <cellStyle name="Normal 8 3 2 7 3 2" xfId="14945" xr:uid="{6C9383A5-1FDA-456F-935F-5C02A6FF095D}"/>
    <cellStyle name="Normal 8 3 2 7 4" xfId="10727" xr:uid="{7EC4B36A-4C2E-4DE4-94FB-13817964E801}"/>
    <cellStyle name="Normal 8 3 2 8" xfId="2644" xr:uid="{00000000-0005-0000-0000-00007D1D0000}"/>
    <cellStyle name="Normal 8 3 2 8 2" xfId="6929" xr:uid="{00000000-0005-0000-0000-00007E1D0000}"/>
    <cellStyle name="Normal 8 3 2 8 2 2" xfId="15358" xr:uid="{F5414081-31FF-499A-8593-2AFEFA10AC83}"/>
    <cellStyle name="Normal 8 3 2 8 3" xfId="11140" xr:uid="{843D9B9E-F8FE-457F-A6A5-D94DA90ABDCF}"/>
    <cellStyle name="Normal 8 3 2 9" xfId="4864" xr:uid="{00000000-0005-0000-0000-00007F1D0000}"/>
    <cellStyle name="Normal 8 3 2 9 2" xfId="13293" xr:uid="{2D68EA35-CE11-462F-B69D-69AEA3DDFDE1}"/>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0F912E32-A9D7-494B-BD75-7B933F7C6411}"/>
    <cellStyle name="Normal 8 3 3 2 2 2 3" xfId="11638" xr:uid="{D63A1559-208D-4878-84CC-D2858D82F650}"/>
    <cellStyle name="Normal 8 3 3 2 2 3" xfId="5282" xr:uid="{00000000-0005-0000-0000-0000851D0000}"/>
    <cellStyle name="Normal 8 3 3 2 2 3 2" xfId="13711" xr:uid="{B11CCA2A-BF89-4BDE-88F2-49BC0AA87402}"/>
    <cellStyle name="Normal 8 3 3 2 2 4" xfId="9493" xr:uid="{68A8318D-8751-4BFC-9E9C-C446A5EC1C08}"/>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83CF3FB3-88AC-4F1A-9146-1BA72A9C287D}"/>
    <cellStyle name="Normal 8 3 3 2 3 2 3" xfId="12051" xr:uid="{40B5D303-5AC4-44A4-8A3E-86BE6B9EEFC2}"/>
    <cellStyle name="Normal 8 3 3 2 3 3" xfId="5695" xr:uid="{00000000-0005-0000-0000-0000891D0000}"/>
    <cellStyle name="Normal 8 3 3 2 3 3 2" xfId="14124" xr:uid="{DB1A8AAE-7001-46BA-AFB2-50002DE2F5EB}"/>
    <cellStyle name="Normal 8 3 3 2 3 4" xfId="9906" xr:uid="{3F97EBB6-BD3D-4EDE-B8CF-04C68C4C85E2}"/>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2E7DCED1-54D5-49AF-8DA7-AC9EE721B8DE}"/>
    <cellStyle name="Normal 8 3 3 2 4 2 3" xfId="12464" xr:uid="{A460FDDD-2044-4B02-9E05-ED37031629A0}"/>
    <cellStyle name="Normal 8 3 3 2 4 3" xfId="6108" xr:uid="{00000000-0005-0000-0000-00008D1D0000}"/>
    <cellStyle name="Normal 8 3 3 2 4 3 2" xfId="14537" xr:uid="{1B1F13CE-B36C-4A6A-A1DE-347EA956C30B}"/>
    <cellStyle name="Normal 8 3 3 2 4 4" xfId="10319" xr:uid="{6F5DC051-8AF5-44D5-8ECC-4A1B10058B65}"/>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047E6158-0674-4950-9A31-4EF21742BD05}"/>
    <cellStyle name="Normal 8 3 3 2 5 2 3" xfId="12877" xr:uid="{6853F749-B09D-4185-9406-33A2F27EAA9F}"/>
    <cellStyle name="Normal 8 3 3 2 5 3" xfId="6521" xr:uid="{00000000-0005-0000-0000-0000911D0000}"/>
    <cellStyle name="Normal 8 3 3 2 5 3 2" xfId="14950" xr:uid="{648E63E9-64A0-4B79-B84C-052BBF6D617B}"/>
    <cellStyle name="Normal 8 3 3 2 5 4" xfId="10732" xr:uid="{BA25A13A-3651-4A96-AD66-1B9777E2ECB6}"/>
    <cellStyle name="Normal 8 3 3 2 6" xfId="2649" xr:uid="{00000000-0005-0000-0000-0000921D0000}"/>
    <cellStyle name="Normal 8 3 3 2 6 2" xfId="6934" xr:uid="{00000000-0005-0000-0000-0000931D0000}"/>
    <cellStyle name="Normal 8 3 3 2 6 2 2" xfId="15363" xr:uid="{EE1C02C3-EF95-48DA-91CC-98D6108C0F82}"/>
    <cellStyle name="Normal 8 3 3 2 6 3" xfId="11145" xr:uid="{53646CC2-52B3-4C9A-BF1C-BAF4031EF2B9}"/>
    <cellStyle name="Normal 8 3 3 2 7" xfId="4869" xr:uid="{00000000-0005-0000-0000-0000941D0000}"/>
    <cellStyle name="Normal 8 3 3 2 7 2" xfId="13298" xr:uid="{7FEBE6CE-5D8E-475C-8A6E-81149A119981}"/>
    <cellStyle name="Normal 8 3 3 2 8" xfId="9080" xr:uid="{2365062C-1C3A-4612-B3DE-911B38E58255}"/>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AA5CAF50-2D38-4FDE-9CF4-0A5D8BE0888A}"/>
    <cellStyle name="Normal 8 3 3 3 2 3" xfId="11637" xr:uid="{0CA99528-3D27-4E4A-B6F1-8A7E362D6036}"/>
    <cellStyle name="Normal 8 3 3 3 3" xfId="5281" xr:uid="{00000000-0005-0000-0000-0000981D0000}"/>
    <cellStyle name="Normal 8 3 3 3 3 2" xfId="13710" xr:uid="{16BE7D45-CE32-46B8-AB06-A54212E1EE4F}"/>
    <cellStyle name="Normal 8 3 3 3 4" xfId="9492" xr:uid="{B280E946-6A87-4EBD-A7BA-B7A1FB2DE04B}"/>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72EB3156-B75D-4E7F-A4A6-8F180FD17F55}"/>
    <cellStyle name="Normal 8 3 3 4 2 3" xfId="12050" xr:uid="{917ED74C-A438-4265-8558-B05AFF9D4FDD}"/>
    <cellStyle name="Normal 8 3 3 4 3" xfId="5694" xr:uid="{00000000-0005-0000-0000-00009C1D0000}"/>
    <cellStyle name="Normal 8 3 3 4 3 2" xfId="14123" xr:uid="{BC6848A7-4777-4DF9-BEEC-1AD23CA5610D}"/>
    <cellStyle name="Normal 8 3 3 4 4" xfId="9905" xr:uid="{F0B1FDCD-689B-4DA1-A711-0AEA4ACE771F}"/>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361D83CE-3D27-44FE-B79F-391A9113649B}"/>
    <cellStyle name="Normal 8 3 3 5 2 3" xfId="12463" xr:uid="{D9FF8377-6B3F-49D2-9F41-0DF5F9F3BE06}"/>
    <cellStyle name="Normal 8 3 3 5 3" xfId="6107" xr:uid="{00000000-0005-0000-0000-0000A01D0000}"/>
    <cellStyle name="Normal 8 3 3 5 3 2" xfId="14536" xr:uid="{1B04B56E-8DD2-455C-96BD-2263468E637D}"/>
    <cellStyle name="Normal 8 3 3 5 4" xfId="10318" xr:uid="{C29DF0E3-BB2E-4ABD-A467-0D63F3A28615}"/>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0C7A6039-AE8A-44BA-B34D-6855A4F52247}"/>
    <cellStyle name="Normal 8 3 3 6 2 3" xfId="12876" xr:uid="{14FCF5D0-1220-47A4-BCC7-46BFCF1B43A7}"/>
    <cellStyle name="Normal 8 3 3 6 3" xfId="6520" xr:uid="{00000000-0005-0000-0000-0000A41D0000}"/>
    <cellStyle name="Normal 8 3 3 6 3 2" xfId="14949" xr:uid="{F61AE0B0-FD46-4006-95AB-A7B4D80BAF09}"/>
    <cellStyle name="Normal 8 3 3 6 4" xfId="10731" xr:uid="{94967D34-A807-45E7-841F-FC292CDA8BD1}"/>
    <cellStyle name="Normal 8 3 3 7" xfId="2648" xr:uid="{00000000-0005-0000-0000-0000A51D0000}"/>
    <cellStyle name="Normal 8 3 3 7 2" xfId="6933" xr:uid="{00000000-0005-0000-0000-0000A61D0000}"/>
    <cellStyle name="Normal 8 3 3 7 2 2" xfId="15362" xr:uid="{38C00011-D89A-45F4-99C9-3FCFD99317BA}"/>
    <cellStyle name="Normal 8 3 3 7 3" xfId="11144" xr:uid="{97C1FF28-9F55-404D-8DB1-FD6FD16D637E}"/>
    <cellStyle name="Normal 8 3 3 8" xfId="4868" xr:uid="{00000000-0005-0000-0000-0000A71D0000}"/>
    <cellStyle name="Normal 8 3 3 8 2" xfId="13297" xr:uid="{9AF56CE9-D906-4E15-8549-FF63CEDDC9BC}"/>
    <cellStyle name="Normal 8 3 3 9" xfId="9079" xr:uid="{11BD83D9-120F-4C7B-AD67-F6D59376453B}"/>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B8BCDB2F-3894-45B5-96A0-6F39C63E15A6}"/>
    <cellStyle name="Normal 8 3 4 2 2 3" xfId="11639" xr:uid="{E3560D9D-5C0A-4E7A-B5F4-959B760EAE3C}"/>
    <cellStyle name="Normal 8 3 4 2 3" xfId="5283" xr:uid="{00000000-0005-0000-0000-0000AC1D0000}"/>
    <cellStyle name="Normal 8 3 4 2 3 2" xfId="13712" xr:uid="{9BC40080-2799-444D-BD8F-6B53225BF31D}"/>
    <cellStyle name="Normal 8 3 4 2 4" xfId="9494" xr:uid="{F18B67D1-4B15-47CB-B28B-92515C9C7E7A}"/>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75679BB2-3E8A-42AB-9964-28768149EFDF}"/>
    <cellStyle name="Normal 8 3 4 3 2 3" xfId="12052" xr:uid="{5A8C74A9-CAD8-481F-B1FE-60E8FA5AE0C0}"/>
    <cellStyle name="Normal 8 3 4 3 3" xfId="5696" xr:uid="{00000000-0005-0000-0000-0000B01D0000}"/>
    <cellStyle name="Normal 8 3 4 3 3 2" xfId="14125" xr:uid="{B9A14F9F-25AD-4B5A-B0D4-8E5FEDE02AD3}"/>
    <cellStyle name="Normal 8 3 4 3 4" xfId="9907" xr:uid="{17960F2E-6180-4270-B14B-60348A8FEE8C}"/>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D3D580C8-1D79-4CDD-8E6C-E3CBD9F06F1E}"/>
    <cellStyle name="Normal 8 3 4 4 2 3" xfId="12465" xr:uid="{6772179F-071C-4EF2-83AF-1DA1FA7007D2}"/>
    <cellStyle name="Normal 8 3 4 4 3" xfId="6109" xr:uid="{00000000-0005-0000-0000-0000B41D0000}"/>
    <cellStyle name="Normal 8 3 4 4 3 2" xfId="14538" xr:uid="{85F9FE3A-CD7E-46BC-93B3-D8B1CF5DC4C5}"/>
    <cellStyle name="Normal 8 3 4 4 4" xfId="10320" xr:uid="{5C5FE0ED-9D31-48C2-B84D-BF6BBE3F2191}"/>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58EAC633-E5F2-48F9-AC5E-6E3E7ED107F1}"/>
    <cellStyle name="Normal 8 3 4 5 2 3" xfId="12878" xr:uid="{6F3C9C4F-6BCF-48F3-A8DC-6DC016FAA48E}"/>
    <cellStyle name="Normal 8 3 4 5 3" xfId="6522" xr:uid="{00000000-0005-0000-0000-0000B81D0000}"/>
    <cellStyle name="Normal 8 3 4 5 3 2" xfId="14951" xr:uid="{ABEA4AF3-94D1-4DD6-B251-96B009674E0B}"/>
    <cellStyle name="Normal 8 3 4 5 4" xfId="10733" xr:uid="{A2456574-D259-421B-83CB-B2FD80057F22}"/>
    <cellStyle name="Normal 8 3 4 6" xfId="2650" xr:uid="{00000000-0005-0000-0000-0000B91D0000}"/>
    <cellStyle name="Normal 8 3 4 6 2" xfId="6935" xr:uid="{00000000-0005-0000-0000-0000BA1D0000}"/>
    <cellStyle name="Normal 8 3 4 6 2 2" xfId="15364" xr:uid="{ADE9E12D-0B13-48CD-AFC9-271051D39086}"/>
    <cellStyle name="Normal 8 3 4 6 3" xfId="11146" xr:uid="{0D627E41-CB01-4791-B420-407B7F36D243}"/>
    <cellStyle name="Normal 8 3 4 7" xfId="4870" xr:uid="{00000000-0005-0000-0000-0000BB1D0000}"/>
    <cellStyle name="Normal 8 3 4 7 2" xfId="13299" xr:uid="{99EE799E-A388-4794-ACB3-700630422F36}"/>
    <cellStyle name="Normal 8 3 4 8" xfId="9081" xr:uid="{F7638404-3BE7-452D-A2BE-12CF8785810C}"/>
    <cellStyle name="Normal 8 3 5" xfId="963" xr:uid="{00000000-0005-0000-0000-0000BC1D0000}"/>
    <cellStyle name="Normal 8 3 5 2" xfId="3197" xr:uid="{00000000-0005-0000-0000-0000BD1D0000}"/>
    <cellStyle name="Normal 8 3 5 2 2" xfId="7421" xr:uid="{00000000-0005-0000-0000-0000BE1D0000}"/>
    <cellStyle name="Normal 8 3 5 2 2 2" xfId="15850" xr:uid="{64CC3C96-7BDC-4DBD-B11A-21D1199C3E7F}"/>
    <cellStyle name="Normal 8 3 5 2 3" xfId="11632" xr:uid="{40ABC1DF-D6B9-4E4E-BAA9-4F2718CE8254}"/>
    <cellStyle name="Normal 8 3 5 3" xfId="5276" xr:uid="{00000000-0005-0000-0000-0000BF1D0000}"/>
    <cellStyle name="Normal 8 3 5 3 2" xfId="13705" xr:uid="{AF6C23DD-AC02-4DB8-A898-32BE8238BA85}"/>
    <cellStyle name="Normal 8 3 5 4" xfId="9487" xr:uid="{7BF994A6-45DE-4DEF-AF0B-F667C81C03E5}"/>
    <cellStyle name="Normal 8 3 6" xfId="1380" xr:uid="{00000000-0005-0000-0000-0000C01D0000}"/>
    <cellStyle name="Normal 8 3 6 2" xfId="3610" xr:uid="{00000000-0005-0000-0000-0000C11D0000}"/>
    <cellStyle name="Normal 8 3 6 2 2" xfId="7834" xr:uid="{00000000-0005-0000-0000-0000C21D0000}"/>
    <cellStyle name="Normal 8 3 6 2 2 2" xfId="16263" xr:uid="{E99A84F7-1816-440B-AAF7-524B6F088BAF}"/>
    <cellStyle name="Normal 8 3 6 2 3" xfId="12045" xr:uid="{EA918ED3-4A34-43EA-8F72-D9F2CE966D81}"/>
    <cellStyle name="Normal 8 3 6 3" xfId="5689" xr:uid="{00000000-0005-0000-0000-0000C31D0000}"/>
    <cellStyle name="Normal 8 3 6 3 2" xfId="14118" xr:uid="{743F80F3-DAE7-4618-9A35-056DEAF10B36}"/>
    <cellStyle name="Normal 8 3 6 4" xfId="9900" xr:uid="{A30AB00A-8261-4C9C-9C3B-A7A98841CE55}"/>
    <cellStyle name="Normal 8 3 7" xfId="1793" xr:uid="{00000000-0005-0000-0000-0000C41D0000}"/>
    <cellStyle name="Normal 8 3 7 2" xfId="4023" xr:uid="{00000000-0005-0000-0000-0000C51D0000}"/>
    <cellStyle name="Normal 8 3 7 2 2" xfId="8247" xr:uid="{00000000-0005-0000-0000-0000C61D0000}"/>
    <cellStyle name="Normal 8 3 7 2 2 2" xfId="16676" xr:uid="{DA1643B4-75E9-4E83-9E33-FC7921362E67}"/>
    <cellStyle name="Normal 8 3 7 2 3" xfId="12458" xr:uid="{3BEEAFFE-5633-4755-B0C7-A6352F1D75E7}"/>
    <cellStyle name="Normal 8 3 7 3" xfId="6102" xr:uid="{00000000-0005-0000-0000-0000C71D0000}"/>
    <cellStyle name="Normal 8 3 7 3 2" xfId="14531" xr:uid="{539E5FDF-3FEC-4D30-B144-0F71437D14DF}"/>
    <cellStyle name="Normal 8 3 7 4" xfId="10313" xr:uid="{6D76DD6E-708F-4C29-BDEB-B34117281D25}"/>
    <cellStyle name="Normal 8 3 8" xfId="2207" xr:uid="{00000000-0005-0000-0000-0000C81D0000}"/>
    <cellStyle name="Normal 8 3 8 2" xfId="4436" xr:uid="{00000000-0005-0000-0000-0000C91D0000}"/>
    <cellStyle name="Normal 8 3 8 2 2" xfId="8660" xr:uid="{00000000-0005-0000-0000-0000CA1D0000}"/>
    <cellStyle name="Normal 8 3 8 2 2 2" xfId="17089" xr:uid="{406FF390-F53F-4A9A-85CE-2390684A5113}"/>
    <cellStyle name="Normal 8 3 8 2 3" xfId="12871" xr:uid="{A5A011D5-C277-46B4-8126-7590E65D4932}"/>
    <cellStyle name="Normal 8 3 8 3" xfId="6515" xr:uid="{00000000-0005-0000-0000-0000CB1D0000}"/>
    <cellStyle name="Normal 8 3 8 3 2" xfId="14944" xr:uid="{2EE6F635-95AA-4F3E-BC0A-9D74C9CDD4FC}"/>
    <cellStyle name="Normal 8 3 8 4" xfId="10726" xr:uid="{486F3573-EB3E-41A9-B6AC-4719DCE98748}"/>
    <cellStyle name="Normal 8 3 9" xfId="2643" xr:uid="{00000000-0005-0000-0000-0000CC1D0000}"/>
    <cellStyle name="Normal 8 3 9 2" xfId="6928" xr:uid="{00000000-0005-0000-0000-0000CD1D0000}"/>
    <cellStyle name="Normal 8 3 9 2 2" xfId="15357" xr:uid="{7EF58CF5-0351-4214-9732-3E25E9525743}"/>
    <cellStyle name="Normal 8 3 9 3" xfId="11139" xr:uid="{284F8354-574D-4A6F-A081-E18869ADCC52}"/>
    <cellStyle name="Normal 8 4" xfId="503" xr:uid="{00000000-0005-0000-0000-0000CE1D0000}"/>
    <cellStyle name="Normal 8 4 10" xfId="9082" xr:uid="{4182C6D9-C0B3-472F-8668-E0AA64B8807D}"/>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F2E0F679-8BEC-4F6B-A164-96A7C9DC5EF6}"/>
    <cellStyle name="Normal 8 4 2 2 2 2 3" xfId="11642" xr:uid="{371E81CF-DB95-4409-AB3F-C2D2BAAACFFC}"/>
    <cellStyle name="Normal 8 4 2 2 2 3" xfId="5286" xr:uid="{00000000-0005-0000-0000-0000D41D0000}"/>
    <cellStyle name="Normal 8 4 2 2 2 3 2" xfId="13715" xr:uid="{B2FEB4D6-77CD-464B-BA04-9972DBEF2769}"/>
    <cellStyle name="Normal 8 4 2 2 2 4" xfId="9497" xr:uid="{B0F38D02-2496-47F0-B60D-AA43BB5925B9}"/>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E3EE8A1B-B980-43DD-9232-30EA04355ED1}"/>
    <cellStyle name="Normal 8 4 2 2 3 2 3" xfId="12055" xr:uid="{E9E7F3E0-4F65-486A-9D10-C4AFE793E6E3}"/>
    <cellStyle name="Normal 8 4 2 2 3 3" xfId="5699" xr:uid="{00000000-0005-0000-0000-0000D81D0000}"/>
    <cellStyle name="Normal 8 4 2 2 3 3 2" xfId="14128" xr:uid="{6B557318-B0B4-4CC7-BD95-54AB532AE6D0}"/>
    <cellStyle name="Normal 8 4 2 2 3 4" xfId="9910" xr:uid="{8DBE9D8E-F2CF-40B2-BD93-369B82A007D8}"/>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73919517-00D8-49F7-ACC5-6E1ECCF24251}"/>
    <cellStyle name="Normal 8 4 2 2 4 2 3" xfId="12468" xr:uid="{EC36D786-0650-459F-B2A6-9D740CEEE66C}"/>
    <cellStyle name="Normal 8 4 2 2 4 3" xfId="6112" xr:uid="{00000000-0005-0000-0000-0000DC1D0000}"/>
    <cellStyle name="Normal 8 4 2 2 4 3 2" xfId="14541" xr:uid="{FA6F9FA2-CAD7-4388-9494-FA5CE3E909D2}"/>
    <cellStyle name="Normal 8 4 2 2 4 4" xfId="10323" xr:uid="{690A5F81-7267-415C-BCD8-023845676320}"/>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5E60C3FF-366A-474B-B10C-7937CD909083}"/>
    <cellStyle name="Normal 8 4 2 2 5 2 3" xfId="12881" xr:uid="{07446DE5-F0FE-478D-908C-348BB578EFF5}"/>
    <cellStyle name="Normal 8 4 2 2 5 3" xfId="6525" xr:uid="{00000000-0005-0000-0000-0000E01D0000}"/>
    <cellStyle name="Normal 8 4 2 2 5 3 2" xfId="14954" xr:uid="{F03FC243-06FA-45F1-803E-68E2934BF573}"/>
    <cellStyle name="Normal 8 4 2 2 5 4" xfId="10736" xr:uid="{6D085187-EE67-4CB1-82DD-F5AF37880149}"/>
    <cellStyle name="Normal 8 4 2 2 6" xfId="2653" xr:uid="{00000000-0005-0000-0000-0000E11D0000}"/>
    <cellStyle name="Normal 8 4 2 2 6 2" xfId="6938" xr:uid="{00000000-0005-0000-0000-0000E21D0000}"/>
    <cellStyle name="Normal 8 4 2 2 6 2 2" xfId="15367" xr:uid="{FE03E807-9D27-466E-894E-FDC5F363A23F}"/>
    <cellStyle name="Normal 8 4 2 2 6 3" xfId="11149" xr:uid="{56DEF836-641F-4875-81DD-49E6AC634A2A}"/>
    <cellStyle name="Normal 8 4 2 2 7" xfId="4873" xr:uid="{00000000-0005-0000-0000-0000E31D0000}"/>
    <cellStyle name="Normal 8 4 2 2 7 2" xfId="13302" xr:uid="{37DBF7C5-F943-4DFE-89F5-E249B68A1972}"/>
    <cellStyle name="Normal 8 4 2 2 8" xfId="9084" xr:uid="{B04FE871-952D-4437-9412-839797C007A8}"/>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03671764-32DD-4D17-99B5-4A2292A0BAB1}"/>
    <cellStyle name="Normal 8 4 2 3 2 3" xfId="11641" xr:uid="{82F38C43-A2D5-46EE-A5AB-3CEF06FC5AD6}"/>
    <cellStyle name="Normal 8 4 2 3 3" xfId="5285" xr:uid="{00000000-0005-0000-0000-0000E71D0000}"/>
    <cellStyle name="Normal 8 4 2 3 3 2" xfId="13714" xr:uid="{15A9A2F9-E1D2-4F76-9753-17B9707C6B10}"/>
    <cellStyle name="Normal 8 4 2 3 4" xfId="9496" xr:uid="{14441456-AE98-4345-88ED-23F0896D566E}"/>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90F80CD3-6E0E-4344-80F8-D35EFFE9ACFD}"/>
    <cellStyle name="Normal 8 4 2 4 2 3" xfId="12054" xr:uid="{DBE6BE33-DE13-49A6-A533-9DC08E8DCE83}"/>
    <cellStyle name="Normal 8 4 2 4 3" xfId="5698" xr:uid="{00000000-0005-0000-0000-0000EB1D0000}"/>
    <cellStyle name="Normal 8 4 2 4 3 2" xfId="14127" xr:uid="{7BF7B73A-43DA-4743-9D70-D67DFAE1DFE7}"/>
    <cellStyle name="Normal 8 4 2 4 4" xfId="9909" xr:uid="{6A02A4D8-8069-4505-A287-2174B224DEFD}"/>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563B824C-9354-4081-A3D5-3DEAEF9CC49A}"/>
    <cellStyle name="Normal 8 4 2 5 2 3" xfId="12467" xr:uid="{0AB820D6-0C20-4847-B638-1799E1E34AA5}"/>
    <cellStyle name="Normal 8 4 2 5 3" xfId="6111" xr:uid="{00000000-0005-0000-0000-0000EF1D0000}"/>
    <cellStyle name="Normal 8 4 2 5 3 2" xfId="14540" xr:uid="{7BD81D02-BAF3-49F8-B9F8-61C570D25246}"/>
    <cellStyle name="Normal 8 4 2 5 4" xfId="10322" xr:uid="{1777F256-BCD6-478B-A6FC-7629226FEDE5}"/>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78F0E141-CD98-40A1-9417-53138ABCE624}"/>
    <cellStyle name="Normal 8 4 2 6 2 3" xfId="12880" xr:uid="{7E5F26F1-2BA8-4E78-96DD-8239ECD9754C}"/>
    <cellStyle name="Normal 8 4 2 6 3" xfId="6524" xr:uid="{00000000-0005-0000-0000-0000F31D0000}"/>
    <cellStyle name="Normal 8 4 2 6 3 2" xfId="14953" xr:uid="{C177E6E3-AD26-4E5A-AA34-5717851255AF}"/>
    <cellStyle name="Normal 8 4 2 6 4" xfId="10735" xr:uid="{A4E4C300-431C-41F5-803C-A9D64013C39E}"/>
    <cellStyle name="Normal 8 4 2 7" xfId="2652" xr:uid="{00000000-0005-0000-0000-0000F41D0000}"/>
    <cellStyle name="Normal 8 4 2 7 2" xfId="6937" xr:uid="{00000000-0005-0000-0000-0000F51D0000}"/>
    <cellStyle name="Normal 8 4 2 7 2 2" xfId="15366" xr:uid="{33517756-152C-4224-BAF3-12F75DFC1E30}"/>
    <cellStyle name="Normal 8 4 2 7 3" xfId="11148" xr:uid="{22301E1F-2395-4B79-AB03-C786F039913C}"/>
    <cellStyle name="Normal 8 4 2 8" xfId="4872" xr:uid="{00000000-0005-0000-0000-0000F61D0000}"/>
    <cellStyle name="Normal 8 4 2 8 2" xfId="13301" xr:uid="{E9270EE0-353E-48A4-A0F5-050D210ED1D6}"/>
    <cellStyle name="Normal 8 4 2 9" xfId="9083" xr:uid="{8370A4BE-93C7-4751-BF7D-3A8A6B1FABA3}"/>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C23047B0-EC42-427F-B974-E19B353E1307}"/>
    <cellStyle name="Normal 8 4 3 2 2 3" xfId="11643" xr:uid="{F627E751-2C22-47DE-86E4-4CD9DA20E72C}"/>
    <cellStyle name="Normal 8 4 3 2 3" xfId="5287" xr:uid="{00000000-0005-0000-0000-0000FB1D0000}"/>
    <cellStyle name="Normal 8 4 3 2 3 2" xfId="13716" xr:uid="{45C21942-6C00-4C2B-8B9E-40D9AC6AD98E}"/>
    <cellStyle name="Normal 8 4 3 2 4" xfId="9498" xr:uid="{D70C97DA-E114-42D6-9809-BD70399A7A94}"/>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B4A90E05-5C3E-4405-802A-027A888D8FB6}"/>
    <cellStyle name="Normal 8 4 3 3 2 3" xfId="12056" xr:uid="{EF757EB7-983C-4DAC-8BD8-070DBEA8EEE0}"/>
    <cellStyle name="Normal 8 4 3 3 3" xfId="5700" xr:uid="{00000000-0005-0000-0000-0000FF1D0000}"/>
    <cellStyle name="Normal 8 4 3 3 3 2" xfId="14129" xr:uid="{8B51C126-EAF7-4EFA-82BB-B9F528410FD3}"/>
    <cellStyle name="Normal 8 4 3 3 4" xfId="9911" xr:uid="{716E6EBE-F34C-4E22-8522-AEEEA93C7CF6}"/>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AA049535-A542-4E18-8B77-D82F40F6D6AC}"/>
    <cellStyle name="Normal 8 4 3 4 2 3" xfId="12469" xr:uid="{EE049215-B072-4988-BDE2-E2237EC3225F}"/>
    <cellStyle name="Normal 8 4 3 4 3" xfId="6113" xr:uid="{00000000-0005-0000-0000-0000031E0000}"/>
    <cellStyle name="Normal 8 4 3 4 3 2" xfId="14542" xr:uid="{FC7D4111-D53A-4968-B70A-E92742324D51}"/>
    <cellStyle name="Normal 8 4 3 4 4" xfId="10324" xr:uid="{A503FD7C-D15F-4329-8AED-0984A6E7F20E}"/>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A0281CE9-D771-4B9B-B044-4B2C2C38D9F7}"/>
    <cellStyle name="Normal 8 4 3 5 2 3" xfId="12882" xr:uid="{7C7FAFCA-C5B6-48E5-A102-C03DA8EB2095}"/>
    <cellStyle name="Normal 8 4 3 5 3" xfId="6526" xr:uid="{00000000-0005-0000-0000-0000071E0000}"/>
    <cellStyle name="Normal 8 4 3 5 3 2" xfId="14955" xr:uid="{3430198E-EE8F-454C-83DC-9B1D98C3187E}"/>
    <cellStyle name="Normal 8 4 3 5 4" xfId="10737" xr:uid="{E988B0C7-D2DC-4785-9C45-AF837B63CE77}"/>
    <cellStyle name="Normal 8 4 3 6" xfId="2654" xr:uid="{00000000-0005-0000-0000-0000081E0000}"/>
    <cellStyle name="Normal 8 4 3 6 2" xfId="6939" xr:uid="{00000000-0005-0000-0000-0000091E0000}"/>
    <cellStyle name="Normal 8 4 3 6 2 2" xfId="15368" xr:uid="{B5955A06-595A-44BC-998C-3385F7C4AB5A}"/>
    <cellStyle name="Normal 8 4 3 6 3" xfId="11150" xr:uid="{E1F8462F-FDA7-465B-8F45-AF4C1651831C}"/>
    <cellStyle name="Normal 8 4 3 7" xfId="4874" xr:uid="{00000000-0005-0000-0000-00000A1E0000}"/>
    <cellStyle name="Normal 8 4 3 7 2" xfId="13303" xr:uid="{AC2EB71D-5A82-42F6-B285-487EDC957775}"/>
    <cellStyle name="Normal 8 4 3 8" xfId="9085" xr:uid="{8F8006FB-B902-4353-A09B-690C20502283}"/>
    <cellStyle name="Normal 8 4 4" xfId="971" xr:uid="{00000000-0005-0000-0000-00000B1E0000}"/>
    <cellStyle name="Normal 8 4 4 2" xfId="3205" xr:uid="{00000000-0005-0000-0000-00000C1E0000}"/>
    <cellStyle name="Normal 8 4 4 2 2" xfId="7429" xr:uid="{00000000-0005-0000-0000-00000D1E0000}"/>
    <cellStyle name="Normal 8 4 4 2 2 2" xfId="15858" xr:uid="{62D764C6-DEF4-481A-A2A5-3E9FE1E7584A}"/>
    <cellStyle name="Normal 8 4 4 2 3" xfId="11640" xr:uid="{2A736C58-E4D3-403E-A8E7-3EA3BC1E4599}"/>
    <cellStyle name="Normal 8 4 4 3" xfId="5284" xr:uid="{00000000-0005-0000-0000-00000E1E0000}"/>
    <cellStyle name="Normal 8 4 4 3 2" xfId="13713" xr:uid="{F1D8EDA6-E582-4153-81F3-8D3255808B30}"/>
    <cellStyle name="Normal 8 4 4 4" xfId="9495" xr:uid="{DDE83BC6-1848-41FA-BAF2-EE4933664246}"/>
    <cellStyle name="Normal 8 4 5" xfId="1388" xr:uid="{00000000-0005-0000-0000-00000F1E0000}"/>
    <cellStyle name="Normal 8 4 5 2" xfId="3618" xr:uid="{00000000-0005-0000-0000-0000101E0000}"/>
    <cellStyle name="Normal 8 4 5 2 2" xfId="7842" xr:uid="{00000000-0005-0000-0000-0000111E0000}"/>
    <cellStyle name="Normal 8 4 5 2 2 2" xfId="16271" xr:uid="{09561010-EC82-486F-ACAC-C58FE8DE5607}"/>
    <cellStyle name="Normal 8 4 5 2 3" xfId="12053" xr:uid="{5999FD8E-3379-416C-834D-3697A98FADD6}"/>
    <cellStyle name="Normal 8 4 5 3" xfId="5697" xr:uid="{00000000-0005-0000-0000-0000121E0000}"/>
    <cellStyle name="Normal 8 4 5 3 2" xfId="14126" xr:uid="{326BEE7D-F34C-4AF5-9C95-7C3A31239DBB}"/>
    <cellStyle name="Normal 8 4 5 4" xfId="9908" xr:uid="{E0A2ABDC-4968-45CE-BD65-4645FB9FD42C}"/>
    <cellStyle name="Normal 8 4 6" xfId="1801" xr:uid="{00000000-0005-0000-0000-0000131E0000}"/>
    <cellStyle name="Normal 8 4 6 2" xfId="4031" xr:uid="{00000000-0005-0000-0000-0000141E0000}"/>
    <cellStyle name="Normal 8 4 6 2 2" xfId="8255" xr:uid="{00000000-0005-0000-0000-0000151E0000}"/>
    <cellStyle name="Normal 8 4 6 2 2 2" xfId="16684" xr:uid="{3064EB7E-ECF3-4EAE-B7E7-9932917FD7DB}"/>
    <cellStyle name="Normal 8 4 6 2 3" xfId="12466" xr:uid="{32E7BC81-8C4E-427D-830D-C3E8C246981B}"/>
    <cellStyle name="Normal 8 4 6 3" xfId="6110" xr:uid="{00000000-0005-0000-0000-0000161E0000}"/>
    <cellStyle name="Normal 8 4 6 3 2" xfId="14539" xr:uid="{DF430C36-7BF5-4F9F-8999-1523F8562C7C}"/>
    <cellStyle name="Normal 8 4 6 4" xfId="10321" xr:uid="{A3F7EBE5-E4AD-474B-AC6C-003C9740D4B9}"/>
    <cellStyle name="Normal 8 4 7" xfId="2215" xr:uid="{00000000-0005-0000-0000-0000171E0000}"/>
    <cellStyle name="Normal 8 4 7 2" xfId="4444" xr:uid="{00000000-0005-0000-0000-0000181E0000}"/>
    <cellStyle name="Normal 8 4 7 2 2" xfId="8668" xr:uid="{00000000-0005-0000-0000-0000191E0000}"/>
    <cellStyle name="Normal 8 4 7 2 2 2" xfId="17097" xr:uid="{F26D1AC1-F642-4588-9546-9E0BE4FD27C0}"/>
    <cellStyle name="Normal 8 4 7 2 3" xfId="12879" xr:uid="{1736F321-88B7-4811-BEBF-06894639B1AD}"/>
    <cellStyle name="Normal 8 4 7 3" xfId="6523" xr:uid="{00000000-0005-0000-0000-00001A1E0000}"/>
    <cellStyle name="Normal 8 4 7 3 2" xfId="14952" xr:uid="{CEE80707-B3D2-4CCE-A502-719689DA4568}"/>
    <cellStyle name="Normal 8 4 7 4" xfId="10734" xr:uid="{29ACBEAF-F240-425D-9C33-12D3EAB87FA4}"/>
    <cellStyle name="Normal 8 4 8" xfId="2651" xr:uid="{00000000-0005-0000-0000-00001B1E0000}"/>
    <cellStyle name="Normal 8 4 8 2" xfId="6936" xr:uid="{00000000-0005-0000-0000-00001C1E0000}"/>
    <cellStyle name="Normal 8 4 8 2 2" xfId="15365" xr:uid="{CC586B64-8875-4C3B-8EA1-74BA36CF5DE7}"/>
    <cellStyle name="Normal 8 4 8 3" xfId="11147" xr:uid="{B9961C83-EC2E-43F7-B231-EDFBC8DF3AE8}"/>
    <cellStyle name="Normal 8 4 9" xfId="4871" xr:uid="{00000000-0005-0000-0000-00001D1E0000}"/>
    <cellStyle name="Normal 8 4 9 2" xfId="13300" xr:uid="{77053056-D9D1-496B-A863-9151E62951A8}"/>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84212E3B-7149-45FD-B3AD-E4B093AF1B8C}"/>
    <cellStyle name="Normal 8 5 2 2 2 3" xfId="11645" xr:uid="{251A7A3B-041A-42E1-BB2C-508AE88869B6}"/>
    <cellStyle name="Normal 8 5 2 2 3" xfId="5289" xr:uid="{00000000-0005-0000-0000-0000231E0000}"/>
    <cellStyle name="Normal 8 5 2 2 3 2" xfId="13718" xr:uid="{307DFD63-1282-4B89-8A61-972C51B9291B}"/>
    <cellStyle name="Normal 8 5 2 2 4" xfId="9500" xr:uid="{4F9B726A-3352-4DC0-B11D-40B47B0B7445}"/>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AADCA621-2E7D-454A-8DB2-25EC80B87723}"/>
    <cellStyle name="Normal 8 5 2 3 2 3" xfId="12058" xr:uid="{21F3C413-B464-40C8-9984-B422A8DBA022}"/>
    <cellStyle name="Normal 8 5 2 3 3" xfId="5702" xr:uid="{00000000-0005-0000-0000-0000271E0000}"/>
    <cellStyle name="Normal 8 5 2 3 3 2" xfId="14131" xr:uid="{A6A05DE1-6BF2-4C7C-B53F-F55BB9BF523A}"/>
    <cellStyle name="Normal 8 5 2 3 4" xfId="9913" xr:uid="{41A5FD26-9CD2-4049-9369-CBD48D1FC979}"/>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B4549A1A-0E18-40D9-A4A5-CABD2DD1777D}"/>
    <cellStyle name="Normal 8 5 2 4 2 3" xfId="12471" xr:uid="{26264D8F-483D-4D1C-B6EC-84D42B940900}"/>
    <cellStyle name="Normal 8 5 2 4 3" xfId="6115" xr:uid="{00000000-0005-0000-0000-00002B1E0000}"/>
    <cellStyle name="Normal 8 5 2 4 3 2" xfId="14544" xr:uid="{65381071-1FA9-4C95-863C-42FB9B1000B8}"/>
    <cellStyle name="Normal 8 5 2 4 4" xfId="10326" xr:uid="{659C195F-EBDE-47A2-A978-07561366722C}"/>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0CBBEB5B-42FB-4833-978A-518FFB2D681F}"/>
    <cellStyle name="Normal 8 5 2 5 2 3" xfId="12884" xr:uid="{D6DEF11A-777E-4362-9893-C90FFC62DAC5}"/>
    <cellStyle name="Normal 8 5 2 5 3" xfId="6528" xr:uid="{00000000-0005-0000-0000-00002F1E0000}"/>
    <cellStyle name="Normal 8 5 2 5 3 2" xfId="14957" xr:uid="{E251D843-B412-40E0-AF27-C0ED40D7C078}"/>
    <cellStyle name="Normal 8 5 2 5 4" xfId="10739" xr:uid="{9CC08CDF-D8E9-476D-A773-073F7C3584D7}"/>
    <cellStyle name="Normal 8 5 2 6" xfId="2656" xr:uid="{00000000-0005-0000-0000-0000301E0000}"/>
    <cellStyle name="Normal 8 5 2 6 2" xfId="6941" xr:uid="{00000000-0005-0000-0000-0000311E0000}"/>
    <cellStyle name="Normal 8 5 2 6 2 2" xfId="15370" xr:uid="{915D7655-4FC6-452E-9872-FDEA8486F153}"/>
    <cellStyle name="Normal 8 5 2 6 3" xfId="11152" xr:uid="{2BB6EA7E-C208-41A1-98B7-EFBB64EBBA3A}"/>
    <cellStyle name="Normal 8 5 2 7" xfId="4876" xr:uid="{00000000-0005-0000-0000-0000321E0000}"/>
    <cellStyle name="Normal 8 5 2 7 2" xfId="13305" xr:uid="{7F29CBE7-4540-4B9F-9A93-D51FCD2F3F62}"/>
    <cellStyle name="Normal 8 5 2 8" xfId="9087" xr:uid="{F5EBBB04-8AE6-4F62-905F-5319C61CD550}"/>
    <cellStyle name="Normal 8 5 3" xfId="975" xr:uid="{00000000-0005-0000-0000-0000331E0000}"/>
    <cellStyle name="Normal 8 5 3 2" xfId="3209" xr:uid="{00000000-0005-0000-0000-0000341E0000}"/>
    <cellStyle name="Normal 8 5 3 2 2" xfId="7433" xr:uid="{00000000-0005-0000-0000-0000351E0000}"/>
    <cellStyle name="Normal 8 5 3 2 2 2" xfId="15862" xr:uid="{8960807F-EBEC-485F-8B38-E0E08648DB8D}"/>
    <cellStyle name="Normal 8 5 3 2 3" xfId="11644" xr:uid="{CC241F83-4552-42DD-A00A-7E853053673A}"/>
    <cellStyle name="Normal 8 5 3 3" xfId="5288" xr:uid="{00000000-0005-0000-0000-0000361E0000}"/>
    <cellStyle name="Normal 8 5 3 3 2" xfId="13717" xr:uid="{CC9CE27D-AC49-4657-8784-0B18898408EE}"/>
    <cellStyle name="Normal 8 5 3 4" xfId="9499" xr:uid="{B5751AB2-94E1-4C7D-AEDA-D24B1A741F22}"/>
    <cellStyle name="Normal 8 5 4" xfId="1392" xr:uid="{00000000-0005-0000-0000-0000371E0000}"/>
    <cellStyle name="Normal 8 5 4 2" xfId="3622" xr:uid="{00000000-0005-0000-0000-0000381E0000}"/>
    <cellStyle name="Normal 8 5 4 2 2" xfId="7846" xr:uid="{00000000-0005-0000-0000-0000391E0000}"/>
    <cellStyle name="Normal 8 5 4 2 2 2" xfId="16275" xr:uid="{50831CF5-61CF-4398-B6DD-99D91A72FF04}"/>
    <cellStyle name="Normal 8 5 4 2 3" xfId="12057" xr:uid="{D519CDB1-D293-46ED-AE45-60FA7F8ABEB8}"/>
    <cellStyle name="Normal 8 5 4 3" xfId="5701" xr:uid="{00000000-0005-0000-0000-00003A1E0000}"/>
    <cellStyle name="Normal 8 5 4 3 2" xfId="14130" xr:uid="{1026BD42-32E9-4D9B-BB9D-E3148EF37A4B}"/>
    <cellStyle name="Normal 8 5 4 4" xfId="9912" xr:uid="{A2CCC053-C052-4A47-B252-C15539B45427}"/>
    <cellStyle name="Normal 8 5 5" xfId="1805" xr:uid="{00000000-0005-0000-0000-00003B1E0000}"/>
    <cellStyle name="Normal 8 5 5 2" xfId="4035" xr:uid="{00000000-0005-0000-0000-00003C1E0000}"/>
    <cellStyle name="Normal 8 5 5 2 2" xfId="8259" xr:uid="{00000000-0005-0000-0000-00003D1E0000}"/>
    <cellStyle name="Normal 8 5 5 2 2 2" xfId="16688" xr:uid="{B429DE84-2725-4B4B-8A62-FE9D1E201950}"/>
    <cellStyle name="Normal 8 5 5 2 3" xfId="12470" xr:uid="{7658EBD1-7228-47ED-BD08-075D38362157}"/>
    <cellStyle name="Normal 8 5 5 3" xfId="6114" xr:uid="{00000000-0005-0000-0000-00003E1E0000}"/>
    <cellStyle name="Normal 8 5 5 3 2" xfId="14543" xr:uid="{1916A09B-A98C-47D3-B345-DAEC1EBA10DD}"/>
    <cellStyle name="Normal 8 5 5 4" xfId="10325" xr:uid="{C9AEDE3A-BE9E-49EF-A83D-DC31BDC7923B}"/>
    <cellStyle name="Normal 8 5 6" xfId="2219" xr:uid="{00000000-0005-0000-0000-00003F1E0000}"/>
    <cellStyle name="Normal 8 5 6 2" xfId="4448" xr:uid="{00000000-0005-0000-0000-0000401E0000}"/>
    <cellStyle name="Normal 8 5 6 2 2" xfId="8672" xr:uid="{00000000-0005-0000-0000-0000411E0000}"/>
    <cellStyle name="Normal 8 5 6 2 2 2" xfId="17101" xr:uid="{84BD5B2E-51F2-464A-A15D-DB11466F623B}"/>
    <cellStyle name="Normal 8 5 6 2 3" xfId="12883" xr:uid="{32137C5E-2337-4EA9-B37F-07C825DE3BDC}"/>
    <cellStyle name="Normal 8 5 6 3" xfId="6527" xr:uid="{00000000-0005-0000-0000-0000421E0000}"/>
    <cellStyle name="Normal 8 5 6 3 2" xfId="14956" xr:uid="{D53A8CB9-26EB-420D-90FD-123066DEF6C3}"/>
    <cellStyle name="Normal 8 5 6 4" xfId="10738" xr:uid="{CA690CC3-443E-4761-97C8-B5DB2FC00C46}"/>
    <cellStyle name="Normal 8 5 7" xfId="2655" xr:uid="{00000000-0005-0000-0000-0000431E0000}"/>
    <cellStyle name="Normal 8 5 7 2" xfId="6940" xr:uid="{00000000-0005-0000-0000-0000441E0000}"/>
    <cellStyle name="Normal 8 5 7 2 2" xfId="15369" xr:uid="{60E9E07A-796D-46C5-99DB-874C0C587D36}"/>
    <cellStyle name="Normal 8 5 7 3" xfId="11151" xr:uid="{2F74B44F-B844-40EB-AF75-B672C2EAFAF9}"/>
    <cellStyle name="Normal 8 5 8" xfId="4875" xr:uid="{00000000-0005-0000-0000-0000451E0000}"/>
    <cellStyle name="Normal 8 5 8 2" xfId="13304" xr:uid="{1BE07D34-F736-467B-A07E-4AA8DF1C90BE}"/>
    <cellStyle name="Normal 8 5 9" xfId="9086" xr:uid="{7AA62A71-A6F1-4FB1-BAF0-20887A561419}"/>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ACD34305-BD49-4A13-ADBC-84EAC7D50773}"/>
    <cellStyle name="Normal 8 6 2 2 3" xfId="11646" xr:uid="{13F96B15-1FAF-46BC-AD3C-F08247D2A6AC}"/>
    <cellStyle name="Normal 8 6 2 3" xfId="5290" xr:uid="{00000000-0005-0000-0000-00004A1E0000}"/>
    <cellStyle name="Normal 8 6 2 3 2" xfId="13719" xr:uid="{D7D3C35A-3A3C-4293-A0B4-170E1941645B}"/>
    <cellStyle name="Normal 8 6 2 4" xfId="9501" xr:uid="{A82E40BF-5A7D-4394-BF16-55324638595E}"/>
    <cellStyle name="Normal 8 6 3" xfId="1394" xr:uid="{00000000-0005-0000-0000-00004B1E0000}"/>
    <cellStyle name="Normal 8 6 3 2" xfId="3624" xr:uid="{00000000-0005-0000-0000-00004C1E0000}"/>
    <cellStyle name="Normal 8 6 3 2 2" xfId="7848" xr:uid="{00000000-0005-0000-0000-00004D1E0000}"/>
    <cellStyle name="Normal 8 6 3 2 2 2" xfId="16277" xr:uid="{31615E25-1957-4B2E-A5F0-0C14F92190FF}"/>
    <cellStyle name="Normal 8 6 3 2 3" xfId="12059" xr:uid="{F00DC603-D22F-49E8-A2A6-A48D59EB18B9}"/>
    <cellStyle name="Normal 8 6 3 3" xfId="5703" xr:uid="{00000000-0005-0000-0000-00004E1E0000}"/>
    <cellStyle name="Normal 8 6 3 3 2" xfId="14132" xr:uid="{11D147FB-3EB2-423E-AAC4-CA7D2CC5DB45}"/>
    <cellStyle name="Normal 8 6 3 4" xfId="9914" xr:uid="{CFA5C85E-2FC3-4760-9C77-5642B14EC5DC}"/>
    <cellStyle name="Normal 8 6 4" xfId="1807" xr:uid="{00000000-0005-0000-0000-00004F1E0000}"/>
    <cellStyle name="Normal 8 6 4 2" xfId="4037" xr:uid="{00000000-0005-0000-0000-0000501E0000}"/>
    <cellStyle name="Normal 8 6 4 2 2" xfId="8261" xr:uid="{00000000-0005-0000-0000-0000511E0000}"/>
    <cellStyle name="Normal 8 6 4 2 2 2" xfId="16690" xr:uid="{9256DF0A-9D12-4B7E-8D14-081D970E53CB}"/>
    <cellStyle name="Normal 8 6 4 2 3" xfId="12472" xr:uid="{4A906B69-5968-4954-9E90-3B97F4874302}"/>
    <cellStyle name="Normal 8 6 4 3" xfId="6116" xr:uid="{00000000-0005-0000-0000-0000521E0000}"/>
    <cellStyle name="Normal 8 6 4 3 2" xfId="14545" xr:uid="{DE3380AC-C7B4-444D-AB64-BB4DCA8546A2}"/>
    <cellStyle name="Normal 8 6 4 4" xfId="10327" xr:uid="{2D92CA3A-C4AA-441A-A959-7D277972692E}"/>
    <cellStyle name="Normal 8 6 5" xfId="2221" xr:uid="{00000000-0005-0000-0000-0000531E0000}"/>
    <cellStyle name="Normal 8 6 5 2" xfId="4450" xr:uid="{00000000-0005-0000-0000-0000541E0000}"/>
    <cellStyle name="Normal 8 6 5 2 2" xfId="8674" xr:uid="{00000000-0005-0000-0000-0000551E0000}"/>
    <cellStyle name="Normal 8 6 5 2 2 2" xfId="17103" xr:uid="{60108085-3E03-49D7-85A0-07EF9A281C1D}"/>
    <cellStyle name="Normal 8 6 5 2 3" xfId="12885" xr:uid="{A12A851F-1B45-4FE2-84B5-2BED19C6E682}"/>
    <cellStyle name="Normal 8 6 5 3" xfId="6529" xr:uid="{00000000-0005-0000-0000-0000561E0000}"/>
    <cellStyle name="Normal 8 6 5 3 2" xfId="14958" xr:uid="{43F0692D-5C2F-45FD-A88F-CEB1D034CF70}"/>
    <cellStyle name="Normal 8 6 5 4" xfId="10740" xr:uid="{6B28B68D-2B0F-47C0-891B-4B7CD2565A48}"/>
    <cellStyle name="Normal 8 6 6" xfId="2657" xr:uid="{00000000-0005-0000-0000-0000571E0000}"/>
    <cellStyle name="Normal 8 6 6 2" xfId="6942" xr:uid="{00000000-0005-0000-0000-0000581E0000}"/>
    <cellStyle name="Normal 8 6 6 2 2" xfId="15371" xr:uid="{CBCAE966-01EA-4F2E-BC4A-0BC0528000F9}"/>
    <cellStyle name="Normal 8 6 6 3" xfId="11153" xr:uid="{23B4280D-700E-4F63-84A2-58B505523FBA}"/>
    <cellStyle name="Normal 8 6 7" xfId="4877" xr:uid="{00000000-0005-0000-0000-0000591E0000}"/>
    <cellStyle name="Normal 8 6 7 2" xfId="13306" xr:uid="{AF34F720-7A06-4A26-B1E3-C2F4C52E0F89}"/>
    <cellStyle name="Normal 8 6 8" xfId="9088" xr:uid="{45CAC831-5A00-465F-BF13-E4CCABF27605}"/>
    <cellStyle name="Normal 8 7" xfId="946" xr:uid="{00000000-0005-0000-0000-00005A1E0000}"/>
    <cellStyle name="Normal 8 7 2" xfId="3180" xr:uid="{00000000-0005-0000-0000-00005B1E0000}"/>
    <cellStyle name="Normal 8 7 2 2" xfId="7404" xr:uid="{00000000-0005-0000-0000-00005C1E0000}"/>
    <cellStyle name="Normal 8 7 2 2 2" xfId="15833" xr:uid="{CA71C315-AE61-4CD3-B107-CBA86DC7BA54}"/>
    <cellStyle name="Normal 8 7 2 3" xfId="11615" xr:uid="{3AA1491E-7B8B-40DB-A504-E3D3E956D3E8}"/>
    <cellStyle name="Normal 8 7 3" xfId="5259" xr:uid="{00000000-0005-0000-0000-00005D1E0000}"/>
    <cellStyle name="Normal 8 7 3 2" xfId="13688" xr:uid="{76E029F4-8DD7-46AC-8B5B-27440F8C6A26}"/>
    <cellStyle name="Normal 8 7 4" xfId="9470" xr:uid="{D186CAF0-07D8-4C7F-8464-6E32AAC88F23}"/>
    <cellStyle name="Normal 8 8" xfId="1363" xr:uid="{00000000-0005-0000-0000-00005E1E0000}"/>
    <cellStyle name="Normal 8 8 2" xfId="3593" xr:uid="{00000000-0005-0000-0000-00005F1E0000}"/>
    <cellStyle name="Normal 8 8 2 2" xfId="7817" xr:uid="{00000000-0005-0000-0000-0000601E0000}"/>
    <cellStyle name="Normal 8 8 2 2 2" xfId="16246" xr:uid="{5A8A2329-5975-4FF4-8A11-C33DB4E30D61}"/>
    <cellStyle name="Normal 8 8 2 3" xfId="12028" xr:uid="{90A0E82F-C6A3-452A-B341-4409F387EC71}"/>
    <cellStyle name="Normal 8 8 3" xfId="5672" xr:uid="{00000000-0005-0000-0000-0000611E0000}"/>
    <cellStyle name="Normal 8 8 3 2" xfId="14101" xr:uid="{0AEFDF78-2438-48E9-8FE6-A7136D6663A4}"/>
    <cellStyle name="Normal 8 8 4" xfId="9883" xr:uid="{84682FBC-6DAA-4064-8914-D9D7A49E6847}"/>
    <cellStyle name="Normal 8 9" xfId="1776" xr:uid="{00000000-0005-0000-0000-0000621E0000}"/>
    <cellStyle name="Normal 8 9 2" xfId="4006" xr:uid="{00000000-0005-0000-0000-0000631E0000}"/>
    <cellStyle name="Normal 8 9 2 2" xfId="8230" xr:uid="{00000000-0005-0000-0000-0000641E0000}"/>
    <cellStyle name="Normal 8 9 2 2 2" xfId="16659" xr:uid="{C9C091A1-FF14-41EA-A58A-CFE31981C1AD}"/>
    <cellStyle name="Normal 8 9 2 3" xfId="12441" xr:uid="{09C0DA37-B1AA-4C80-9A02-8611A273E745}"/>
    <cellStyle name="Normal 8 9 3" xfId="6085" xr:uid="{00000000-0005-0000-0000-0000651E0000}"/>
    <cellStyle name="Normal 8 9 3 2" xfId="14514" xr:uid="{666A4F99-D284-4361-92B9-9CEDC3EB6455}"/>
    <cellStyle name="Normal 8 9 4" xfId="10296" xr:uid="{73392256-543F-4035-B1E4-7E017517B161}"/>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D628D041-9148-4E7D-81F4-76E0620FC0F8}"/>
    <cellStyle name="Normal 9 2 10 3" xfId="11154" xr:uid="{DAE4BB8D-8B29-4927-BFCF-B5A7F888D661}"/>
    <cellStyle name="Normal 9 2 11" xfId="4878" xr:uid="{00000000-0005-0000-0000-00006A1E0000}"/>
    <cellStyle name="Normal 9 2 11 2" xfId="13307" xr:uid="{7F1614DA-396E-4F67-B0FC-6105E3C558E4}"/>
    <cellStyle name="Normal 9 2 12" xfId="9089" xr:uid="{525B8B59-2E20-4E3F-86B4-042A51DEE36A}"/>
    <cellStyle name="Normal 9 2 2" xfId="512" xr:uid="{00000000-0005-0000-0000-00006B1E0000}"/>
    <cellStyle name="Normal 9 2 2 10" xfId="4879" xr:uid="{00000000-0005-0000-0000-00006C1E0000}"/>
    <cellStyle name="Normal 9 2 2 10 2" xfId="13308" xr:uid="{7EBFAE79-4385-4DAE-9FF1-49E4B0757F6C}"/>
    <cellStyle name="Normal 9 2 2 11" xfId="9090" xr:uid="{D12FCCCB-EF60-46A3-90FF-2C2AFB845481}"/>
    <cellStyle name="Normal 9 2 2 2" xfId="513" xr:uid="{00000000-0005-0000-0000-00006D1E0000}"/>
    <cellStyle name="Normal 9 2 2 2 10" xfId="9091" xr:uid="{185A221F-B46B-4E5C-9414-11A628D799C9}"/>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19DF40C9-2BEC-492D-BC34-2BDB7EA1D05F}"/>
    <cellStyle name="Normal 9 2 2 2 2 2 2 2 3" xfId="11651" xr:uid="{F8F70DA6-539F-479E-BB07-05CD6990DC6A}"/>
    <cellStyle name="Normal 9 2 2 2 2 2 2 3" xfId="5295" xr:uid="{00000000-0005-0000-0000-0000731E0000}"/>
    <cellStyle name="Normal 9 2 2 2 2 2 2 3 2" xfId="13724" xr:uid="{DE94BA13-14E8-44DF-9C77-C7D1B3A0EECA}"/>
    <cellStyle name="Normal 9 2 2 2 2 2 2 4" xfId="9506" xr:uid="{419077AB-ABFA-4163-9C11-4DF14C3C7EF3}"/>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71DFE365-1087-4859-B2F8-E0F5E44808CA}"/>
    <cellStyle name="Normal 9 2 2 2 2 2 3 2 3" xfId="12064" xr:uid="{F0E946E2-40C9-42D2-8DA6-A152BDE10D70}"/>
    <cellStyle name="Normal 9 2 2 2 2 2 3 3" xfId="5708" xr:uid="{00000000-0005-0000-0000-0000771E0000}"/>
    <cellStyle name="Normal 9 2 2 2 2 2 3 3 2" xfId="14137" xr:uid="{72F53B37-92FB-4E17-A565-1B5B57B33904}"/>
    <cellStyle name="Normal 9 2 2 2 2 2 3 4" xfId="9919" xr:uid="{F3102D41-9454-48AE-9CF4-1FF5FA280B71}"/>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AA762396-CF98-439B-A0F0-2D8F549B45F0}"/>
    <cellStyle name="Normal 9 2 2 2 2 2 4 2 3" xfId="12477" xr:uid="{0B79D4E7-71FF-43B6-9517-46CB9F3FBE39}"/>
    <cellStyle name="Normal 9 2 2 2 2 2 4 3" xfId="6121" xr:uid="{00000000-0005-0000-0000-00007B1E0000}"/>
    <cellStyle name="Normal 9 2 2 2 2 2 4 3 2" xfId="14550" xr:uid="{5C297B85-90F3-4E59-93BA-3DA7AA87F873}"/>
    <cellStyle name="Normal 9 2 2 2 2 2 4 4" xfId="10332" xr:uid="{22E13893-35B1-40DA-BC3B-BA8EF611E96C}"/>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CE8DD8CC-0FF2-4761-B442-323C591C93D9}"/>
    <cellStyle name="Normal 9 2 2 2 2 2 5 2 3" xfId="12890" xr:uid="{24DFF2C0-4110-4857-98B4-E800064F1A40}"/>
    <cellStyle name="Normal 9 2 2 2 2 2 5 3" xfId="6534" xr:uid="{00000000-0005-0000-0000-00007F1E0000}"/>
    <cellStyle name="Normal 9 2 2 2 2 2 5 3 2" xfId="14963" xr:uid="{18EC8162-B115-45C0-84A4-E390FD54189E}"/>
    <cellStyle name="Normal 9 2 2 2 2 2 5 4" xfId="10745" xr:uid="{F0BFA4A8-8EF5-4C22-A0A3-F703E028CEC0}"/>
    <cellStyle name="Normal 9 2 2 2 2 2 6" xfId="2662" xr:uid="{00000000-0005-0000-0000-0000801E0000}"/>
    <cellStyle name="Normal 9 2 2 2 2 2 6 2" xfId="6947" xr:uid="{00000000-0005-0000-0000-0000811E0000}"/>
    <cellStyle name="Normal 9 2 2 2 2 2 6 2 2" xfId="15376" xr:uid="{8FA37F3D-67D9-4257-9134-FF323D13CB7C}"/>
    <cellStyle name="Normal 9 2 2 2 2 2 6 3" xfId="11158" xr:uid="{E3CD68D6-4B1F-4774-9C01-27D701C96ADA}"/>
    <cellStyle name="Normal 9 2 2 2 2 2 7" xfId="4882" xr:uid="{00000000-0005-0000-0000-0000821E0000}"/>
    <cellStyle name="Normal 9 2 2 2 2 2 7 2" xfId="13311" xr:uid="{83D36E6A-952B-4EE5-8B35-18122AE31D16}"/>
    <cellStyle name="Normal 9 2 2 2 2 2 8" xfId="9093" xr:uid="{D9F8A05A-5F34-44D9-B4EA-B7EEE0E9936B}"/>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04CB7E05-8D7C-44C9-94ED-B66FA234D7A3}"/>
    <cellStyle name="Normal 9 2 2 2 2 3 2 3" xfId="11650" xr:uid="{2D177A90-104D-4119-AB41-DD3B7C61A6CC}"/>
    <cellStyle name="Normal 9 2 2 2 2 3 3" xfId="5294" xr:uid="{00000000-0005-0000-0000-0000861E0000}"/>
    <cellStyle name="Normal 9 2 2 2 2 3 3 2" xfId="13723" xr:uid="{2C76D278-9865-404C-95CD-499442637692}"/>
    <cellStyle name="Normal 9 2 2 2 2 3 4" xfId="9505" xr:uid="{EEC652AB-8458-4552-A4BA-1FA38355361F}"/>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6AEBF248-9BF4-4DAC-B8D5-7AA1771C63E3}"/>
    <cellStyle name="Normal 9 2 2 2 2 4 2 3" xfId="12063" xr:uid="{449651D0-F9FE-4098-8947-FF612212C31B}"/>
    <cellStyle name="Normal 9 2 2 2 2 4 3" xfId="5707" xr:uid="{00000000-0005-0000-0000-00008A1E0000}"/>
    <cellStyle name="Normal 9 2 2 2 2 4 3 2" xfId="14136" xr:uid="{FBAFCD26-1AA1-428A-929F-141CE80EC69C}"/>
    <cellStyle name="Normal 9 2 2 2 2 4 4" xfId="9918" xr:uid="{92736E6D-80B9-4ED5-9373-A7BEF5CBA273}"/>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F08305BE-F516-45AE-B2DC-32FB545398BE}"/>
    <cellStyle name="Normal 9 2 2 2 2 5 2 3" xfId="12476" xr:uid="{260439A8-451D-4255-9154-A5199C03A786}"/>
    <cellStyle name="Normal 9 2 2 2 2 5 3" xfId="6120" xr:uid="{00000000-0005-0000-0000-00008E1E0000}"/>
    <cellStyle name="Normal 9 2 2 2 2 5 3 2" xfId="14549" xr:uid="{7C6D7EE4-8D1B-4917-9503-CAAD0680C22E}"/>
    <cellStyle name="Normal 9 2 2 2 2 5 4" xfId="10331" xr:uid="{78C96115-E954-49BD-9355-816AF576FE3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AE5862EA-B851-400C-9A6C-0A65819BD77C}"/>
    <cellStyle name="Normal 9 2 2 2 2 6 2 3" xfId="12889" xr:uid="{006AF285-404D-4A6C-8358-E1E7CDAB3B4F}"/>
    <cellStyle name="Normal 9 2 2 2 2 6 3" xfId="6533" xr:uid="{00000000-0005-0000-0000-0000921E0000}"/>
    <cellStyle name="Normal 9 2 2 2 2 6 3 2" xfId="14962" xr:uid="{31B5DD1E-AC05-434B-B312-4BA65C0C5343}"/>
    <cellStyle name="Normal 9 2 2 2 2 6 4" xfId="10744" xr:uid="{F2EDA798-1DF4-4A47-940F-5EFD99E88770}"/>
    <cellStyle name="Normal 9 2 2 2 2 7" xfId="2661" xr:uid="{00000000-0005-0000-0000-0000931E0000}"/>
    <cellStyle name="Normal 9 2 2 2 2 7 2" xfId="6946" xr:uid="{00000000-0005-0000-0000-0000941E0000}"/>
    <cellStyle name="Normal 9 2 2 2 2 7 2 2" xfId="15375" xr:uid="{2F0A5AFD-2B62-4417-A6FC-A44DDFFE0301}"/>
    <cellStyle name="Normal 9 2 2 2 2 7 3" xfId="11157" xr:uid="{B4794E74-DAED-41C2-BAE2-1FC6E46E58DA}"/>
    <cellStyle name="Normal 9 2 2 2 2 8" xfId="4881" xr:uid="{00000000-0005-0000-0000-0000951E0000}"/>
    <cellStyle name="Normal 9 2 2 2 2 8 2" xfId="13310" xr:uid="{8E504DFF-4D99-4195-B779-BA4AB0EA2DA6}"/>
    <cellStyle name="Normal 9 2 2 2 2 9" xfId="9092" xr:uid="{53DF4AFB-4158-44C0-95CF-54A413755476}"/>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52F1886F-AB15-4BB4-8E7C-ACED5689244F}"/>
    <cellStyle name="Normal 9 2 2 2 3 2 2 3" xfId="11652" xr:uid="{5E76325F-2B73-4EE1-8B6D-F2D00123D846}"/>
    <cellStyle name="Normal 9 2 2 2 3 2 3" xfId="5296" xr:uid="{00000000-0005-0000-0000-00009A1E0000}"/>
    <cellStyle name="Normal 9 2 2 2 3 2 3 2" xfId="13725" xr:uid="{47C03BD4-E39A-46D0-B3A7-5AA05C57ED9F}"/>
    <cellStyle name="Normal 9 2 2 2 3 2 4" xfId="9507" xr:uid="{9BE79990-DFF6-42E5-AF8A-98F1E9C3AC16}"/>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FB04D9BA-3108-40D7-A162-F871626CBAE9}"/>
    <cellStyle name="Normal 9 2 2 2 3 3 2 3" xfId="12065" xr:uid="{70BE5BD3-ACA5-423F-A839-1D7F2387DCCB}"/>
    <cellStyle name="Normal 9 2 2 2 3 3 3" xfId="5709" xr:uid="{00000000-0005-0000-0000-00009E1E0000}"/>
    <cellStyle name="Normal 9 2 2 2 3 3 3 2" xfId="14138" xr:uid="{E7271484-D279-4D4A-B4D5-7D5D14053062}"/>
    <cellStyle name="Normal 9 2 2 2 3 3 4" xfId="9920" xr:uid="{CF5D6279-9B18-4929-8064-79E7464872E9}"/>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65031C51-C94D-4A61-AA47-3B245F70BC74}"/>
    <cellStyle name="Normal 9 2 2 2 3 4 2 3" xfId="12478" xr:uid="{F081CA27-A78E-4D41-875F-6E6DE6AC9B58}"/>
    <cellStyle name="Normal 9 2 2 2 3 4 3" xfId="6122" xr:uid="{00000000-0005-0000-0000-0000A21E0000}"/>
    <cellStyle name="Normal 9 2 2 2 3 4 3 2" xfId="14551" xr:uid="{3F76B561-85AC-4C0C-9A6C-19909361028D}"/>
    <cellStyle name="Normal 9 2 2 2 3 4 4" xfId="10333" xr:uid="{77E38F09-1B29-491C-9A81-1FD0A559AF4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94C241D9-8B5E-4C8B-A45F-8CBE95BEE6F8}"/>
    <cellStyle name="Normal 9 2 2 2 3 5 2 3" xfId="12891" xr:uid="{4127C9A5-8946-42E5-92D7-2A49C557C06F}"/>
    <cellStyle name="Normal 9 2 2 2 3 5 3" xfId="6535" xr:uid="{00000000-0005-0000-0000-0000A61E0000}"/>
    <cellStyle name="Normal 9 2 2 2 3 5 3 2" xfId="14964" xr:uid="{D435A835-B2CD-4A57-B62E-A5845C28E85D}"/>
    <cellStyle name="Normal 9 2 2 2 3 5 4" xfId="10746" xr:uid="{1E2FB291-098F-4782-B1AA-CB2EA0109860}"/>
    <cellStyle name="Normal 9 2 2 2 3 6" xfId="2663" xr:uid="{00000000-0005-0000-0000-0000A71E0000}"/>
    <cellStyle name="Normal 9 2 2 2 3 6 2" xfId="6948" xr:uid="{00000000-0005-0000-0000-0000A81E0000}"/>
    <cellStyle name="Normal 9 2 2 2 3 6 2 2" xfId="15377" xr:uid="{9D93BBCB-F1CB-44CC-BE60-6F099D848BDB}"/>
    <cellStyle name="Normal 9 2 2 2 3 6 3" xfId="11159" xr:uid="{F987722C-AAF1-4DB0-8C82-E25A9AA42AE8}"/>
    <cellStyle name="Normal 9 2 2 2 3 7" xfId="4883" xr:uid="{00000000-0005-0000-0000-0000A91E0000}"/>
    <cellStyle name="Normal 9 2 2 2 3 7 2" xfId="13312" xr:uid="{BB17DF89-FCA6-478A-B584-3AF828498365}"/>
    <cellStyle name="Normal 9 2 2 2 3 8" xfId="9094" xr:uid="{0D01FA59-CB0B-45C3-85BB-39FB3727C68D}"/>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5F86219A-9309-42F6-B983-C08CAB37C671}"/>
    <cellStyle name="Normal 9 2 2 2 4 2 3" xfId="11649" xr:uid="{32ABA7AE-03F3-4FA8-8FDF-ADDF0F36DC2F}"/>
    <cellStyle name="Normal 9 2 2 2 4 3" xfId="5293" xr:uid="{00000000-0005-0000-0000-0000AD1E0000}"/>
    <cellStyle name="Normal 9 2 2 2 4 3 2" xfId="13722" xr:uid="{E7643714-51D0-4C9D-B254-8175EF6938E0}"/>
    <cellStyle name="Normal 9 2 2 2 4 4" xfId="9504" xr:uid="{0A14E853-3343-4FE0-B28A-60EE9FB26130}"/>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E47EA8F5-34BA-4B33-9C4D-497BDA1E9340}"/>
    <cellStyle name="Normal 9 2 2 2 5 2 3" xfId="12062" xr:uid="{651C054E-135B-4CAD-A51C-6C7A6472F918}"/>
    <cellStyle name="Normal 9 2 2 2 5 3" xfId="5706" xr:uid="{00000000-0005-0000-0000-0000B11E0000}"/>
    <cellStyle name="Normal 9 2 2 2 5 3 2" xfId="14135" xr:uid="{4512ED8D-B74B-4CE4-A88E-BC8B4072CA71}"/>
    <cellStyle name="Normal 9 2 2 2 5 4" xfId="9917" xr:uid="{D50B31E2-D39F-4C4C-B114-0269B2F02055}"/>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19BF5563-B50E-45CC-A1AF-0A2E2671A319}"/>
    <cellStyle name="Normal 9 2 2 2 6 2 3" xfId="12475" xr:uid="{75A3D365-A3B1-4FCF-AA8D-621FC13F679C}"/>
    <cellStyle name="Normal 9 2 2 2 6 3" xfId="6119" xr:uid="{00000000-0005-0000-0000-0000B51E0000}"/>
    <cellStyle name="Normal 9 2 2 2 6 3 2" xfId="14548" xr:uid="{90816BC1-60B9-4025-9EB0-13B4194233D7}"/>
    <cellStyle name="Normal 9 2 2 2 6 4" xfId="10330" xr:uid="{87917039-0609-4C86-9B61-7CADCFD94235}"/>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A07AF528-99C7-4BDB-9DF4-0C463DD642CD}"/>
    <cellStyle name="Normal 9 2 2 2 7 2 3" xfId="12888" xr:uid="{83D53327-42EA-48D1-BC8A-9543A338FBD0}"/>
    <cellStyle name="Normal 9 2 2 2 7 3" xfId="6532" xr:uid="{00000000-0005-0000-0000-0000B91E0000}"/>
    <cellStyle name="Normal 9 2 2 2 7 3 2" xfId="14961" xr:uid="{8AC94F78-FAF6-44F4-BF7D-16F47025C4B2}"/>
    <cellStyle name="Normal 9 2 2 2 7 4" xfId="10743" xr:uid="{400F35EF-4925-4BA9-B7A7-57B364B32C33}"/>
    <cellStyle name="Normal 9 2 2 2 8" xfId="2660" xr:uid="{00000000-0005-0000-0000-0000BA1E0000}"/>
    <cellStyle name="Normal 9 2 2 2 8 2" xfId="6945" xr:uid="{00000000-0005-0000-0000-0000BB1E0000}"/>
    <cellStyle name="Normal 9 2 2 2 8 2 2" xfId="15374" xr:uid="{5F8599D9-6352-416F-8BA0-483BC935C043}"/>
    <cellStyle name="Normal 9 2 2 2 8 3" xfId="11156" xr:uid="{BB46A425-AF9F-4032-8205-01B7BD55A8C2}"/>
    <cellStyle name="Normal 9 2 2 2 9" xfId="4880" xr:uid="{00000000-0005-0000-0000-0000BC1E0000}"/>
    <cellStyle name="Normal 9 2 2 2 9 2" xfId="13309" xr:uid="{F91F1A31-AA91-485F-8824-63E3682998B9}"/>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3DCA9A57-7AD1-4240-A723-E9300D530D34}"/>
    <cellStyle name="Normal 9 2 2 3 2 2 2 3" xfId="11654" xr:uid="{B142A604-F431-4A7E-A939-8BE51316D865}"/>
    <cellStyle name="Normal 9 2 2 3 2 2 3" xfId="5298" xr:uid="{00000000-0005-0000-0000-0000C21E0000}"/>
    <cellStyle name="Normal 9 2 2 3 2 2 3 2" xfId="13727" xr:uid="{ECD94801-4466-4F68-B9EB-FB5D0A01D50D}"/>
    <cellStyle name="Normal 9 2 2 3 2 2 4" xfId="9509" xr:uid="{0FD1773D-854E-4DFC-9907-0F228D764A21}"/>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DB2E8F26-4CDA-4488-A24D-A453BBA9A5B4}"/>
    <cellStyle name="Normal 9 2 2 3 2 3 2 3" xfId="12067" xr:uid="{FD739365-FF3D-418A-A142-A00EB734E154}"/>
    <cellStyle name="Normal 9 2 2 3 2 3 3" xfId="5711" xr:uid="{00000000-0005-0000-0000-0000C61E0000}"/>
    <cellStyle name="Normal 9 2 2 3 2 3 3 2" xfId="14140" xr:uid="{FCB023D1-6BB8-41CE-BB14-6FBC0B20F0E2}"/>
    <cellStyle name="Normal 9 2 2 3 2 3 4" xfId="9922" xr:uid="{4379D93C-1790-4E8F-9AB7-87DE0C9443E9}"/>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B53D171F-F70B-4B65-99F2-97F69DFF4007}"/>
    <cellStyle name="Normal 9 2 2 3 2 4 2 3" xfId="12480" xr:uid="{63BF6D99-0458-4192-A023-291294DF3908}"/>
    <cellStyle name="Normal 9 2 2 3 2 4 3" xfId="6124" xr:uid="{00000000-0005-0000-0000-0000CA1E0000}"/>
    <cellStyle name="Normal 9 2 2 3 2 4 3 2" xfId="14553" xr:uid="{1074DEE7-DC46-4CBC-AB11-1C5495EC860D}"/>
    <cellStyle name="Normal 9 2 2 3 2 4 4" xfId="10335" xr:uid="{36579A8C-5A94-4FBF-BF77-4034A44E418A}"/>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9853C0BC-744A-4884-8213-9BB52249F8DD}"/>
    <cellStyle name="Normal 9 2 2 3 2 5 2 3" xfId="12893" xr:uid="{C820F970-0BB9-47FB-996E-827E451BB2E8}"/>
    <cellStyle name="Normal 9 2 2 3 2 5 3" xfId="6537" xr:uid="{00000000-0005-0000-0000-0000CE1E0000}"/>
    <cellStyle name="Normal 9 2 2 3 2 5 3 2" xfId="14966" xr:uid="{12B100ED-1149-4F75-AECC-FA5A50CF84BE}"/>
    <cellStyle name="Normal 9 2 2 3 2 5 4" xfId="10748" xr:uid="{A468125E-A936-45F4-9510-4B0501C097DA}"/>
    <cellStyle name="Normal 9 2 2 3 2 6" xfId="2665" xr:uid="{00000000-0005-0000-0000-0000CF1E0000}"/>
    <cellStyle name="Normal 9 2 2 3 2 6 2" xfId="6950" xr:uid="{00000000-0005-0000-0000-0000D01E0000}"/>
    <cellStyle name="Normal 9 2 2 3 2 6 2 2" xfId="15379" xr:uid="{DE320FA9-15C2-437D-A6CE-A21FCB37F8B2}"/>
    <cellStyle name="Normal 9 2 2 3 2 6 3" xfId="11161" xr:uid="{BA538666-8229-4392-ACAA-5C8F4E9D0D2D}"/>
    <cellStyle name="Normal 9 2 2 3 2 7" xfId="4885" xr:uid="{00000000-0005-0000-0000-0000D11E0000}"/>
    <cellStyle name="Normal 9 2 2 3 2 7 2" xfId="13314" xr:uid="{5B672FAC-ECE2-45C7-803D-C86B32532166}"/>
    <cellStyle name="Normal 9 2 2 3 2 8" xfId="9096" xr:uid="{FA126149-0200-40C7-8FEF-2BA840EB0DDE}"/>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444A1219-1CEF-4175-B17B-C964990A86A2}"/>
    <cellStyle name="Normal 9 2 2 3 3 2 3" xfId="11653" xr:uid="{B1D2CF11-24A1-46CE-AC9F-45A8E14563B3}"/>
    <cellStyle name="Normal 9 2 2 3 3 3" xfId="5297" xr:uid="{00000000-0005-0000-0000-0000D51E0000}"/>
    <cellStyle name="Normal 9 2 2 3 3 3 2" xfId="13726" xr:uid="{7CFD1ACD-52B0-4FE4-BFEE-DE1D0F96C6B9}"/>
    <cellStyle name="Normal 9 2 2 3 3 4" xfId="9508" xr:uid="{B86D10AE-5DCD-433E-8F16-770687647B07}"/>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8E6D6098-F49F-4E5A-8DAD-2C754A5A1A4C}"/>
    <cellStyle name="Normal 9 2 2 3 4 2 3" xfId="12066" xr:uid="{5EEA668E-C5BF-4602-9143-84EE2551F1E3}"/>
    <cellStyle name="Normal 9 2 2 3 4 3" xfId="5710" xr:uid="{00000000-0005-0000-0000-0000D91E0000}"/>
    <cellStyle name="Normal 9 2 2 3 4 3 2" xfId="14139" xr:uid="{7BD721F0-A219-4A10-9DFE-0D39C36AE45E}"/>
    <cellStyle name="Normal 9 2 2 3 4 4" xfId="9921" xr:uid="{5517A3FD-6646-429B-A13D-CC77F4CF9508}"/>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BD9B1DDD-0035-45F0-BA2B-6D397CE77D4D}"/>
    <cellStyle name="Normal 9 2 2 3 5 2 3" xfId="12479" xr:uid="{37BAAD87-83EE-48D9-BE10-2269ED562C43}"/>
    <cellStyle name="Normal 9 2 2 3 5 3" xfId="6123" xr:uid="{00000000-0005-0000-0000-0000DD1E0000}"/>
    <cellStyle name="Normal 9 2 2 3 5 3 2" xfId="14552" xr:uid="{F4A26D7B-16B3-4A91-8817-4C1036A88C4F}"/>
    <cellStyle name="Normal 9 2 2 3 5 4" xfId="10334" xr:uid="{DCF184CE-4521-40DE-A8B6-EC435E39421B}"/>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1B2423F9-12CF-40F3-AB10-AE1F3EC2B665}"/>
    <cellStyle name="Normal 9 2 2 3 6 2 3" xfId="12892" xr:uid="{E7C3801A-D4B7-4793-B433-88E4FF15E64E}"/>
    <cellStyle name="Normal 9 2 2 3 6 3" xfId="6536" xr:uid="{00000000-0005-0000-0000-0000E11E0000}"/>
    <cellStyle name="Normal 9 2 2 3 6 3 2" xfId="14965" xr:uid="{AF280C24-915E-4F15-AA73-2168F68357B5}"/>
    <cellStyle name="Normal 9 2 2 3 6 4" xfId="10747" xr:uid="{30A9A300-41E0-452C-A4A1-E773FD98931D}"/>
    <cellStyle name="Normal 9 2 2 3 7" xfId="2664" xr:uid="{00000000-0005-0000-0000-0000E21E0000}"/>
    <cellStyle name="Normal 9 2 2 3 7 2" xfId="6949" xr:uid="{00000000-0005-0000-0000-0000E31E0000}"/>
    <cellStyle name="Normal 9 2 2 3 7 2 2" xfId="15378" xr:uid="{3124DBDC-CF6C-4161-B281-40E4BC4307B2}"/>
    <cellStyle name="Normal 9 2 2 3 7 3" xfId="11160" xr:uid="{A8D3E674-FD2E-4225-929C-F21E9BBEE681}"/>
    <cellStyle name="Normal 9 2 2 3 8" xfId="4884" xr:uid="{00000000-0005-0000-0000-0000E41E0000}"/>
    <cellStyle name="Normal 9 2 2 3 8 2" xfId="13313" xr:uid="{69EAF67E-8C06-4EAA-8BD9-E4359C2D6CA5}"/>
    <cellStyle name="Normal 9 2 2 3 9" xfId="9095" xr:uid="{29D8F36C-6225-4814-AD99-F75A0F0A39AA}"/>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F0F817D8-1744-409C-9C39-97BEECC6F112}"/>
    <cellStyle name="Normal 9 2 2 4 2 2 3" xfId="11655" xr:uid="{9895CE11-E188-426F-B339-D20847DB5DDC}"/>
    <cellStyle name="Normal 9 2 2 4 2 3" xfId="5299" xr:uid="{00000000-0005-0000-0000-0000E91E0000}"/>
    <cellStyle name="Normal 9 2 2 4 2 3 2" xfId="13728" xr:uid="{B5823662-6E0B-4751-BEE3-40C75DFD106B}"/>
    <cellStyle name="Normal 9 2 2 4 2 4" xfId="9510" xr:uid="{EF93BA10-A5D6-431A-8FB6-3E40266B778D}"/>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ABBE64A0-277C-41F2-98C2-095B9969DE64}"/>
    <cellStyle name="Normal 9 2 2 4 3 2 3" xfId="12068" xr:uid="{FAF1C79A-8FE8-47F5-AAF9-80CB462F0B99}"/>
    <cellStyle name="Normal 9 2 2 4 3 3" xfId="5712" xr:uid="{00000000-0005-0000-0000-0000ED1E0000}"/>
    <cellStyle name="Normal 9 2 2 4 3 3 2" xfId="14141" xr:uid="{FF4C1AD6-5151-4031-8788-4840D63BE6E3}"/>
    <cellStyle name="Normal 9 2 2 4 3 4" xfId="9923" xr:uid="{F425386D-D0FF-424A-839B-61F4C7592B2F}"/>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7DC75463-9B5B-4BEB-AC59-AB120339FCA1}"/>
    <cellStyle name="Normal 9 2 2 4 4 2 3" xfId="12481" xr:uid="{BD034C32-4F20-403C-AAF5-B4F5B987E046}"/>
    <cellStyle name="Normal 9 2 2 4 4 3" xfId="6125" xr:uid="{00000000-0005-0000-0000-0000F11E0000}"/>
    <cellStyle name="Normal 9 2 2 4 4 3 2" xfId="14554" xr:uid="{B1BE360D-0DE7-4A40-ABC0-85199FD095BE}"/>
    <cellStyle name="Normal 9 2 2 4 4 4" xfId="10336" xr:uid="{60EE9066-17E0-4980-9E3B-3003946883E0}"/>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09A6CE73-9B62-4300-A37B-F3E27BBB4DA2}"/>
    <cellStyle name="Normal 9 2 2 4 5 2 3" xfId="12894" xr:uid="{3D07B3E3-BF17-4984-A3DB-D781A4B9AD21}"/>
    <cellStyle name="Normal 9 2 2 4 5 3" xfId="6538" xr:uid="{00000000-0005-0000-0000-0000F51E0000}"/>
    <cellStyle name="Normal 9 2 2 4 5 3 2" xfId="14967" xr:uid="{FAE77922-383C-4B1A-8DFE-33F921BC680F}"/>
    <cellStyle name="Normal 9 2 2 4 5 4" xfId="10749" xr:uid="{BAF3DCEC-5715-4D15-9F3F-6956A4EA8F2C}"/>
    <cellStyle name="Normal 9 2 2 4 6" xfId="2666" xr:uid="{00000000-0005-0000-0000-0000F61E0000}"/>
    <cellStyle name="Normal 9 2 2 4 6 2" xfId="6951" xr:uid="{00000000-0005-0000-0000-0000F71E0000}"/>
    <cellStyle name="Normal 9 2 2 4 6 2 2" xfId="15380" xr:uid="{A1E2E074-620C-4975-B2BD-9D1B7DEADDA6}"/>
    <cellStyle name="Normal 9 2 2 4 6 3" xfId="11162" xr:uid="{CD4F0693-AA06-4979-A531-675DF7BB48ED}"/>
    <cellStyle name="Normal 9 2 2 4 7" xfId="4886" xr:uid="{00000000-0005-0000-0000-0000F81E0000}"/>
    <cellStyle name="Normal 9 2 2 4 7 2" xfId="13315" xr:uid="{5350294C-B24D-4E7D-9D78-7E3155427C0B}"/>
    <cellStyle name="Normal 9 2 2 4 8" xfId="9097" xr:uid="{4FAFB947-35E9-4AEF-95A6-3DF13EE79BAF}"/>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A3645713-0950-4C8C-B468-AD719FF90198}"/>
    <cellStyle name="Normal 9 2 2 5 2 3" xfId="11648" xr:uid="{57B22313-E748-4246-89C6-34A688952C84}"/>
    <cellStyle name="Normal 9 2 2 5 3" xfId="5292" xr:uid="{00000000-0005-0000-0000-0000FC1E0000}"/>
    <cellStyle name="Normal 9 2 2 5 3 2" xfId="13721" xr:uid="{E78228DD-E5FE-42DB-9024-3B951544AF7C}"/>
    <cellStyle name="Normal 9 2 2 5 4" xfId="9503" xr:uid="{630D54EF-72D2-4E4B-9A31-135A6A1700FE}"/>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6B2B4BA9-049F-4E34-9B21-0338CFF1E246}"/>
    <cellStyle name="Normal 9 2 2 6 2 3" xfId="12061" xr:uid="{4B927FB9-BA48-4802-AFE6-EDC8B2F04C86}"/>
    <cellStyle name="Normal 9 2 2 6 3" xfId="5705" xr:uid="{00000000-0005-0000-0000-0000001F0000}"/>
    <cellStyle name="Normal 9 2 2 6 3 2" xfId="14134" xr:uid="{05C1A633-E7F3-443E-82DC-DAD6476B4B27}"/>
    <cellStyle name="Normal 9 2 2 6 4" xfId="9916" xr:uid="{79AB759A-9BCB-43B6-9BE1-3CE6298E6317}"/>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094A1890-19FB-4B91-9EB6-580EC6A1E2CE}"/>
    <cellStyle name="Normal 9 2 2 7 2 3" xfId="12474" xr:uid="{190BE016-6CA7-48B0-AA91-DABF3D45CE65}"/>
    <cellStyle name="Normal 9 2 2 7 3" xfId="6118" xr:uid="{00000000-0005-0000-0000-0000041F0000}"/>
    <cellStyle name="Normal 9 2 2 7 3 2" xfId="14547" xr:uid="{ADD2D8AB-7DF5-4FBE-81E1-74072835693B}"/>
    <cellStyle name="Normal 9 2 2 7 4" xfId="10329" xr:uid="{705D7B3B-E94B-4938-B266-D7639070E6FA}"/>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9D6EC49E-23A0-4528-8C07-44D8FFEA2428}"/>
    <cellStyle name="Normal 9 2 2 8 2 3" xfId="12887" xr:uid="{63DCEA13-AE78-4598-9377-D5B8AA3876C0}"/>
    <cellStyle name="Normal 9 2 2 8 3" xfId="6531" xr:uid="{00000000-0005-0000-0000-0000081F0000}"/>
    <cellStyle name="Normal 9 2 2 8 3 2" xfId="14960" xr:uid="{4B782F18-A47F-490E-89EC-5DA95BEF8DD3}"/>
    <cellStyle name="Normal 9 2 2 8 4" xfId="10742" xr:uid="{EF2D7B71-98D8-4445-AB17-767274DCFBAC}"/>
    <cellStyle name="Normal 9 2 2 9" xfId="2659" xr:uid="{00000000-0005-0000-0000-0000091F0000}"/>
    <cellStyle name="Normal 9 2 2 9 2" xfId="6944" xr:uid="{00000000-0005-0000-0000-00000A1F0000}"/>
    <cellStyle name="Normal 9 2 2 9 2 2" xfId="15373" xr:uid="{D60DBFE4-3555-4EE2-B531-06578F3141FF}"/>
    <cellStyle name="Normal 9 2 2 9 3" xfId="11155" xr:uid="{3E33E51D-EF1F-4664-B14D-9D637AD0589C}"/>
    <cellStyle name="Normal 9 2 3" xfId="520" xr:uid="{00000000-0005-0000-0000-00000B1F0000}"/>
    <cellStyle name="Normal 9 2 3 10" xfId="9098" xr:uid="{A1260A45-EA65-49B5-9180-A9361AB88C27}"/>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BE642D37-DA8F-43BB-9385-88954381EDB4}"/>
    <cellStyle name="Normal 9 2 3 2 2 2 2 3" xfId="11658" xr:uid="{BD625233-05F4-4D61-9F2D-FDD9DAA8A8A3}"/>
    <cellStyle name="Normal 9 2 3 2 2 2 3" xfId="5302" xr:uid="{00000000-0005-0000-0000-0000111F0000}"/>
    <cellStyle name="Normal 9 2 3 2 2 2 3 2" xfId="13731" xr:uid="{AD8EFFAB-C695-4D98-ABA9-2B1AB834E720}"/>
    <cellStyle name="Normal 9 2 3 2 2 2 4" xfId="9513" xr:uid="{595C14FD-7166-4BA5-BDF0-A5CED540EDD1}"/>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7053416B-2F30-4B68-80FD-F974ACAC6BD9}"/>
    <cellStyle name="Normal 9 2 3 2 2 3 2 3" xfId="12071" xr:uid="{E282F11F-7BAE-46D2-8321-0448AA176E25}"/>
    <cellStyle name="Normal 9 2 3 2 2 3 3" xfId="5715" xr:uid="{00000000-0005-0000-0000-0000151F0000}"/>
    <cellStyle name="Normal 9 2 3 2 2 3 3 2" xfId="14144" xr:uid="{CB3877B3-0AA0-4CB6-9654-81E5DCF651B6}"/>
    <cellStyle name="Normal 9 2 3 2 2 3 4" xfId="9926" xr:uid="{034B02D4-2FCE-4AEB-846C-E86B1CF17DC3}"/>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0D5689A5-E9CA-451A-9C22-0784DD9B4662}"/>
    <cellStyle name="Normal 9 2 3 2 2 4 2 3" xfId="12484" xr:uid="{A429109A-AF0F-49E4-AA07-531DD68F5064}"/>
    <cellStyle name="Normal 9 2 3 2 2 4 3" xfId="6128" xr:uid="{00000000-0005-0000-0000-0000191F0000}"/>
    <cellStyle name="Normal 9 2 3 2 2 4 3 2" xfId="14557" xr:uid="{1455B203-51CD-4DBB-B15E-4F93645A86B7}"/>
    <cellStyle name="Normal 9 2 3 2 2 4 4" xfId="10339" xr:uid="{4339E352-D3CD-4A39-9CA8-3B355FA76E14}"/>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C1FE6B5C-F0D9-4654-9B45-6378D7AE38A3}"/>
    <cellStyle name="Normal 9 2 3 2 2 5 2 3" xfId="12897" xr:uid="{40E1726F-762B-44BD-8875-F0979BDB21DD}"/>
    <cellStyle name="Normal 9 2 3 2 2 5 3" xfId="6541" xr:uid="{00000000-0005-0000-0000-00001D1F0000}"/>
    <cellStyle name="Normal 9 2 3 2 2 5 3 2" xfId="14970" xr:uid="{0F0866F8-F6C2-4442-99C1-38AC235119C6}"/>
    <cellStyle name="Normal 9 2 3 2 2 5 4" xfId="10752" xr:uid="{855B5921-4AF2-4AD1-869C-2C4443518C09}"/>
    <cellStyle name="Normal 9 2 3 2 2 6" xfId="2669" xr:uid="{00000000-0005-0000-0000-00001E1F0000}"/>
    <cellStyle name="Normal 9 2 3 2 2 6 2" xfId="6954" xr:uid="{00000000-0005-0000-0000-00001F1F0000}"/>
    <cellStyle name="Normal 9 2 3 2 2 6 2 2" xfId="15383" xr:uid="{6E41C81C-9154-450C-B11D-3AC27E155C96}"/>
    <cellStyle name="Normal 9 2 3 2 2 6 3" xfId="11165" xr:uid="{E520F987-CE11-45F2-810A-C0DBA00EA749}"/>
    <cellStyle name="Normal 9 2 3 2 2 7" xfId="4889" xr:uid="{00000000-0005-0000-0000-0000201F0000}"/>
    <cellStyle name="Normal 9 2 3 2 2 7 2" xfId="13318" xr:uid="{9ED880C5-0F98-4021-96CC-664E426D527F}"/>
    <cellStyle name="Normal 9 2 3 2 2 8" xfId="9100" xr:uid="{C9C9704D-F7CC-4797-B7F9-EBB0567DA87E}"/>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85F2F193-8981-4A69-A9E5-CBBCC55D5749}"/>
    <cellStyle name="Normal 9 2 3 2 3 2 3" xfId="11657" xr:uid="{6E78EF85-6744-4EB1-AA23-A1DC0ADDE9F9}"/>
    <cellStyle name="Normal 9 2 3 2 3 3" xfId="5301" xr:uid="{00000000-0005-0000-0000-0000241F0000}"/>
    <cellStyle name="Normal 9 2 3 2 3 3 2" xfId="13730" xr:uid="{A25F02AF-9358-4E74-B61A-D8D8E8E96105}"/>
    <cellStyle name="Normal 9 2 3 2 3 4" xfId="9512" xr:uid="{45285BAD-5625-4C6D-8953-E6BDBEF9BC9A}"/>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E2D9BE7C-91AF-401F-9B2B-066ABC6D2EEE}"/>
    <cellStyle name="Normal 9 2 3 2 4 2 3" xfId="12070" xr:uid="{3FB8E902-38B6-450B-9871-6B2F930EDC75}"/>
    <cellStyle name="Normal 9 2 3 2 4 3" xfId="5714" xr:uid="{00000000-0005-0000-0000-0000281F0000}"/>
    <cellStyle name="Normal 9 2 3 2 4 3 2" xfId="14143" xr:uid="{A6E8582B-03C2-45A6-B2C3-853506CBE1E5}"/>
    <cellStyle name="Normal 9 2 3 2 4 4" xfId="9925" xr:uid="{0C53467C-57D2-46DF-94B8-91B371458A0B}"/>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57752982-2733-4F55-9FD8-E7966BF1F039}"/>
    <cellStyle name="Normal 9 2 3 2 5 2 3" xfId="12483" xr:uid="{38EC5ACC-B73D-4ED3-9DAE-0681D4ADAC84}"/>
    <cellStyle name="Normal 9 2 3 2 5 3" xfId="6127" xr:uid="{00000000-0005-0000-0000-00002C1F0000}"/>
    <cellStyle name="Normal 9 2 3 2 5 3 2" xfId="14556" xr:uid="{3AEE5FC6-7D9F-4A37-A07E-B81FDC85314B}"/>
    <cellStyle name="Normal 9 2 3 2 5 4" xfId="10338" xr:uid="{DAFE92CB-2B49-4533-8E72-41088ECD30B5}"/>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12EF44CD-CBC8-412A-A302-703CEA3DE299}"/>
    <cellStyle name="Normal 9 2 3 2 6 2 3" xfId="12896" xr:uid="{6C986C10-384F-4323-BF1E-1F6393BD2396}"/>
    <cellStyle name="Normal 9 2 3 2 6 3" xfId="6540" xr:uid="{00000000-0005-0000-0000-0000301F0000}"/>
    <cellStyle name="Normal 9 2 3 2 6 3 2" xfId="14969" xr:uid="{6D2D5E6F-2CDE-45C9-8C2E-95F79AAEB606}"/>
    <cellStyle name="Normal 9 2 3 2 6 4" xfId="10751" xr:uid="{473D55A2-9AFD-4A2B-B72C-5DEEAF0ED311}"/>
    <cellStyle name="Normal 9 2 3 2 7" xfId="2668" xr:uid="{00000000-0005-0000-0000-0000311F0000}"/>
    <cellStyle name="Normal 9 2 3 2 7 2" xfId="6953" xr:uid="{00000000-0005-0000-0000-0000321F0000}"/>
    <cellStyle name="Normal 9 2 3 2 7 2 2" xfId="15382" xr:uid="{08A14C9E-FCB6-459D-9478-AB2AC5DA11F4}"/>
    <cellStyle name="Normal 9 2 3 2 7 3" xfId="11164" xr:uid="{CD2C992C-909B-409A-BC28-4BCA9BFEAD94}"/>
    <cellStyle name="Normal 9 2 3 2 8" xfId="4888" xr:uid="{00000000-0005-0000-0000-0000331F0000}"/>
    <cellStyle name="Normal 9 2 3 2 8 2" xfId="13317" xr:uid="{B3791B65-5BBD-4EEB-9DD7-FEC4C1E220C2}"/>
    <cellStyle name="Normal 9 2 3 2 9" xfId="9099" xr:uid="{8B519F33-01B3-4A0C-A2FD-B11EB1E11312}"/>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3F063A43-DF27-4CEE-99F8-DF4E8F0C80F5}"/>
    <cellStyle name="Normal 9 2 3 3 2 2 3" xfId="11659" xr:uid="{6EF2EDDF-4251-4655-ADAC-D6BD08263C07}"/>
    <cellStyle name="Normal 9 2 3 3 2 3" xfId="5303" xr:uid="{00000000-0005-0000-0000-0000381F0000}"/>
    <cellStyle name="Normal 9 2 3 3 2 3 2" xfId="13732" xr:uid="{4A93B745-4DFE-41B9-97F8-DF96CEAD6709}"/>
    <cellStyle name="Normal 9 2 3 3 2 4" xfId="9514" xr:uid="{6D3E9FE1-F80B-48FF-A527-687B4AA3A5EE}"/>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DF83477D-5137-4200-94A9-3CF4118D0104}"/>
    <cellStyle name="Normal 9 2 3 3 3 2 3" xfId="12072" xr:uid="{D11A3060-A1FD-4454-BE54-C02F31A1C07E}"/>
    <cellStyle name="Normal 9 2 3 3 3 3" xfId="5716" xr:uid="{00000000-0005-0000-0000-00003C1F0000}"/>
    <cellStyle name="Normal 9 2 3 3 3 3 2" xfId="14145" xr:uid="{78B6564C-4FAA-491E-9EBB-97F101B99609}"/>
    <cellStyle name="Normal 9 2 3 3 3 4" xfId="9927" xr:uid="{136706C9-3347-47DC-833F-CBE5B2F61B23}"/>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2CB26078-C008-487D-B332-82673E39B523}"/>
    <cellStyle name="Normal 9 2 3 3 4 2 3" xfId="12485" xr:uid="{86999366-5ADF-491B-8BFD-EB3C5B1976EC}"/>
    <cellStyle name="Normal 9 2 3 3 4 3" xfId="6129" xr:uid="{00000000-0005-0000-0000-0000401F0000}"/>
    <cellStyle name="Normal 9 2 3 3 4 3 2" xfId="14558" xr:uid="{C57F9909-F1E0-4ED5-9C43-C537737D92DD}"/>
    <cellStyle name="Normal 9 2 3 3 4 4" xfId="10340" xr:uid="{CF48BA3D-2967-4E37-A12E-8865A8095A52}"/>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0519930E-1512-4AFB-ABFD-88700B643229}"/>
    <cellStyle name="Normal 9 2 3 3 5 2 3" xfId="12898" xr:uid="{C2E71754-430C-4464-9C9E-5410FF4CF630}"/>
    <cellStyle name="Normal 9 2 3 3 5 3" xfId="6542" xr:uid="{00000000-0005-0000-0000-0000441F0000}"/>
    <cellStyle name="Normal 9 2 3 3 5 3 2" xfId="14971" xr:uid="{293BE1EB-2A1F-4CA3-9E3A-8537CE478D38}"/>
    <cellStyle name="Normal 9 2 3 3 5 4" xfId="10753" xr:uid="{1D7A343D-1FA8-4033-8217-DA52C542B9A5}"/>
    <cellStyle name="Normal 9 2 3 3 6" xfId="2670" xr:uid="{00000000-0005-0000-0000-0000451F0000}"/>
    <cellStyle name="Normal 9 2 3 3 6 2" xfId="6955" xr:uid="{00000000-0005-0000-0000-0000461F0000}"/>
    <cellStyle name="Normal 9 2 3 3 6 2 2" xfId="15384" xr:uid="{F55C1BE5-667D-4FA3-A7DC-D6ACDE27E7C9}"/>
    <cellStyle name="Normal 9 2 3 3 6 3" xfId="11166" xr:uid="{7834136B-2341-4984-BFBE-FC99D7469D02}"/>
    <cellStyle name="Normal 9 2 3 3 7" xfId="4890" xr:uid="{00000000-0005-0000-0000-0000471F0000}"/>
    <cellStyle name="Normal 9 2 3 3 7 2" xfId="13319" xr:uid="{E0EBF8A4-D7F0-4600-A67D-E4B4095694AD}"/>
    <cellStyle name="Normal 9 2 3 3 8" xfId="9101" xr:uid="{4C6B0AEE-B76E-4B9B-9AC1-482CFC95D48C}"/>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21E108AE-86EA-45D9-BEF1-FA1E186FC136}"/>
    <cellStyle name="Normal 9 2 3 4 2 3" xfId="11656" xr:uid="{DDC6B202-5982-4EB4-B2DB-ECDA128EC7AB}"/>
    <cellStyle name="Normal 9 2 3 4 3" xfId="5300" xr:uid="{00000000-0005-0000-0000-00004B1F0000}"/>
    <cellStyle name="Normal 9 2 3 4 3 2" xfId="13729" xr:uid="{A7E7E267-5051-47BF-93EC-02C0672E7E93}"/>
    <cellStyle name="Normal 9 2 3 4 4" xfId="9511" xr:uid="{9EE8E19F-13F5-4B72-87EB-96BA24F7D30E}"/>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B0EE6710-D02D-4465-B79F-3EBBF30234A5}"/>
    <cellStyle name="Normal 9 2 3 5 2 3" xfId="12069" xr:uid="{9FE45A70-F4ED-4628-8BD0-A0BF6A9CA365}"/>
    <cellStyle name="Normal 9 2 3 5 3" xfId="5713" xr:uid="{00000000-0005-0000-0000-00004F1F0000}"/>
    <cellStyle name="Normal 9 2 3 5 3 2" xfId="14142" xr:uid="{B940CAF7-6740-4D09-968E-17B4C1EE1936}"/>
    <cellStyle name="Normal 9 2 3 5 4" xfId="9924" xr:uid="{7B7C7AEE-A9D4-45A8-B679-8407C5FC5AF1}"/>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1F3420BD-3D6C-4D3F-B101-83BEDE00507C}"/>
    <cellStyle name="Normal 9 2 3 6 2 3" xfId="12482" xr:uid="{D81EBA62-8B8C-4CD5-9DE0-74201C19D7EB}"/>
    <cellStyle name="Normal 9 2 3 6 3" xfId="6126" xr:uid="{00000000-0005-0000-0000-0000531F0000}"/>
    <cellStyle name="Normal 9 2 3 6 3 2" xfId="14555" xr:uid="{07D13D53-BF31-4905-802D-5B5D54799858}"/>
    <cellStyle name="Normal 9 2 3 6 4" xfId="10337" xr:uid="{B1F176DE-0986-4E64-9E47-7D65DEA619AC}"/>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FA0BC4EF-65DC-4FB0-87F7-6D62D4EC5D16}"/>
    <cellStyle name="Normal 9 2 3 7 2 3" xfId="12895" xr:uid="{2A70E37E-82DA-478B-8F5A-FDC540CA6D5F}"/>
    <cellStyle name="Normal 9 2 3 7 3" xfId="6539" xr:uid="{00000000-0005-0000-0000-0000571F0000}"/>
    <cellStyle name="Normal 9 2 3 7 3 2" xfId="14968" xr:uid="{37604F34-7760-400A-96F9-FCC045FD03F7}"/>
    <cellStyle name="Normal 9 2 3 7 4" xfId="10750" xr:uid="{D8D5ECFD-AF65-4374-9479-C965178BACF1}"/>
    <cellStyle name="Normal 9 2 3 8" xfId="2667" xr:uid="{00000000-0005-0000-0000-0000581F0000}"/>
    <cellStyle name="Normal 9 2 3 8 2" xfId="6952" xr:uid="{00000000-0005-0000-0000-0000591F0000}"/>
    <cellStyle name="Normal 9 2 3 8 2 2" xfId="15381" xr:uid="{F0AD1887-9264-492C-894D-94F084B388BE}"/>
    <cellStyle name="Normal 9 2 3 8 3" xfId="11163" xr:uid="{B1298645-7355-43C1-92AA-9B751522B39F}"/>
    <cellStyle name="Normal 9 2 3 9" xfId="4887" xr:uid="{00000000-0005-0000-0000-00005A1F0000}"/>
    <cellStyle name="Normal 9 2 3 9 2" xfId="13316" xr:uid="{355A2646-1002-40AE-AC29-80CE9F22D9D9}"/>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B33F12BA-3994-45A4-BE7D-E3FEDB363EA2}"/>
    <cellStyle name="Normal 9 2 4 2 2 2 3" xfId="11661" xr:uid="{079EBCFB-41E4-4A26-A6E6-5333C8B264CA}"/>
    <cellStyle name="Normal 9 2 4 2 2 3" xfId="5305" xr:uid="{00000000-0005-0000-0000-0000601F0000}"/>
    <cellStyle name="Normal 9 2 4 2 2 3 2" xfId="13734" xr:uid="{11630312-3E11-413B-923A-16702687C3FD}"/>
    <cellStyle name="Normal 9 2 4 2 2 4" xfId="9516" xr:uid="{6B76C1AA-D48C-4A5E-92F1-AD2F219DA307}"/>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8FEB0D60-6A4D-4B3E-BB89-29E4405682E3}"/>
    <cellStyle name="Normal 9 2 4 2 3 2 3" xfId="12074" xr:uid="{36360856-8334-4DFE-A4E0-6FD635A2162C}"/>
    <cellStyle name="Normal 9 2 4 2 3 3" xfId="5718" xr:uid="{00000000-0005-0000-0000-0000641F0000}"/>
    <cellStyle name="Normal 9 2 4 2 3 3 2" xfId="14147" xr:uid="{F63DEFC3-2A87-4C83-87A3-879712609A06}"/>
    <cellStyle name="Normal 9 2 4 2 3 4" xfId="9929" xr:uid="{8DD5CD98-F4AD-445A-9F72-496C2193AF5A}"/>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8976E51C-7144-4D0C-AE7E-690F614CB999}"/>
    <cellStyle name="Normal 9 2 4 2 4 2 3" xfId="12487" xr:uid="{C3001FC0-5782-4257-AAA3-112D927A7290}"/>
    <cellStyle name="Normal 9 2 4 2 4 3" xfId="6131" xr:uid="{00000000-0005-0000-0000-0000681F0000}"/>
    <cellStyle name="Normal 9 2 4 2 4 3 2" xfId="14560" xr:uid="{43595D08-23D2-449B-819C-E6DF7BC3D1A4}"/>
    <cellStyle name="Normal 9 2 4 2 4 4" xfId="10342" xr:uid="{C7A2E9DC-D098-4593-8E1E-642780A59217}"/>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7E6019FA-F50F-4F71-BE33-9BD1B076ABFB}"/>
    <cellStyle name="Normal 9 2 4 2 5 2 3" xfId="12900" xr:uid="{93D26BB9-9DE4-4644-96E6-EF054C91C92A}"/>
    <cellStyle name="Normal 9 2 4 2 5 3" xfId="6544" xr:uid="{00000000-0005-0000-0000-00006C1F0000}"/>
    <cellStyle name="Normal 9 2 4 2 5 3 2" xfId="14973" xr:uid="{5C1ACAF2-4FE7-45F3-BA4D-F81786B6FBBF}"/>
    <cellStyle name="Normal 9 2 4 2 5 4" xfId="10755" xr:uid="{FB2BC9CA-CAF9-4217-965A-A33ECE6E2B14}"/>
    <cellStyle name="Normal 9 2 4 2 6" xfId="2672" xr:uid="{00000000-0005-0000-0000-00006D1F0000}"/>
    <cellStyle name="Normal 9 2 4 2 6 2" xfId="6957" xr:uid="{00000000-0005-0000-0000-00006E1F0000}"/>
    <cellStyle name="Normal 9 2 4 2 6 2 2" xfId="15386" xr:uid="{E4B1F2E7-965A-43FD-ADCE-4967309331BC}"/>
    <cellStyle name="Normal 9 2 4 2 6 3" xfId="11168" xr:uid="{0A935A8A-EB34-475A-831D-4C61024BA0D3}"/>
    <cellStyle name="Normal 9 2 4 2 7" xfId="4892" xr:uid="{00000000-0005-0000-0000-00006F1F0000}"/>
    <cellStyle name="Normal 9 2 4 2 7 2" xfId="13321" xr:uid="{6F527922-BB9C-4BED-8D3B-7CBB11B3A5A0}"/>
    <cellStyle name="Normal 9 2 4 2 8" xfId="9103" xr:uid="{320091F0-EC6F-4FE8-A797-947BD92F6492}"/>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B1B37AAA-9363-4561-A1DD-C17BF0539C5A}"/>
    <cellStyle name="Normal 9 2 4 3 2 3" xfId="11660" xr:uid="{9502EED0-F4EF-4C88-BA10-F31725939D47}"/>
    <cellStyle name="Normal 9 2 4 3 3" xfId="5304" xr:uid="{00000000-0005-0000-0000-0000731F0000}"/>
    <cellStyle name="Normal 9 2 4 3 3 2" xfId="13733" xr:uid="{1D4DDEED-A076-41D5-BC06-7EA0323F1EA2}"/>
    <cellStyle name="Normal 9 2 4 3 4" xfId="9515" xr:uid="{BC24CDC0-EB26-429E-8816-BA592316A44D}"/>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78DA79BB-2414-433B-BECC-D1608350FE24}"/>
    <cellStyle name="Normal 9 2 4 4 2 3" xfId="12073" xr:uid="{ED6C479B-7771-4167-9FDA-9E2F2C94F129}"/>
    <cellStyle name="Normal 9 2 4 4 3" xfId="5717" xr:uid="{00000000-0005-0000-0000-0000771F0000}"/>
    <cellStyle name="Normal 9 2 4 4 3 2" xfId="14146" xr:uid="{DCE33A30-30D4-4C1D-BEF2-38F620E6B064}"/>
    <cellStyle name="Normal 9 2 4 4 4" xfId="9928" xr:uid="{49CE5F88-8FA7-4EB9-A968-D25409852E07}"/>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3C8CA7C7-9ACE-4520-A919-39B3E1DB4D9A}"/>
    <cellStyle name="Normal 9 2 4 5 2 3" xfId="12486" xr:uid="{E3D91673-07E4-40D3-BB13-ACF1885FA8EF}"/>
    <cellStyle name="Normal 9 2 4 5 3" xfId="6130" xr:uid="{00000000-0005-0000-0000-00007B1F0000}"/>
    <cellStyle name="Normal 9 2 4 5 3 2" xfId="14559" xr:uid="{52712DB6-C598-4872-8D09-6F4AD57C3A44}"/>
    <cellStyle name="Normal 9 2 4 5 4" xfId="10341" xr:uid="{0D33E5B0-7E74-4E5F-B296-FEFD1BFE40FA}"/>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EA5D9B45-0668-48F4-A063-76F27E7B935C}"/>
    <cellStyle name="Normal 9 2 4 6 2 3" xfId="12899" xr:uid="{1F6F4B86-0BD0-42B5-8396-DC1898F93322}"/>
    <cellStyle name="Normal 9 2 4 6 3" xfId="6543" xr:uid="{00000000-0005-0000-0000-00007F1F0000}"/>
    <cellStyle name="Normal 9 2 4 6 3 2" xfId="14972" xr:uid="{846DF9AF-4935-4656-A9BE-4AC058AF2B93}"/>
    <cellStyle name="Normal 9 2 4 6 4" xfId="10754" xr:uid="{F416DB5E-3EFE-45EF-9114-A3116D091721}"/>
    <cellStyle name="Normal 9 2 4 7" xfId="2671" xr:uid="{00000000-0005-0000-0000-0000801F0000}"/>
    <cellStyle name="Normal 9 2 4 7 2" xfId="6956" xr:uid="{00000000-0005-0000-0000-0000811F0000}"/>
    <cellStyle name="Normal 9 2 4 7 2 2" xfId="15385" xr:uid="{4A5957C6-55D9-488D-922F-34ED6E625DA1}"/>
    <cellStyle name="Normal 9 2 4 7 3" xfId="11167" xr:uid="{6C3D3D90-F44B-4012-B08E-97F2DA0E9657}"/>
    <cellStyle name="Normal 9 2 4 8" xfId="4891" xr:uid="{00000000-0005-0000-0000-0000821F0000}"/>
    <cellStyle name="Normal 9 2 4 8 2" xfId="13320" xr:uid="{6CC4AAC7-F777-490F-8B4E-485095510721}"/>
    <cellStyle name="Normal 9 2 4 9" xfId="9102" xr:uid="{7A573ABF-4790-43B2-A7E7-DA941F6E6FE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BADD285B-B04B-44A0-A4EF-405980AC8348}"/>
    <cellStyle name="Normal 9 2 5 2 2 3" xfId="11662" xr:uid="{DEA37AAB-5010-40CE-BAC4-A0B6D6F77C0C}"/>
    <cellStyle name="Normal 9 2 5 2 3" xfId="5306" xr:uid="{00000000-0005-0000-0000-0000871F0000}"/>
    <cellStyle name="Normal 9 2 5 2 3 2" xfId="13735" xr:uid="{F5D3F262-485E-4DBC-AE9F-9BBCFC1BC8CF}"/>
    <cellStyle name="Normal 9 2 5 2 4" xfId="9517" xr:uid="{AD89BD88-AF1C-4BE1-A2C6-CC71772FF01D}"/>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7D6D5E4A-A771-4067-8AE8-0D7A88367369}"/>
    <cellStyle name="Normal 9 2 5 3 2 3" xfId="12075" xr:uid="{2F0D2B14-8500-4533-82A0-57DFC13AC87E}"/>
    <cellStyle name="Normal 9 2 5 3 3" xfId="5719" xr:uid="{00000000-0005-0000-0000-00008B1F0000}"/>
    <cellStyle name="Normal 9 2 5 3 3 2" xfId="14148" xr:uid="{092C4D3C-C5DA-449E-B6F2-D9888FCF6C5D}"/>
    <cellStyle name="Normal 9 2 5 3 4" xfId="9930" xr:uid="{E2EF1D92-7AC2-4E95-AFF8-0EBBBF429476}"/>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E21925A1-CC65-4116-8457-9272A4F2D29A}"/>
    <cellStyle name="Normal 9 2 5 4 2 3" xfId="12488" xr:uid="{BAC0D13F-E215-41C8-BF6A-02D3F00A4554}"/>
    <cellStyle name="Normal 9 2 5 4 3" xfId="6132" xr:uid="{00000000-0005-0000-0000-00008F1F0000}"/>
    <cellStyle name="Normal 9 2 5 4 3 2" xfId="14561" xr:uid="{809D39D8-02E7-4F1A-88B9-2BE8AD423919}"/>
    <cellStyle name="Normal 9 2 5 4 4" xfId="10343" xr:uid="{9B65A5CC-8EEE-4689-91C8-EF4C06B55DE1}"/>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6442954D-5566-4096-A6C6-4CDE85149AC8}"/>
    <cellStyle name="Normal 9 2 5 5 2 3" xfId="12901" xr:uid="{58086E09-C1EA-47E3-9688-74FFBAF16E10}"/>
    <cellStyle name="Normal 9 2 5 5 3" xfId="6545" xr:uid="{00000000-0005-0000-0000-0000931F0000}"/>
    <cellStyle name="Normal 9 2 5 5 3 2" xfId="14974" xr:uid="{E4D91CAE-3B83-428C-8D95-908BB9905815}"/>
    <cellStyle name="Normal 9 2 5 5 4" xfId="10756" xr:uid="{CC3452C0-E9D2-4C72-AA03-0535B1D14322}"/>
    <cellStyle name="Normal 9 2 5 6" xfId="2673" xr:uid="{00000000-0005-0000-0000-0000941F0000}"/>
    <cellStyle name="Normal 9 2 5 6 2" xfId="6958" xr:uid="{00000000-0005-0000-0000-0000951F0000}"/>
    <cellStyle name="Normal 9 2 5 6 2 2" xfId="15387" xr:uid="{D1FF0E32-F109-4EAF-9052-1BA7C23890E5}"/>
    <cellStyle name="Normal 9 2 5 6 3" xfId="11169" xr:uid="{BE1B1417-C4FE-4F12-B597-E44F4EC9D899}"/>
    <cellStyle name="Normal 9 2 5 7" xfId="4893" xr:uid="{00000000-0005-0000-0000-0000961F0000}"/>
    <cellStyle name="Normal 9 2 5 7 2" xfId="13322" xr:uid="{177E8992-2DC0-4342-A9FD-874408358A66}"/>
    <cellStyle name="Normal 9 2 5 8" xfId="9104" xr:uid="{F7325443-F01D-4FB9-86C2-69574A5EB089}"/>
    <cellStyle name="Normal 9 2 6" xfId="979" xr:uid="{00000000-0005-0000-0000-0000971F0000}"/>
    <cellStyle name="Normal 9 2 6 2" xfId="3212" xr:uid="{00000000-0005-0000-0000-0000981F0000}"/>
    <cellStyle name="Normal 9 2 6 2 2" xfId="7436" xr:uid="{00000000-0005-0000-0000-0000991F0000}"/>
    <cellStyle name="Normal 9 2 6 2 2 2" xfId="15865" xr:uid="{BF51FC77-49C2-49A1-9D5A-46D7B2D81B1C}"/>
    <cellStyle name="Normal 9 2 6 2 3" xfId="11647" xr:uid="{810B1D5C-978F-4D71-B9F7-C2256CE71778}"/>
    <cellStyle name="Normal 9 2 6 3" xfId="5291" xr:uid="{00000000-0005-0000-0000-00009A1F0000}"/>
    <cellStyle name="Normal 9 2 6 3 2" xfId="13720" xr:uid="{EE356A87-A9F2-4CD7-B7F2-B86351FA79D1}"/>
    <cellStyle name="Normal 9 2 6 4" xfId="9502" xr:uid="{A1F9B2D6-7B52-40F5-8D54-1BF9A5193CD4}"/>
    <cellStyle name="Normal 9 2 7" xfId="1395" xr:uid="{00000000-0005-0000-0000-00009B1F0000}"/>
    <cellStyle name="Normal 9 2 7 2" xfId="3625" xr:uid="{00000000-0005-0000-0000-00009C1F0000}"/>
    <cellStyle name="Normal 9 2 7 2 2" xfId="7849" xr:uid="{00000000-0005-0000-0000-00009D1F0000}"/>
    <cellStyle name="Normal 9 2 7 2 2 2" xfId="16278" xr:uid="{6612AB57-DD00-4C1E-8D0E-05C15204E1A3}"/>
    <cellStyle name="Normal 9 2 7 2 3" xfId="12060" xr:uid="{B757888C-8121-4C78-83F7-E6FCB66C761C}"/>
    <cellStyle name="Normal 9 2 7 3" xfId="5704" xr:uid="{00000000-0005-0000-0000-00009E1F0000}"/>
    <cellStyle name="Normal 9 2 7 3 2" xfId="14133" xr:uid="{2B359FF9-1AE4-49CA-88A6-3A6AD9768259}"/>
    <cellStyle name="Normal 9 2 7 4" xfId="9915" xr:uid="{9FF03377-2400-46AA-8F5E-8E4845930AE6}"/>
    <cellStyle name="Normal 9 2 8" xfId="1808" xr:uid="{00000000-0005-0000-0000-00009F1F0000}"/>
    <cellStyle name="Normal 9 2 8 2" xfId="4038" xr:uid="{00000000-0005-0000-0000-0000A01F0000}"/>
    <cellStyle name="Normal 9 2 8 2 2" xfId="8262" xr:uid="{00000000-0005-0000-0000-0000A11F0000}"/>
    <cellStyle name="Normal 9 2 8 2 2 2" xfId="16691" xr:uid="{AA5658B4-7618-4EDB-8177-A2E42A6BFB7F}"/>
    <cellStyle name="Normal 9 2 8 2 3" xfId="12473" xr:uid="{F43EFA49-B92E-4512-A632-4DE0973B0714}"/>
    <cellStyle name="Normal 9 2 8 3" xfId="6117" xr:uid="{00000000-0005-0000-0000-0000A21F0000}"/>
    <cellStyle name="Normal 9 2 8 3 2" xfId="14546" xr:uid="{01EF6597-1486-40AA-943F-E1CA60C00962}"/>
    <cellStyle name="Normal 9 2 8 4" xfId="10328" xr:uid="{26A4E42E-9213-4F7F-AD07-57E6883D2AFD}"/>
    <cellStyle name="Normal 9 2 9" xfId="2222" xr:uid="{00000000-0005-0000-0000-0000A31F0000}"/>
    <cellStyle name="Normal 9 2 9 2" xfId="4451" xr:uid="{00000000-0005-0000-0000-0000A41F0000}"/>
    <cellStyle name="Normal 9 2 9 2 2" xfId="8675" xr:uid="{00000000-0005-0000-0000-0000A51F0000}"/>
    <cellStyle name="Normal 9 2 9 2 2 2" xfId="17104" xr:uid="{6F3D23B9-E62F-481C-BD6D-1961B73BADAC}"/>
    <cellStyle name="Normal 9 2 9 2 3" xfId="12886" xr:uid="{A96F764C-5DD9-468F-A32A-80E79E950EDA}"/>
    <cellStyle name="Normal 9 2 9 3" xfId="6530" xr:uid="{00000000-0005-0000-0000-0000A61F0000}"/>
    <cellStyle name="Normal 9 2 9 3 2" xfId="14959" xr:uid="{E9739EC6-F0EF-4771-A259-8C17D8AEDC6B}"/>
    <cellStyle name="Normal 9 2 9 4" xfId="10741" xr:uid="{F8AC46D8-B05C-46C4-813E-A6727BABC367}"/>
    <cellStyle name="Normal 9 3" xfId="527" xr:uid="{00000000-0005-0000-0000-0000A71F0000}"/>
    <cellStyle name="Normal 9 3 10" xfId="4894" xr:uid="{00000000-0005-0000-0000-0000A81F0000}"/>
    <cellStyle name="Normal 9 3 10 2" xfId="13323" xr:uid="{4E033C62-FD65-453A-AEE5-CFA692530564}"/>
    <cellStyle name="Normal 9 3 11" xfId="9105" xr:uid="{680A637E-F7AA-4E7D-BB82-572C797FA8C9}"/>
    <cellStyle name="Normal 9 3 2" xfId="528" xr:uid="{00000000-0005-0000-0000-0000A91F0000}"/>
    <cellStyle name="Normal 9 3 2 10" xfId="9106" xr:uid="{3D470ED2-846E-4343-A977-9A2D878B0BDF}"/>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DEBD2BF0-DD7D-45BA-8710-44EBDBD2D4B0}"/>
    <cellStyle name="Normal 9 3 2 2 2 2 2 3" xfId="11666" xr:uid="{225B9CAC-F56C-41E0-BE25-D5976B1818C5}"/>
    <cellStyle name="Normal 9 3 2 2 2 2 3" xfId="5310" xr:uid="{00000000-0005-0000-0000-0000AF1F0000}"/>
    <cellStyle name="Normal 9 3 2 2 2 2 3 2" xfId="13739" xr:uid="{F2FB17AC-7E15-4576-A19B-6A9A789915CD}"/>
    <cellStyle name="Normal 9 3 2 2 2 2 4" xfId="9521" xr:uid="{27E5153C-CEAC-404D-978B-11460F85FC1A}"/>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7E638112-04D5-44D8-AD38-109E6D227A6E}"/>
    <cellStyle name="Normal 9 3 2 2 2 3 2 3" xfId="12079" xr:uid="{B95216AE-95ED-475A-AAC4-74027537CFBF}"/>
    <cellStyle name="Normal 9 3 2 2 2 3 3" xfId="5723" xr:uid="{00000000-0005-0000-0000-0000B31F0000}"/>
    <cellStyle name="Normal 9 3 2 2 2 3 3 2" xfId="14152" xr:uid="{AC20067B-6411-4E05-A766-6571E9951C0F}"/>
    <cellStyle name="Normal 9 3 2 2 2 3 4" xfId="9934" xr:uid="{A1E1DE85-1917-4016-8431-1FEC3794D863}"/>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4E81AA04-7739-40EB-AF3E-2CC95007F45D}"/>
    <cellStyle name="Normal 9 3 2 2 2 4 2 3" xfId="12492" xr:uid="{5906A82E-B991-40CE-84ED-21D233D1CFAF}"/>
    <cellStyle name="Normal 9 3 2 2 2 4 3" xfId="6136" xr:uid="{00000000-0005-0000-0000-0000B71F0000}"/>
    <cellStyle name="Normal 9 3 2 2 2 4 3 2" xfId="14565" xr:uid="{F09B6FE4-E58F-4E89-8732-1C343409A703}"/>
    <cellStyle name="Normal 9 3 2 2 2 4 4" xfId="10347" xr:uid="{C6E26C8E-BC79-46F5-9123-68D57DBC11BF}"/>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10694AF4-C170-4E9A-B272-AF382C74CFA2}"/>
    <cellStyle name="Normal 9 3 2 2 2 5 2 3" xfId="12905" xr:uid="{059090F4-2395-4062-9DA1-6031CF537B15}"/>
    <cellStyle name="Normal 9 3 2 2 2 5 3" xfId="6549" xr:uid="{00000000-0005-0000-0000-0000BB1F0000}"/>
    <cellStyle name="Normal 9 3 2 2 2 5 3 2" xfId="14978" xr:uid="{82D4ED7C-FA12-4790-9690-D40103E9C12F}"/>
    <cellStyle name="Normal 9 3 2 2 2 5 4" xfId="10760" xr:uid="{ECE26A09-E866-4BB3-AED1-9C85C9F3B800}"/>
    <cellStyle name="Normal 9 3 2 2 2 6" xfId="2677" xr:uid="{00000000-0005-0000-0000-0000BC1F0000}"/>
    <cellStyle name="Normal 9 3 2 2 2 6 2" xfId="6962" xr:uid="{00000000-0005-0000-0000-0000BD1F0000}"/>
    <cellStyle name="Normal 9 3 2 2 2 6 2 2" xfId="15391" xr:uid="{19458CFC-FD5E-4FCF-BA08-89621E2EA979}"/>
    <cellStyle name="Normal 9 3 2 2 2 6 3" xfId="11173" xr:uid="{80EBBC6B-6D25-4762-A055-BB1E8A2795A7}"/>
    <cellStyle name="Normal 9 3 2 2 2 7" xfId="4897" xr:uid="{00000000-0005-0000-0000-0000BE1F0000}"/>
    <cellStyle name="Normal 9 3 2 2 2 7 2" xfId="13326" xr:uid="{A4FDCC7F-4899-4082-BB8C-F202181EAAB8}"/>
    <cellStyle name="Normal 9 3 2 2 2 8" xfId="9108" xr:uid="{489A8933-3CA6-441C-943B-128405410A29}"/>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007A17FD-D9B0-491E-BCBD-BC30369A61ED}"/>
    <cellStyle name="Normal 9 3 2 2 3 2 3" xfId="11665" xr:uid="{5B6A60EC-1A1F-4FF6-9155-EF26EF96248B}"/>
    <cellStyle name="Normal 9 3 2 2 3 3" xfId="5309" xr:uid="{00000000-0005-0000-0000-0000C21F0000}"/>
    <cellStyle name="Normal 9 3 2 2 3 3 2" xfId="13738" xr:uid="{77263C1D-18E8-47C8-B375-3498BD679435}"/>
    <cellStyle name="Normal 9 3 2 2 3 4" xfId="9520" xr:uid="{BB0A6474-90AD-4BB7-A25D-C556F856E778}"/>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745C6604-B63B-4BBC-A9BF-03254BCE3CAC}"/>
    <cellStyle name="Normal 9 3 2 2 4 2 3" xfId="12078" xr:uid="{CF4DA143-0BE4-4A5A-8C64-F6F04365B25C}"/>
    <cellStyle name="Normal 9 3 2 2 4 3" xfId="5722" xr:uid="{00000000-0005-0000-0000-0000C61F0000}"/>
    <cellStyle name="Normal 9 3 2 2 4 3 2" xfId="14151" xr:uid="{E1AE4707-1990-4641-8204-88D21E22CE4E}"/>
    <cellStyle name="Normal 9 3 2 2 4 4" xfId="9933" xr:uid="{1C7DE71F-A7D0-4690-9DE2-EBF4935A6EB8}"/>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F5B241CE-9AA1-488E-A9FC-BC2EDD4A9E93}"/>
    <cellStyle name="Normal 9 3 2 2 5 2 3" xfId="12491" xr:uid="{94A57D9B-3C0A-4EF9-B9C2-D0A893980352}"/>
    <cellStyle name="Normal 9 3 2 2 5 3" xfId="6135" xr:uid="{00000000-0005-0000-0000-0000CA1F0000}"/>
    <cellStyle name="Normal 9 3 2 2 5 3 2" xfId="14564" xr:uid="{A93FA7EF-952D-4683-8183-5C89C34E51A3}"/>
    <cellStyle name="Normal 9 3 2 2 5 4" xfId="10346" xr:uid="{DDF2321C-BC1A-42A5-8CA5-3435B3EC9901}"/>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E42DE053-0E63-4035-B066-D4F2395F4E90}"/>
    <cellStyle name="Normal 9 3 2 2 6 2 3" xfId="12904" xr:uid="{86444692-A14C-46D1-958A-F9A4F6FA35B2}"/>
    <cellStyle name="Normal 9 3 2 2 6 3" xfId="6548" xr:uid="{00000000-0005-0000-0000-0000CE1F0000}"/>
    <cellStyle name="Normal 9 3 2 2 6 3 2" xfId="14977" xr:uid="{F3F73BFE-90DF-4AB0-B7C7-6A444A31C91F}"/>
    <cellStyle name="Normal 9 3 2 2 6 4" xfId="10759" xr:uid="{6EA0B464-D508-4058-9DEC-9E8893B403E6}"/>
    <cellStyle name="Normal 9 3 2 2 7" xfId="2676" xr:uid="{00000000-0005-0000-0000-0000CF1F0000}"/>
    <cellStyle name="Normal 9 3 2 2 7 2" xfId="6961" xr:uid="{00000000-0005-0000-0000-0000D01F0000}"/>
    <cellStyle name="Normal 9 3 2 2 7 2 2" xfId="15390" xr:uid="{9F5B5A8A-FDC7-46FF-B2DF-40606AF16C68}"/>
    <cellStyle name="Normal 9 3 2 2 7 3" xfId="11172" xr:uid="{17B194F4-2FDB-4135-9829-C16B53DE5F86}"/>
    <cellStyle name="Normal 9 3 2 2 8" xfId="4896" xr:uid="{00000000-0005-0000-0000-0000D11F0000}"/>
    <cellStyle name="Normal 9 3 2 2 8 2" xfId="13325" xr:uid="{EBC75E6C-F7BC-4D2B-90F1-AB38B25B3993}"/>
    <cellStyle name="Normal 9 3 2 2 9" xfId="9107" xr:uid="{746190E0-CE2C-4043-B6E7-E033FA348BB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C1CA291C-2F75-45FC-B862-D169B48E7117}"/>
    <cellStyle name="Normal 9 3 2 3 2 2 3" xfId="11667" xr:uid="{CCD04E2B-5D0B-4302-9E80-273DBB4EE13C}"/>
    <cellStyle name="Normal 9 3 2 3 2 3" xfId="5311" xr:uid="{00000000-0005-0000-0000-0000D61F0000}"/>
    <cellStyle name="Normal 9 3 2 3 2 3 2" xfId="13740" xr:uid="{7C788602-D9E2-4FCA-9061-A27CD6CADBF0}"/>
    <cellStyle name="Normal 9 3 2 3 2 4" xfId="9522" xr:uid="{CDEDF85B-17C3-4550-BD53-8006EAB808D6}"/>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61B403A7-EA2C-422A-BCF2-7F1AE2E9BC44}"/>
    <cellStyle name="Normal 9 3 2 3 3 2 3" xfId="12080" xr:uid="{E81FDF2B-5F41-4CF4-9224-32A2C4072E3F}"/>
    <cellStyle name="Normal 9 3 2 3 3 3" xfId="5724" xr:uid="{00000000-0005-0000-0000-0000DA1F0000}"/>
    <cellStyle name="Normal 9 3 2 3 3 3 2" xfId="14153" xr:uid="{45A46647-631A-4E53-80A8-0CA484F1A39C}"/>
    <cellStyle name="Normal 9 3 2 3 3 4" xfId="9935" xr:uid="{AA43669A-3F73-490D-80C7-E4A95E323BDE}"/>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4433A544-C659-49FD-A80B-10E32D1EC3E5}"/>
    <cellStyle name="Normal 9 3 2 3 4 2 3" xfId="12493" xr:uid="{D73572C8-9A67-4C67-9F69-58D5A31027C5}"/>
    <cellStyle name="Normal 9 3 2 3 4 3" xfId="6137" xr:uid="{00000000-0005-0000-0000-0000DE1F0000}"/>
    <cellStyle name="Normal 9 3 2 3 4 3 2" xfId="14566" xr:uid="{572C4B98-6751-4273-AA96-A8F3C8061121}"/>
    <cellStyle name="Normal 9 3 2 3 4 4" xfId="10348" xr:uid="{08B24311-86CB-4138-9AAF-8DDF1EFE18D5}"/>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65B744D8-D074-4A83-AF69-73842E874691}"/>
    <cellStyle name="Normal 9 3 2 3 5 2 3" xfId="12906" xr:uid="{5FBC63F3-D752-4626-86BB-C046F1014DE0}"/>
    <cellStyle name="Normal 9 3 2 3 5 3" xfId="6550" xr:uid="{00000000-0005-0000-0000-0000E21F0000}"/>
    <cellStyle name="Normal 9 3 2 3 5 3 2" xfId="14979" xr:uid="{BAA757F5-CAE4-47C7-80D1-89AD519B661E}"/>
    <cellStyle name="Normal 9 3 2 3 5 4" xfId="10761" xr:uid="{2CC21564-250A-44D9-AEF6-4F23D3A32717}"/>
    <cellStyle name="Normal 9 3 2 3 6" xfId="2678" xr:uid="{00000000-0005-0000-0000-0000E31F0000}"/>
    <cellStyle name="Normal 9 3 2 3 6 2" xfId="6963" xr:uid="{00000000-0005-0000-0000-0000E41F0000}"/>
    <cellStyle name="Normal 9 3 2 3 6 2 2" xfId="15392" xr:uid="{F36A5D49-D7AC-4AAB-96A9-C214328FB57C}"/>
    <cellStyle name="Normal 9 3 2 3 6 3" xfId="11174" xr:uid="{13E15583-3C0A-4254-B618-2FE933331DA8}"/>
    <cellStyle name="Normal 9 3 2 3 7" xfId="4898" xr:uid="{00000000-0005-0000-0000-0000E51F0000}"/>
    <cellStyle name="Normal 9 3 2 3 7 2" xfId="13327" xr:uid="{E72C15FE-27F0-4B66-B084-19EAA73DB21B}"/>
    <cellStyle name="Normal 9 3 2 3 8" xfId="9109" xr:uid="{53A2B509-E59A-413F-9293-C3AABCD011A4}"/>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1BD3C8C3-980E-4588-919D-3593FA9FE616}"/>
    <cellStyle name="Normal 9 3 2 4 2 3" xfId="11664" xr:uid="{6CAE1F89-E428-478C-911F-B96E66FE3AC3}"/>
    <cellStyle name="Normal 9 3 2 4 3" xfId="5308" xr:uid="{00000000-0005-0000-0000-0000E91F0000}"/>
    <cellStyle name="Normal 9 3 2 4 3 2" xfId="13737" xr:uid="{4D226D19-9FE6-47C3-BE81-B02EEC815661}"/>
    <cellStyle name="Normal 9 3 2 4 4" xfId="9519" xr:uid="{707F5FD2-09BA-4B58-A590-1A7BB108D139}"/>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8EB88367-BC22-4556-B777-0C14D89D7648}"/>
    <cellStyle name="Normal 9 3 2 5 2 3" xfId="12077" xr:uid="{6C085AEF-BCE9-4B6E-B10F-E6A77EA4159A}"/>
    <cellStyle name="Normal 9 3 2 5 3" xfId="5721" xr:uid="{00000000-0005-0000-0000-0000ED1F0000}"/>
    <cellStyle name="Normal 9 3 2 5 3 2" xfId="14150" xr:uid="{283A60AB-C86C-4B35-8ACD-6690AFD01C58}"/>
    <cellStyle name="Normal 9 3 2 5 4" xfId="9932" xr:uid="{15B97CAA-F9C5-4EAC-95FC-3B0D78FC38E2}"/>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987D65E5-3602-4437-A9DE-6142787E5E8D}"/>
    <cellStyle name="Normal 9 3 2 6 2 3" xfId="12490" xr:uid="{252972E3-CF74-4054-9D0A-534E64376A7F}"/>
    <cellStyle name="Normal 9 3 2 6 3" xfId="6134" xr:uid="{00000000-0005-0000-0000-0000F11F0000}"/>
    <cellStyle name="Normal 9 3 2 6 3 2" xfId="14563" xr:uid="{54BE26FD-D4F8-4CB2-833D-3ADF871FACDE}"/>
    <cellStyle name="Normal 9 3 2 6 4" xfId="10345" xr:uid="{224D156E-EFA6-43E0-AF45-3EBA2480B62F}"/>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451E657B-1B53-46AE-9614-0DED8B1A9E76}"/>
    <cellStyle name="Normal 9 3 2 7 2 3" xfId="12903" xr:uid="{F9052FF4-E63F-4D47-90EF-7F0FA94B611D}"/>
    <cellStyle name="Normal 9 3 2 7 3" xfId="6547" xr:uid="{00000000-0005-0000-0000-0000F51F0000}"/>
    <cellStyle name="Normal 9 3 2 7 3 2" xfId="14976" xr:uid="{36A0DDF9-6A47-4247-A848-EDBD8649AF01}"/>
    <cellStyle name="Normal 9 3 2 7 4" xfId="10758" xr:uid="{374D99C3-EC60-4177-ACE4-1D4328475457}"/>
    <cellStyle name="Normal 9 3 2 8" xfId="2675" xr:uid="{00000000-0005-0000-0000-0000F61F0000}"/>
    <cellStyle name="Normal 9 3 2 8 2" xfId="6960" xr:uid="{00000000-0005-0000-0000-0000F71F0000}"/>
    <cellStyle name="Normal 9 3 2 8 2 2" xfId="15389" xr:uid="{428FCBD8-1267-4C52-A49B-5C62A207A7F9}"/>
    <cellStyle name="Normal 9 3 2 8 3" xfId="11171" xr:uid="{7442C1F2-9102-45B5-9AA3-3409B3AC7414}"/>
    <cellStyle name="Normal 9 3 2 9" xfId="4895" xr:uid="{00000000-0005-0000-0000-0000F81F0000}"/>
    <cellStyle name="Normal 9 3 2 9 2" xfId="13324" xr:uid="{85E139EE-F54E-4D90-88E8-668EFBB6C566}"/>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6B1F5BAD-A04D-4372-9106-CB1071F0332E}"/>
    <cellStyle name="Normal 9 3 3 2 2 2 3" xfId="11669" xr:uid="{41C014B7-65E4-4B29-9D78-1B02D54CF959}"/>
    <cellStyle name="Normal 9 3 3 2 2 3" xfId="5313" xr:uid="{00000000-0005-0000-0000-0000FE1F0000}"/>
    <cellStyle name="Normal 9 3 3 2 2 3 2" xfId="13742" xr:uid="{5A154465-28FC-4876-9134-917D7B17F521}"/>
    <cellStyle name="Normal 9 3 3 2 2 4" xfId="9524" xr:uid="{53BB85A3-E678-40E3-95C4-83673E7B1DF2}"/>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5E8CFC4F-5226-498C-BF39-A3B9A16F0166}"/>
    <cellStyle name="Normal 9 3 3 2 3 2 3" xfId="12082" xr:uid="{D3914BE3-8441-45F4-BC04-BFC6351D2263}"/>
    <cellStyle name="Normal 9 3 3 2 3 3" xfId="5726" xr:uid="{00000000-0005-0000-0000-000002200000}"/>
    <cellStyle name="Normal 9 3 3 2 3 3 2" xfId="14155" xr:uid="{1FB94C5E-9ED5-4A04-A35E-FAD7FB7055A8}"/>
    <cellStyle name="Normal 9 3 3 2 3 4" xfId="9937" xr:uid="{3B370138-13D8-46C7-9D19-EB4C03C04DAF}"/>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F527AF29-E321-4913-B983-232824A1C737}"/>
    <cellStyle name="Normal 9 3 3 2 4 2 3" xfId="12495" xr:uid="{86D93018-4361-43A2-B81A-F7AB2EB9A229}"/>
    <cellStyle name="Normal 9 3 3 2 4 3" xfId="6139" xr:uid="{00000000-0005-0000-0000-000006200000}"/>
    <cellStyle name="Normal 9 3 3 2 4 3 2" xfId="14568" xr:uid="{AA1348E2-9CFF-4AC1-808E-B9AE7D74C693}"/>
    <cellStyle name="Normal 9 3 3 2 4 4" xfId="10350" xr:uid="{32D888E0-5DAB-482B-8CC9-0CCB39E14E2A}"/>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AAA18B95-B1F2-45B8-B8B1-C87ADD334B08}"/>
    <cellStyle name="Normal 9 3 3 2 5 2 3" xfId="12908" xr:uid="{DA872DBA-7DD8-4A74-8016-A04C77E48269}"/>
    <cellStyle name="Normal 9 3 3 2 5 3" xfId="6552" xr:uid="{00000000-0005-0000-0000-00000A200000}"/>
    <cellStyle name="Normal 9 3 3 2 5 3 2" xfId="14981" xr:uid="{741D242F-9BAE-4C50-83E3-85A1B7509008}"/>
    <cellStyle name="Normal 9 3 3 2 5 4" xfId="10763" xr:uid="{8695E869-F657-497E-BB75-B73D2003FA2A}"/>
    <cellStyle name="Normal 9 3 3 2 6" xfId="2680" xr:uid="{00000000-0005-0000-0000-00000B200000}"/>
    <cellStyle name="Normal 9 3 3 2 6 2" xfId="6965" xr:uid="{00000000-0005-0000-0000-00000C200000}"/>
    <cellStyle name="Normal 9 3 3 2 6 2 2" xfId="15394" xr:uid="{2C377F94-0B9D-4F88-9220-90076A1125EF}"/>
    <cellStyle name="Normal 9 3 3 2 6 3" xfId="11176" xr:uid="{5E3644CA-7D22-4859-BCFB-1AC85B2E6441}"/>
    <cellStyle name="Normal 9 3 3 2 7" xfId="4900" xr:uid="{00000000-0005-0000-0000-00000D200000}"/>
    <cellStyle name="Normal 9 3 3 2 7 2" xfId="13329" xr:uid="{DF6C3EBF-68EE-494E-8C19-51F3F6240F0E}"/>
    <cellStyle name="Normal 9 3 3 2 8" xfId="9111" xr:uid="{A54835A3-889D-45AB-8A9B-A9E30F52AAF3}"/>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BD2C597B-410A-4310-8BDB-87F9FD5F5445}"/>
    <cellStyle name="Normal 9 3 3 3 2 3" xfId="11668" xr:uid="{2FF7F944-727C-4B15-AA4D-1F7B31FF5742}"/>
    <cellStyle name="Normal 9 3 3 3 3" xfId="5312" xr:uid="{00000000-0005-0000-0000-000011200000}"/>
    <cellStyle name="Normal 9 3 3 3 3 2" xfId="13741" xr:uid="{2C906B7F-1B5E-4278-BF07-8CCA96191801}"/>
    <cellStyle name="Normal 9 3 3 3 4" xfId="9523" xr:uid="{C1C23662-1A72-4FB8-9473-8DA48A436F7D}"/>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730A2FBD-6C96-4976-8AB2-6AAA2A1A9A19}"/>
    <cellStyle name="Normal 9 3 3 4 2 3" xfId="12081" xr:uid="{5929A02C-360C-4D22-9899-6A7FBBAEC392}"/>
    <cellStyle name="Normal 9 3 3 4 3" xfId="5725" xr:uid="{00000000-0005-0000-0000-000015200000}"/>
    <cellStyle name="Normal 9 3 3 4 3 2" xfId="14154" xr:uid="{3DD0A0A7-ADA7-44AE-803D-026810E4B53D}"/>
    <cellStyle name="Normal 9 3 3 4 4" xfId="9936" xr:uid="{3D64B336-203F-4A03-AA94-D9039AF37660}"/>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CA768E96-6F57-4B51-ABC6-1F7556AB8778}"/>
    <cellStyle name="Normal 9 3 3 5 2 3" xfId="12494" xr:uid="{F2D65C82-1190-4809-A00A-8A80AF7E9EF9}"/>
    <cellStyle name="Normal 9 3 3 5 3" xfId="6138" xr:uid="{00000000-0005-0000-0000-000019200000}"/>
    <cellStyle name="Normal 9 3 3 5 3 2" xfId="14567" xr:uid="{EBDEDCBB-F3EA-44BF-81BD-D036FF99126A}"/>
    <cellStyle name="Normal 9 3 3 5 4" xfId="10349" xr:uid="{69F0130C-0CF6-43A7-A177-9F43DE0625DD}"/>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E826E71D-5EC7-40C7-869A-413812CE0886}"/>
    <cellStyle name="Normal 9 3 3 6 2 3" xfId="12907" xr:uid="{CBF2E0A5-E74E-4008-86DD-13D139FB2107}"/>
    <cellStyle name="Normal 9 3 3 6 3" xfId="6551" xr:uid="{00000000-0005-0000-0000-00001D200000}"/>
    <cellStyle name="Normal 9 3 3 6 3 2" xfId="14980" xr:uid="{7B8A9AD7-9FD5-4E18-AD2B-6585622D2E1A}"/>
    <cellStyle name="Normal 9 3 3 6 4" xfId="10762" xr:uid="{8336BB54-2A10-4B6A-B67A-A538C7183080}"/>
    <cellStyle name="Normal 9 3 3 7" xfId="2679" xr:uid="{00000000-0005-0000-0000-00001E200000}"/>
    <cellStyle name="Normal 9 3 3 7 2" xfId="6964" xr:uid="{00000000-0005-0000-0000-00001F200000}"/>
    <cellStyle name="Normal 9 3 3 7 2 2" xfId="15393" xr:uid="{26847E98-7FB8-4422-88C6-8C2B27A46670}"/>
    <cellStyle name="Normal 9 3 3 7 3" xfId="11175" xr:uid="{D0590AAE-24A8-415E-BEC7-6BD2B74E127A}"/>
    <cellStyle name="Normal 9 3 3 8" xfId="4899" xr:uid="{00000000-0005-0000-0000-000020200000}"/>
    <cellStyle name="Normal 9 3 3 8 2" xfId="13328" xr:uid="{6F5DE923-D979-496A-A071-2189543A2136}"/>
    <cellStyle name="Normal 9 3 3 9" xfId="9110" xr:uid="{418FF379-52C1-4193-A1F0-91CB6DC85448}"/>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B0474810-7D03-48C9-8B62-0D2285304830}"/>
    <cellStyle name="Normal 9 3 4 2 2 3" xfId="11670" xr:uid="{490E9AF5-5BA8-4B1E-8F4B-C65BD662D18F}"/>
    <cellStyle name="Normal 9 3 4 2 3" xfId="5314" xr:uid="{00000000-0005-0000-0000-000025200000}"/>
    <cellStyle name="Normal 9 3 4 2 3 2" xfId="13743" xr:uid="{5D2A3D34-D5E8-406F-A386-500588A06E2A}"/>
    <cellStyle name="Normal 9 3 4 2 4" xfId="9525" xr:uid="{19CFE7ED-BAD3-41C3-8DE1-917C4B3FE119}"/>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3E3F73CE-55F7-46EB-93BE-4A83D6331551}"/>
    <cellStyle name="Normal 9 3 4 3 2 3" xfId="12083" xr:uid="{2EA166BF-D3D8-4B8E-9AEE-B6EE53FBF318}"/>
    <cellStyle name="Normal 9 3 4 3 3" xfId="5727" xr:uid="{00000000-0005-0000-0000-000029200000}"/>
    <cellStyle name="Normal 9 3 4 3 3 2" xfId="14156" xr:uid="{A77C8EF6-553D-4985-8A53-521EDD381B88}"/>
    <cellStyle name="Normal 9 3 4 3 4" xfId="9938" xr:uid="{C96172FD-85BE-4CC5-B9E4-523F2A6FD187}"/>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60875CBC-A5A4-4D5C-BEBE-901309BD2347}"/>
    <cellStyle name="Normal 9 3 4 4 2 3" xfId="12496" xr:uid="{B2028853-E334-41E5-98F7-7D12DAAD6D1B}"/>
    <cellStyle name="Normal 9 3 4 4 3" xfId="6140" xr:uid="{00000000-0005-0000-0000-00002D200000}"/>
    <cellStyle name="Normal 9 3 4 4 3 2" xfId="14569" xr:uid="{7628B366-3B3A-4F1F-BF5A-DAF13E4B8956}"/>
    <cellStyle name="Normal 9 3 4 4 4" xfId="10351" xr:uid="{869ADE7B-F33D-4C1B-8298-B7EDE8048E6B}"/>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50211B0F-D459-4C4D-AA72-6AEB49C4B92F}"/>
    <cellStyle name="Normal 9 3 4 5 2 3" xfId="12909" xr:uid="{A6553769-58C8-4586-A08D-FC075427360E}"/>
    <cellStyle name="Normal 9 3 4 5 3" xfId="6553" xr:uid="{00000000-0005-0000-0000-000031200000}"/>
    <cellStyle name="Normal 9 3 4 5 3 2" xfId="14982" xr:uid="{4AB9E8B1-EF9E-467A-BF62-95874F5222F9}"/>
    <cellStyle name="Normal 9 3 4 5 4" xfId="10764" xr:uid="{332F81A3-6145-4AB9-B21E-F9FCFBFE739A}"/>
    <cellStyle name="Normal 9 3 4 6" xfId="2681" xr:uid="{00000000-0005-0000-0000-000032200000}"/>
    <cellStyle name="Normal 9 3 4 6 2" xfId="6966" xr:uid="{00000000-0005-0000-0000-000033200000}"/>
    <cellStyle name="Normal 9 3 4 6 2 2" xfId="15395" xr:uid="{68B26D0F-CAF9-4603-83B1-6B2164D3BFF9}"/>
    <cellStyle name="Normal 9 3 4 6 3" xfId="11177" xr:uid="{D0E519F2-58E9-4491-A935-DCCC458C3472}"/>
    <cellStyle name="Normal 9 3 4 7" xfId="4901" xr:uid="{00000000-0005-0000-0000-000034200000}"/>
    <cellStyle name="Normal 9 3 4 7 2" xfId="13330" xr:uid="{F7B282D5-040A-4629-A17D-3C6496A6254F}"/>
    <cellStyle name="Normal 9 3 4 8" xfId="9112" xr:uid="{065800D3-0FC9-46EF-A826-3ABB9939E8DA}"/>
    <cellStyle name="Normal 9 3 5" xfId="995" xr:uid="{00000000-0005-0000-0000-000035200000}"/>
    <cellStyle name="Normal 9 3 5 2" xfId="3228" xr:uid="{00000000-0005-0000-0000-000036200000}"/>
    <cellStyle name="Normal 9 3 5 2 2" xfId="7452" xr:uid="{00000000-0005-0000-0000-000037200000}"/>
    <cellStyle name="Normal 9 3 5 2 2 2" xfId="15881" xr:uid="{66100397-D95C-427E-AFA5-5997CC891192}"/>
    <cellStyle name="Normal 9 3 5 2 3" xfId="11663" xr:uid="{AA04B1FF-4AC5-4890-B76B-7ECA09C1B809}"/>
    <cellStyle name="Normal 9 3 5 3" xfId="5307" xr:uid="{00000000-0005-0000-0000-000038200000}"/>
    <cellStyle name="Normal 9 3 5 3 2" xfId="13736" xr:uid="{31F6003B-BA6A-4115-BC2D-6D3F8DC0DB9D}"/>
    <cellStyle name="Normal 9 3 5 4" xfId="9518" xr:uid="{E37DB9EE-93E3-49EA-9BF7-D3E48AAC0343}"/>
    <cellStyle name="Normal 9 3 6" xfId="1411" xr:uid="{00000000-0005-0000-0000-000039200000}"/>
    <cellStyle name="Normal 9 3 6 2" xfId="3641" xr:uid="{00000000-0005-0000-0000-00003A200000}"/>
    <cellStyle name="Normal 9 3 6 2 2" xfId="7865" xr:uid="{00000000-0005-0000-0000-00003B200000}"/>
    <cellStyle name="Normal 9 3 6 2 2 2" xfId="16294" xr:uid="{37DD8D03-4110-41D8-AA17-89E13DA76B49}"/>
    <cellStyle name="Normal 9 3 6 2 3" xfId="12076" xr:uid="{1B376CC9-9918-4224-BF54-12939F9DC707}"/>
    <cellStyle name="Normal 9 3 6 3" xfId="5720" xr:uid="{00000000-0005-0000-0000-00003C200000}"/>
    <cellStyle name="Normal 9 3 6 3 2" xfId="14149" xr:uid="{BC99C4F4-68BB-4193-958C-478E215E8E67}"/>
    <cellStyle name="Normal 9 3 6 4" xfId="9931" xr:uid="{25B627D0-6E14-4244-866A-938DB234F7C1}"/>
    <cellStyle name="Normal 9 3 7" xfId="1824" xr:uid="{00000000-0005-0000-0000-00003D200000}"/>
    <cellStyle name="Normal 9 3 7 2" xfId="4054" xr:uid="{00000000-0005-0000-0000-00003E200000}"/>
    <cellStyle name="Normal 9 3 7 2 2" xfId="8278" xr:uid="{00000000-0005-0000-0000-00003F200000}"/>
    <cellStyle name="Normal 9 3 7 2 2 2" xfId="16707" xr:uid="{582BE7AA-C125-4FBD-97D5-9F068035E6B0}"/>
    <cellStyle name="Normal 9 3 7 2 3" xfId="12489" xr:uid="{B3ED7C27-5748-4908-9103-284F6DECD272}"/>
    <cellStyle name="Normal 9 3 7 3" xfId="6133" xr:uid="{00000000-0005-0000-0000-000040200000}"/>
    <cellStyle name="Normal 9 3 7 3 2" xfId="14562" xr:uid="{EDCC4072-0F1A-464A-A0A3-4D71374BE71C}"/>
    <cellStyle name="Normal 9 3 7 4" xfId="10344" xr:uid="{2812B48A-CBB9-45A5-8258-6B3AAF9B1E0B}"/>
    <cellStyle name="Normal 9 3 8" xfId="2238" xr:uid="{00000000-0005-0000-0000-000041200000}"/>
    <cellStyle name="Normal 9 3 8 2" xfId="4467" xr:uid="{00000000-0005-0000-0000-000042200000}"/>
    <cellStyle name="Normal 9 3 8 2 2" xfId="8691" xr:uid="{00000000-0005-0000-0000-000043200000}"/>
    <cellStyle name="Normal 9 3 8 2 2 2" xfId="17120" xr:uid="{4A17CEC8-7912-490A-A864-07A11D39E07C}"/>
    <cellStyle name="Normal 9 3 8 2 3" xfId="12902" xr:uid="{BC5F53BA-FE56-434B-9F75-8FF87AA41B7B}"/>
    <cellStyle name="Normal 9 3 8 3" xfId="6546" xr:uid="{00000000-0005-0000-0000-000044200000}"/>
    <cellStyle name="Normal 9 3 8 3 2" xfId="14975" xr:uid="{8A65D7B1-ED66-4A3D-8C9F-362EB24CE45A}"/>
    <cellStyle name="Normal 9 3 8 4" xfId="10757" xr:uid="{70C3091B-6067-4991-B787-0C618C7A2CE4}"/>
    <cellStyle name="Normal 9 3 9" xfId="2674" xr:uid="{00000000-0005-0000-0000-000045200000}"/>
    <cellStyle name="Normal 9 3 9 2" xfId="6959" xr:uid="{00000000-0005-0000-0000-000046200000}"/>
    <cellStyle name="Normal 9 3 9 2 2" xfId="15388" xr:uid="{CB8DA72B-8B12-48B2-A447-58956C0A0470}"/>
    <cellStyle name="Normal 9 3 9 3" xfId="11170" xr:uid="{9E12BAEE-A83D-4B01-8A75-8845317B22EA}"/>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70250C9A-073C-4426-8CA4-A1DEBC8CF912}"/>
    <cellStyle name="Normal 9 5 2 2 2 3" xfId="11672" xr:uid="{4148B4DB-590C-4F41-8621-B4F24107A32C}"/>
    <cellStyle name="Normal 9 5 2 2 3" xfId="5316" xr:uid="{00000000-0005-0000-0000-00004E200000}"/>
    <cellStyle name="Normal 9 5 2 2 3 2" xfId="13745" xr:uid="{98A94A0C-B3A7-4CED-AA21-7D3A956E57FC}"/>
    <cellStyle name="Normal 9 5 2 2 4" xfId="9527" xr:uid="{58056A53-68F1-41D7-BF79-A7E50BCA1B41}"/>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8E35A7B4-21E1-493D-9F0E-CB749BA510DF}"/>
    <cellStyle name="Normal 9 5 2 3 2 3" xfId="12085" xr:uid="{34D199BC-6BBA-4923-BB84-C50CD3ADBF60}"/>
    <cellStyle name="Normal 9 5 2 3 3" xfId="5729" xr:uid="{00000000-0005-0000-0000-000052200000}"/>
    <cellStyle name="Normal 9 5 2 3 3 2" xfId="14158" xr:uid="{82EBBCFF-1C76-446C-857F-7EEB1E284E1E}"/>
    <cellStyle name="Normal 9 5 2 3 4" xfId="9940" xr:uid="{32CBDC5B-AB9F-4CD7-81D7-9A6D02621FC4}"/>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BBE0ACE5-0BD3-44F0-85F3-CFE1F4E1E079}"/>
    <cellStyle name="Normal 9 5 2 4 2 3" xfId="12498" xr:uid="{BA204A2D-8F3C-4E1F-9C00-07882BE6BFF8}"/>
    <cellStyle name="Normal 9 5 2 4 3" xfId="6142" xr:uid="{00000000-0005-0000-0000-000056200000}"/>
    <cellStyle name="Normal 9 5 2 4 3 2" xfId="14571" xr:uid="{DD0DA9F7-1598-43D8-8A7F-F0817BC117E4}"/>
    <cellStyle name="Normal 9 5 2 4 4" xfId="10353" xr:uid="{77CBD272-46F1-4059-9701-AEA498D1CC51}"/>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FD7CA723-27B7-4E64-9AA0-30D25DE647BA}"/>
    <cellStyle name="Normal 9 5 2 5 2 3" xfId="12911" xr:uid="{F85FD9C7-58F0-4703-9710-594D3C0199D1}"/>
    <cellStyle name="Normal 9 5 2 5 3" xfId="6555" xr:uid="{00000000-0005-0000-0000-00005A200000}"/>
    <cellStyle name="Normal 9 5 2 5 3 2" xfId="14984" xr:uid="{6A0B42E1-E20B-48B2-A722-9A35E1E9DB78}"/>
    <cellStyle name="Normal 9 5 2 5 4" xfId="10766" xr:uid="{38A40D7E-D609-4A58-930C-13948B25787F}"/>
    <cellStyle name="Normal 9 5 2 6" xfId="2683" xr:uid="{00000000-0005-0000-0000-00005B200000}"/>
    <cellStyle name="Normal 9 5 2 6 2" xfId="6968" xr:uid="{00000000-0005-0000-0000-00005C200000}"/>
    <cellStyle name="Normal 9 5 2 6 2 2" xfId="15397" xr:uid="{FD246DCB-E170-46F6-B41E-DDDBC1C71235}"/>
    <cellStyle name="Normal 9 5 2 6 3" xfId="11179" xr:uid="{CD4DFD51-55F4-44A3-9B8F-4A9A6C9C1273}"/>
    <cellStyle name="Normal 9 5 2 7" xfId="4903" xr:uid="{00000000-0005-0000-0000-00005D200000}"/>
    <cellStyle name="Normal 9 5 2 7 2" xfId="13332" xr:uid="{82B6D9AB-2A88-4E66-8370-7C527E72B98B}"/>
    <cellStyle name="Normal 9 5 2 8" xfId="9114" xr:uid="{D6AB2D95-0F65-4EE6-BDFC-1007C319F955}"/>
    <cellStyle name="Normal 9 5 3" xfId="1004" xr:uid="{00000000-0005-0000-0000-00005E200000}"/>
    <cellStyle name="Normal 9 5 3 2" xfId="3236" xr:uid="{00000000-0005-0000-0000-00005F200000}"/>
    <cellStyle name="Normal 9 5 3 2 2" xfId="7460" xr:uid="{00000000-0005-0000-0000-000060200000}"/>
    <cellStyle name="Normal 9 5 3 2 2 2" xfId="15889" xr:uid="{D2D193BE-D0A2-4E0D-9963-7BAF3C14E7B6}"/>
    <cellStyle name="Normal 9 5 3 2 3" xfId="11671" xr:uid="{A7D57D73-78A4-4C05-BBB5-62E5125402F8}"/>
    <cellStyle name="Normal 9 5 3 3" xfId="5315" xr:uid="{00000000-0005-0000-0000-000061200000}"/>
    <cellStyle name="Normal 9 5 3 3 2" xfId="13744" xr:uid="{00BD8C5D-D100-4402-BCE4-E30B33E68B95}"/>
    <cellStyle name="Normal 9 5 3 4" xfId="9526" xr:uid="{C8B0C22F-4D29-4E15-8830-C6A9C65411B9}"/>
    <cellStyle name="Normal 9 5 4" xfId="1419" xr:uid="{00000000-0005-0000-0000-000062200000}"/>
    <cellStyle name="Normal 9 5 4 2" xfId="3649" xr:uid="{00000000-0005-0000-0000-000063200000}"/>
    <cellStyle name="Normal 9 5 4 2 2" xfId="7873" xr:uid="{00000000-0005-0000-0000-000064200000}"/>
    <cellStyle name="Normal 9 5 4 2 2 2" xfId="16302" xr:uid="{4338F72F-CCF8-442C-B196-45787C890D29}"/>
    <cellStyle name="Normal 9 5 4 2 3" xfId="12084" xr:uid="{DD42F2A4-2549-40F1-8320-4E7CEE480586}"/>
    <cellStyle name="Normal 9 5 4 3" xfId="5728" xr:uid="{00000000-0005-0000-0000-000065200000}"/>
    <cellStyle name="Normal 9 5 4 3 2" xfId="14157" xr:uid="{FEDFE4E8-773E-466C-B138-D23FB0915868}"/>
    <cellStyle name="Normal 9 5 4 4" xfId="9939" xr:uid="{8752B615-1448-4561-B52A-054683B21652}"/>
    <cellStyle name="Normal 9 5 5" xfId="1832" xr:uid="{00000000-0005-0000-0000-000066200000}"/>
    <cellStyle name="Normal 9 5 5 2" xfId="4062" xr:uid="{00000000-0005-0000-0000-000067200000}"/>
    <cellStyle name="Normal 9 5 5 2 2" xfId="8286" xr:uid="{00000000-0005-0000-0000-000068200000}"/>
    <cellStyle name="Normal 9 5 5 2 2 2" xfId="16715" xr:uid="{48D9D510-6B27-438B-9D0F-9BC2FE3DE103}"/>
    <cellStyle name="Normal 9 5 5 2 3" xfId="12497" xr:uid="{628AE05B-5A38-4776-BBBA-73C885D2E2C3}"/>
    <cellStyle name="Normal 9 5 5 3" xfId="6141" xr:uid="{00000000-0005-0000-0000-000069200000}"/>
    <cellStyle name="Normal 9 5 5 3 2" xfId="14570" xr:uid="{388684EC-4A9F-4FDC-8695-708C1505B743}"/>
    <cellStyle name="Normal 9 5 5 4" xfId="10352" xr:uid="{0DE2B61E-B91D-48E7-A998-FB0DECD9CA2E}"/>
    <cellStyle name="Normal 9 5 6" xfId="2246" xr:uid="{00000000-0005-0000-0000-00006A200000}"/>
    <cellStyle name="Normal 9 5 6 2" xfId="4475" xr:uid="{00000000-0005-0000-0000-00006B200000}"/>
    <cellStyle name="Normal 9 5 6 2 2" xfId="8699" xr:uid="{00000000-0005-0000-0000-00006C200000}"/>
    <cellStyle name="Normal 9 5 6 2 2 2" xfId="17128" xr:uid="{C255F6E2-C3F7-461A-A8D3-B1D16CB77C9A}"/>
    <cellStyle name="Normal 9 5 6 2 3" xfId="12910" xr:uid="{3AF6F262-C2D8-4CCE-BF93-4A9B91F78C70}"/>
    <cellStyle name="Normal 9 5 6 3" xfId="6554" xr:uid="{00000000-0005-0000-0000-00006D200000}"/>
    <cellStyle name="Normal 9 5 6 3 2" xfId="14983" xr:uid="{B5177FCC-BA77-4633-926C-7E8695E9CE23}"/>
    <cellStyle name="Normal 9 5 6 4" xfId="10765" xr:uid="{CFA2F0C2-81D3-48FA-8609-71A0EA24946F}"/>
    <cellStyle name="Normal 9 5 7" xfId="2682" xr:uid="{00000000-0005-0000-0000-00006E200000}"/>
    <cellStyle name="Normal 9 5 7 2" xfId="6967" xr:uid="{00000000-0005-0000-0000-00006F200000}"/>
    <cellStyle name="Normal 9 5 7 2 2" xfId="15396" xr:uid="{A6F8BC5E-A3AF-42DE-B30A-5FA48A74F125}"/>
    <cellStyle name="Normal 9 5 7 3" xfId="11178" xr:uid="{A7A7AC7E-D608-463A-835A-A71E936E15DB}"/>
    <cellStyle name="Normal 9 5 8" xfId="4902" xr:uid="{00000000-0005-0000-0000-000070200000}"/>
    <cellStyle name="Normal 9 5 8 2" xfId="13331" xr:uid="{C4082766-1CCE-40DD-BE3D-6133413C5D10}"/>
    <cellStyle name="Normal 9 5 9" xfId="9113" xr:uid="{47D065DE-F862-4E1A-B448-554AA7A50F82}"/>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43087C82-15C9-4A56-B710-36566C0D5BB8}"/>
    <cellStyle name="Normal 9 6 2 2 3" xfId="11673" xr:uid="{E09448CA-F88D-4655-AC42-A5D6BB3A6414}"/>
    <cellStyle name="Normal 9 6 2 3" xfId="5317" xr:uid="{00000000-0005-0000-0000-000075200000}"/>
    <cellStyle name="Normal 9 6 2 3 2" xfId="13746" xr:uid="{F2148D9C-195B-4CBE-931B-6F11786AE2F7}"/>
    <cellStyle name="Normal 9 6 2 4" xfId="9528" xr:uid="{D7A00534-C572-4238-B02E-3C1E9F60F787}"/>
    <cellStyle name="Normal 9 6 3" xfId="1421" xr:uid="{00000000-0005-0000-0000-000076200000}"/>
    <cellStyle name="Normal 9 6 3 2" xfId="3651" xr:uid="{00000000-0005-0000-0000-000077200000}"/>
    <cellStyle name="Normal 9 6 3 2 2" xfId="7875" xr:uid="{00000000-0005-0000-0000-000078200000}"/>
    <cellStyle name="Normal 9 6 3 2 2 2" xfId="16304" xr:uid="{BA1A89E1-D10E-4564-A167-A2C0C307C7F8}"/>
    <cellStyle name="Normal 9 6 3 2 3" xfId="12086" xr:uid="{41E39827-E219-411E-A5CC-E6BD385E6528}"/>
    <cellStyle name="Normal 9 6 3 3" xfId="5730" xr:uid="{00000000-0005-0000-0000-000079200000}"/>
    <cellStyle name="Normal 9 6 3 3 2" xfId="14159" xr:uid="{0FD56413-BDBC-4209-AF13-E019D1C2A49E}"/>
    <cellStyle name="Normal 9 6 3 4" xfId="9941" xr:uid="{A552E34C-CBCD-4157-9B5F-7F9901BB613C}"/>
    <cellStyle name="Normal 9 6 4" xfId="1834" xr:uid="{00000000-0005-0000-0000-00007A200000}"/>
    <cellStyle name="Normal 9 6 4 2" xfId="4064" xr:uid="{00000000-0005-0000-0000-00007B200000}"/>
    <cellStyle name="Normal 9 6 4 2 2" xfId="8288" xr:uid="{00000000-0005-0000-0000-00007C200000}"/>
    <cellStyle name="Normal 9 6 4 2 2 2" xfId="16717" xr:uid="{EB9B33EA-A5B1-4513-838C-CA6CA31D4786}"/>
    <cellStyle name="Normal 9 6 4 2 3" xfId="12499" xr:uid="{6BA4CCE3-3A17-49CD-9118-2B95B5F1FD3A}"/>
    <cellStyle name="Normal 9 6 4 3" xfId="6143" xr:uid="{00000000-0005-0000-0000-00007D200000}"/>
    <cellStyle name="Normal 9 6 4 3 2" xfId="14572" xr:uid="{F8E771BB-1ABA-4F4A-B1CD-EEC04703F142}"/>
    <cellStyle name="Normal 9 6 4 4" xfId="10354" xr:uid="{30F7736F-5FE6-47F5-AD76-BAA245AD0BE9}"/>
    <cellStyle name="Normal 9 6 5" xfId="2248" xr:uid="{00000000-0005-0000-0000-00007E200000}"/>
    <cellStyle name="Normal 9 6 5 2" xfId="4477" xr:uid="{00000000-0005-0000-0000-00007F200000}"/>
    <cellStyle name="Normal 9 6 5 2 2" xfId="8701" xr:uid="{00000000-0005-0000-0000-000080200000}"/>
    <cellStyle name="Normal 9 6 5 2 2 2" xfId="17130" xr:uid="{7F37C258-BD97-40AE-959B-1953944963C6}"/>
    <cellStyle name="Normal 9 6 5 2 3" xfId="12912" xr:uid="{E1A5E28A-8F8B-4723-9658-458382BAA26B}"/>
    <cellStyle name="Normal 9 6 5 3" xfId="6556" xr:uid="{00000000-0005-0000-0000-000081200000}"/>
    <cellStyle name="Normal 9 6 5 3 2" xfId="14985" xr:uid="{3FFF5200-0327-4245-9B77-DB6330934453}"/>
    <cellStyle name="Normal 9 6 5 4" xfId="10767" xr:uid="{73032191-C547-42B0-A4C3-EAE427964FE1}"/>
    <cellStyle name="Normal 9 6 6" xfId="2684" xr:uid="{00000000-0005-0000-0000-000082200000}"/>
    <cellStyle name="Normal 9 6 6 2" xfId="6969" xr:uid="{00000000-0005-0000-0000-000083200000}"/>
    <cellStyle name="Normal 9 6 6 2 2" xfId="15398" xr:uid="{1E17D1AE-0299-4036-BFD7-E2B84BAC6C11}"/>
    <cellStyle name="Normal 9 6 6 3" xfId="11180" xr:uid="{524F5DEC-09A8-4A4D-BCEB-96540A28561D}"/>
    <cellStyle name="Normal 9 6 7" xfId="4904" xr:uid="{00000000-0005-0000-0000-000084200000}"/>
    <cellStyle name="Normal 9 6 7 2" xfId="13333" xr:uid="{C49A60B4-CBDE-41AB-9403-CF71BD9B8EBE}"/>
    <cellStyle name="Normal 9 6 8" xfId="9115" xr:uid="{B6A7B06F-45E0-4D60-AE9E-4FEA3705A31D}"/>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4627AFDD-13F2-45DB-985D-6FF2C08D598A}"/>
    <cellStyle name="Note 2 2 10 3" xfId="11261" xr:uid="{20DA7933-0C68-4F5D-9321-7EA971E32B49}"/>
    <cellStyle name="Note 2 2 11" xfId="4905" xr:uid="{00000000-0005-0000-0000-000093200000}"/>
    <cellStyle name="Note 2 2 11 2" xfId="13334" xr:uid="{A068FCE8-978E-4B60-A431-251C03DE235C}"/>
    <cellStyle name="Note 2 2 12" xfId="9116" xr:uid="{C4C1A76F-7E71-4725-97C9-BCF9A84AE540}"/>
    <cellStyle name="Note 2 2 2" xfId="547" xr:uid="{00000000-0005-0000-0000-000094200000}"/>
    <cellStyle name="Note 2 2 2 10" xfId="4906" xr:uid="{00000000-0005-0000-0000-000095200000}"/>
    <cellStyle name="Note 2 2 2 10 2" xfId="13335" xr:uid="{E41D199F-8F8A-4F68-90D7-82CDB76C3BF1}"/>
    <cellStyle name="Note 2 2 2 11" xfId="9117" xr:uid="{7A3E81E6-2CD4-4D4F-942B-BEE7922E5B15}"/>
    <cellStyle name="Note 2 2 2 2" xfId="548" xr:uid="{00000000-0005-0000-0000-000096200000}"/>
    <cellStyle name="Note 2 2 2 2 10" xfId="9118" xr:uid="{7EDF2651-3E44-41A8-8B0D-417EC1B7D5BD}"/>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B861512A-F38C-4CDB-9E19-EA4FC2BEB838}"/>
    <cellStyle name="Note 2 2 2 2 2 2 3" xfId="11676" xr:uid="{E52894C0-21C1-4C55-8610-10A5EDF8CD2F}"/>
    <cellStyle name="Note 2 2 2 2 2 3" xfId="5320" xr:uid="{00000000-0005-0000-0000-00009A200000}"/>
    <cellStyle name="Note 2 2 2 2 2 3 2" xfId="13749" xr:uid="{2E335A09-E102-464F-BF25-8FCEFE50C39F}"/>
    <cellStyle name="Note 2 2 2 2 2 4" xfId="9531" xr:uid="{B0507AFB-46B5-434C-9381-CB369C12C28B}"/>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FF70FA14-D81B-4F30-B6E2-CA59D1F742A2}"/>
    <cellStyle name="Note 2 2 2 2 3 2 3" xfId="12089" xr:uid="{12E127B6-4898-4AD8-B8E7-536D79F8A2FF}"/>
    <cellStyle name="Note 2 2 2 2 3 3" xfId="5733" xr:uid="{00000000-0005-0000-0000-00009E200000}"/>
    <cellStyle name="Note 2 2 2 2 3 3 2" xfId="14162" xr:uid="{1705F5D3-07CD-4605-841F-B05DDE5B86AB}"/>
    <cellStyle name="Note 2 2 2 2 3 4" xfId="9944" xr:uid="{6DF8BD71-20E3-48CB-8AE9-194E64410F8A}"/>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43C43CB3-C113-4BDA-AECF-32FA97A67EC2}"/>
    <cellStyle name="Note 2 2 2 2 4 2 3" xfId="12502" xr:uid="{AA61BA23-1CD6-45A4-9460-ACD97445371A}"/>
    <cellStyle name="Note 2 2 2 2 4 3" xfId="6146" xr:uid="{00000000-0005-0000-0000-0000A2200000}"/>
    <cellStyle name="Note 2 2 2 2 4 3 2" xfId="14575" xr:uid="{0D7ECE9E-210C-41E3-8BF6-16DAEE6A6B51}"/>
    <cellStyle name="Note 2 2 2 2 4 4" xfId="10357" xr:uid="{AE90CF3D-00CB-43D8-9C3D-F36A65163F21}"/>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124E7458-C097-491A-A27D-457C5F1D0E79}"/>
    <cellStyle name="Note 2 2 2 2 5 2 3" xfId="12915" xr:uid="{BF1E047D-B998-4A3A-8D10-8338A2F998CB}"/>
    <cellStyle name="Note 2 2 2 2 5 3" xfId="6559" xr:uid="{00000000-0005-0000-0000-0000A6200000}"/>
    <cellStyle name="Note 2 2 2 2 5 3 2" xfId="14988" xr:uid="{23D340C1-C386-4BD4-9B36-2A0956EDFB16}"/>
    <cellStyle name="Note 2 2 2 2 5 4" xfId="10770" xr:uid="{626C252F-72F1-44B8-BC01-0F45DFB08D2B}"/>
    <cellStyle name="Note 2 2 2 2 6" xfId="2687" xr:uid="{00000000-0005-0000-0000-0000A7200000}"/>
    <cellStyle name="Note 2 2 2 2 6 2" xfId="6972" xr:uid="{00000000-0005-0000-0000-0000A8200000}"/>
    <cellStyle name="Note 2 2 2 2 6 2 2" xfId="15401" xr:uid="{49FE5C75-8469-4925-BC1F-11DA9F3A1425}"/>
    <cellStyle name="Note 2 2 2 2 6 3" xfId="11183" xr:uid="{62274C8E-4355-4D2D-A43F-A2259C0B62A5}"/>
    <cellStyle name="Note 2 2 2 2 7" xfId="2746" xr:uid="{00000000-0005-0000-0000-0000A9200000}"/>
    <cellStyle name="Note 2 2 2 2 8" xfId="2827" xr:uid="{00000000-0005-0000-0000-0000AA200000}"/>
    <cellStyle name="Note 2 2 2 2 8 2" xfId="7052" xr:uid="{00000000-0005-0000-0000-0000AB200000}"/>
    <cellStyle name="Note 2 2 2 2 8 2 2" xfId="15481" xr:uid="{0DA03208-1052-4E0A-8A40-4C321206C91A}"/>
    <cellStyle name="Note 2 2 2 2 8 3" xfId="11263" xr:uid="{8510DF76-7D22-45D5-844D-30A025948AA6}"/>
    <cellStyle name="Note 2 2 2 2 9" xfId="4907" xr:uid="{00000000-0005-0000-0000-0000AC200000}"/>
    <cellStyle name="Note 2 2 2 2 9 2" xfId="13336" xr:uid="{29731721-7632-4A0D-A500-3C85EA389704}"/>
    <cellStyle name="Note 2 2 2 3" xfId="1008" xr:uid="{00000000-0005-0000-0000-0000AD200000}"/>
    <cellStyle name="Note 2 2 2 3 2" xfId="3240" xr:uid="{00000000-0005-0000-0000-0000AE200000}"/>
    <cellStyle name="Note 2 2 2 3 2 2" xfId="7464" xr:uid="{00000000-0005-0000-0000-0000AF200000}"/>
    <cellStyle name="Note 2 2 2 3 2 2 2" xfId="15893" xr:uid="{CF834E89-A44E-49FE-BA41-A65CB0AC084F}"/>
    <cellStyle name="Note 2 2 2 3 2 3" xfId="11675" xr:uid="{D1239BD4-2487-4418-B58C-AEE4E22460D3}"/>
    <cellStyle name="Note 2 2 2 3 3" xfId="5319" xr:uid="{00000000-0005-0000-0000-0000B0200000}"/>
    <cellStyle name="Note 2 2 2 3 3 2" xfId="13748" xr:uid="{518A414E-B8C2-4FBD-B43B-ABFC84E6E38C}"/>
    <cellStyle name="Note 2 2 2 3 4" xfId="9530" xr:uid="{9C77BD28-8053-423B-8B56-8DDA27DA1A7B}"/>
    <cellStyle name="Note 2 2 2 4" xfId="1423" xr:uid="{00000000-0005-0000-0000-0000B1200000}"/>
    <cellStyle name="Note 2 2 2 4 2" xfId="3653" xr:uid="{00000000-0005-0000-0000-0000B2200000}"/>
    <cellStyle name="Note 2 2 2 4 2 2" xfId="7877" xr:uid="{00000000-0005-0000-0000-0000B3200000}"/>
    <cellStyle name="Note 2 2 2 4 2 2 2" xfId="16306" xr:uid="{103A7BAF-6B2E-41EC-AD99-F3F847DFF186}"/>
    <cellStyle name="Note 2 2 2 4 2 3" xfId="12088" xr:uid="{52129618-1967-414E-A9E9-14E17654A148}"/>
    <cellStyle name="Note 2 2 2 4 3" xfId="5732" xr:uid="{00000000-0005-0000-0000-0000B4200000}"/>
    <cellStyle name="Note 2 2 2 4 3 2" xfId="14161" xr:uid="{25D278F0-5C33-461F-ADB2-C5E804CFFD19}"/>
    <cellStyle name="Note 2 2 2 4 4" xfId="9943" xr:uid="{0B66D34C-AD12-465B-94A9-003A848085BE}"/>
    <cellStyle name="Note 2 2 2 5" xfId="1837" xr:uid="{00000000-0005-0000-0000-0000B5200000}"/>
    <cellStyle name="Note 2 2 2 5 2" xfId="4066" xr:uid="{00000000-0005-0000-0000-0000B6200000}"/>
    <cellStyle name="Note 2 2 2 5 2 2" xfId="8290" xr:uid="{00000000-0005-0000-0000-0000B7200000}"/>
    <cellStyle name="Note 2 2 2 5 2 2 2" xfId="16719" xr:uid="{FB4178B7-FCD8-4B6A-9923-3A7A83991D0C}"/>
    <cellStyle name="Note 2 2 2 5 2 3" xfId="12501" xr:uid="{2FC92F15-9A2E-4F28-9552-517AAF72A79E}"/>
    <cellStyle name="Note 2 2 2 5 3" xfId="6145" xr:uid="{00000000-0005-0000-0000-0000B8200000}"/>
    <cellStyle name="Note 2 2 2 5 3 2" xfId="14574" xr:uid="{C15D9499-FAAD-4CBD-8842-C06C32911F1B}"/>
    <cellStyle name="Note 2 2 2 5 4" xfId="10356" xr:uid="{E1EAA1A0-051F-455C-94F8-DF195E4E5606}"/>
    <cellStyle name="Note 2 2 2 6" xfId="2250" xr:uid="{00000000-0005-0000-0000-0000B9200000}"/>
    <cellStyle name="Note 2 2 2 6 2" xfId="4479" xr:uid="{00000000-0005-0000-0000-0000BA200000}"/>
    <cellStyle name="Note 2 2 2 6 2 2" xfId="8703" xr:uid="{00000000-0005-0000-0000-0000BB200000}"/>
    <cellStyle name="Note 2 2 2 6 2 2 2" xfId="17132" xr:uid="{BACEBC0B-0386-4E87-A3F3-C098C2D32988}"/>
    <cellStyle name="Note 2 2 2 6 2 3" xfId="12914" xr:uid="{03558C84-A4E6-419C-A582-DA2CCA40880C}"/>
    <cellStyle name="Note 2 2 2 6 3" xfId="6558" xr:uid="{00000000-0005-0000-0000-0000BC200000}"/>
    <cellStyle name="Note 2 2 2 6 3 2" xfId="14987" xr:uid="{DC550444-DD19-4178-A227-422208A3CA1A}"/>
    <cellStyle name="Note 2 2 2 6 4" xfId="10769" xr:uid="{E3A4C3F9-875E-48C6-AC8A-19EC9D445F21}"/>
    <cellStyle name="Note 2 2 2 7" xfId="2686" xr:uid="{00000000-0005-0000-0000-0000BD200000}"/>
    <cellStyle name="Note 2 2 2 7 2" xfId="6971" xr:uid="{00000000-0005-0000-0000-0000BE200000}"/>
    <cellStyle name="Note 2 2 2 7 2 2" xfId="15400" xr:uid="{CADAAB9B-FEEB-4F31-97FD-DA451DF06D3E}"/>
    <cellStyle name="Note 2 2 2 7 3" xfId="11182" xr:uid="{D2A91D3B-F1DC-418C-A2A9-1609ECC73FC6}"/>
    <cellStyle name="Note 2 2 2 8" xfId="2745" xr:uid="{00000000-0005-0000-0000-0000BF200000}"/>
    <cellStyle name="Note 2 2 2 9" xfId="2826" xr:uid="{00000000-0005-0000-0000-0000C0200000}"/>
    <cellStyle name="Note 2 2 2 9 2" xfId="7051" xr:uid="{00000000-0005-0000-0000-0000C1200000}"/>
    <cellStyle name="Note 2 2 2 9 2 2" xfId="15480" xr:uid="{8806D13F-915A-41F4-8834-65536CFA4B14}"/>
    <cellStyle name="Note 2 2 2 9 3" xfId="11262" xr:uid="{6EFE32B7-CEE4-4D16-94AB-679B9946B3A9}"/>
    <cellStyle name="Note 2 2 3" xfId="549" xr:uid="{00000000-0005-0000-0000-0000C2200000}"/>
    <cellStyle name="Note 2 2 3 10" xfId="9119" xr:uid="{C4B6AE5C-8C59-40CC-BC1E-A59CD3030A0A}"/>
    <cellStyle name="Note 2 2 3 2" xfId="1010" xr:uid="{00000000-0005-0000-0000-0000C3200000}"/>
    <cellStyle name="Note 2 2 3 2 2" xfId="3242" xr:uid="{00000000-0005-0000-0000-0000C4200000}"/>
    <cellStyle name="Note 2 2 3 2 2 2" xfId="7466" xr:uid="{00000000-0005-0000-0000-0000C5200000}"/>
    <cellStyle name="Note 2 2 3 2 2 2 2" xfId="15895" xr:uid="{A25BBB1E-A24D-48AD-9D2B-B7EA2081CA0A}"/>
    <cellStyle name="Note 2 2 3 2 2 3" xfId="11677" xr:uid="{60C2D01D-DC9A-49BE-A243-CFD20EA24FDD}"/>
    <cellStyle name="Note 2 2 3 2 3" xfId="5321" xr:uid="{00000000-0005-0000-0000-0000C6200000}"/>
    <cellStyle name="Note 2 2 3 2 3 2" xfId="13750" xr:uid="{DA8228E3-4CC9-43D5-887F-3904D83B9AA7}"/>
    <cellStyle name="Note 2 2 3 2 4" xfId="9532" xr:uid="{FA68F596-978D-47B5-8DAB-B914610B606F}"/>
    <cellStyle name="Note 2 2 3 3" xfId="1425" xr:uid="{00000000-0005-0000-0000-0000C7200000}"/>
    <cellStyle name="Note 2 2 3 3 2" xfId="3655" xr:uid="{00000000-0005-0000-0000-0000C8200000}"/>
    <cellStyle name="Note 2 2 3 3 2 2" xfId="7879" xr:uid="{00000000-0005-0000-0000-0000C9200000}"/>
    <cellStyle name="Note 2 2 3 3 2 2 2" xfId="16308" xr:uid="{25902AA1-25A7-4101-8D24-C90CBF10801A}"/>
    <cellStyle name="Note 2 2 3 3 2 3" xfId="12090" xr:uid="{24C51912-1F17-4E4B-80FF-5CAAC508FA32}"/>
    <cellStyle name="Note 2 2 3 3 3" xfId="5734" xr:uid="{00000000-0005-0000-0000-0000CA200000}"/>
    <cellStyle name="Note 2 2 3 3 3 2" xfId="14163" xr:uid="{50D9FF24-3499-4C34-880C-429DC35F626D}"/>
    <cellStyle name="Note 2 2 3 3 4" xfId="9945" xr:uid="{668DE7DE-8F70-4F80-BA44-1C27CA71E62A}"/>
    <cellStyle name="Note 2 2 3 4" xfId="1839" xr:uid="{00000000-0005-0000-0000-0000CB200000}"/>
    <cellStyle name="Note 2 2 3 4 2" xfId="4068" xr:uid="{00000000-0005-0000-0000-0000CC200000}"/>
    <cellStyle name="Note 2 2 3 4 2 2" xfId="8292" xr:uid="{00000000-0005-0000-0000-0000CD200000}"/>
    <cellStyle name="Note 2 2 3 4 2 2 2" xfId="16721" xr:uid="{B8583A95-D581-46E1-AE7E-B55E97C8EE7C}"/>
    <cellStyle name="Note 2 2 3 4 2 3" xfId="12503" xr:uid="{BB1A852D-79E1-4EBF-AEE8-B4A53D2BEC28}"/>
    <cellStyle name="Note 2 2 3 4 3" xfId="6147" xr:uid="{00000000-0005-0000-0000-0000CE200000}"/>
    <cellStyle name="Note 2 2 3 4 3 2" xfId="14576" xr:uid="{2CFC1491-2C0A-4D97-89D7-3CA3EBE7D7E7}"/>
    <cellStyle name="Note 2 2 3 4 4" xfId="10358" xr:uid="{F606743D-BCBA-4C37-8C6E-E61B8099CD58}"/>
    <cellStyle name="Note 2 2 3 5" xfId="2252" xr:uid="{00000000-0005-0000-0000-0000CF200000}"/>
    <cellStyle name="Note 2 2 3 5 2" xfId="4481" xr:uid="{00000000-0005-0000-0000-0000D0200000}"/>
    <cellStyle name="Note 2 2 3 5 2 2" xfId="8705" xr:uid="{00000000-0005-0000-0000-0000D1200000}"/>
    <cellStyle name="Note 2 2 3 5 2 2 2" xfId="17134" xr:uid="{D6262AF6-008B-4C5F-A3A2-AE1C6BE566D5}"/>
    <cellStyle name="Note 2 2 3 5 2 3" xfId="12916" xr:uid="{457253B6-24C8-46E7-B4AB-4B71D483D359}"/>
    <cellStyle name="Note 2 2 3 5 3" xfId="6560" xr:uid="{00000000-0005-0000-0000-0000D2200000}"/>
    <cellStyle name="Note 2 2 3 5 3 2" xfId="14989" xr:uid="{15050AA5-C8EA-465A-B1DA-4ADF4E7006AF}"/>
    <cellStyle name="Note 2 2 3 5 4" xfId="10771" xr:uid="{119A24D0-769F-4AC6-9427-2BC16A9B6A60}"/>
    <cellStyle name="Note 2 2 3 6" xfId="2688" xr:uid="{00000000-0005-0000-0000-0000D3200000}"/>
    <cellStyle name="Note 2 2 3 6 2" xfId="6973" xr:uid="{00000000-0005-0000-0000-0000D4200000}"/>
    <cellStyle name="Note 2 2 3 6 2 2" xfId="15402" xr:uid="{15DB6A75-7574-4F17-BBC6-E8AC6F21664C}"/>
    <cellStyle name="Note 2 2 3 6 3" xfId="11184" xr:uid="{DC714306-D86C-42E8-85D7-A96E4C6A37C7}"/>
    <cellStyle name="Note 2 2 3 7" xfId="2747" xr:uid="{00000000-0005-0000-0000-0000D5200000}"/>
    <cellStyle name="Note 2 2 3 8" xfId="2828" xr:uid="{00000000-0005-0000-0000-0000D6200000}"/>
    <cellStyle name="Note 2 2 3 8 2" xfId="7053" xr:uid="{00000000-0005-0000-0000-0000D7200000}"/>
    <cellStyle name="Note 2 2 3 8 2 2" xfId="15482" xr:uid="{A775A798-0061-47F9-BB2F-04AE301DA97B}"/>
    <cellStyle name="Note 2 2 3 8 3" xfId="11264" xr:uid="{9635B4FD-C2B0-4B40-9CD0-4A93AC70D3DF}"/>
    <cellStyle name="Note 2 2 3 9" xfId="4908" xr:uid="{00000000-0005-0000-0000-0000D8200000}"/>
    <cellStyle name="Note 2 2 3 9 2" xfId="13337" xr:uid="{A545ED67-2B9A-4824-97DD-33599262D17B}"/>
    <cellStyle name="Note 2 2 4" xfId="1007" xr:uid="{00000000-0005-0000-0000-0000D9200000}"/>
    <cellStyle name="Note 2 2 4 2" xfId="3239" xr:uid="{00000000-0005-0000-0000-0000DA200000}"/>
    <cellStyle name="Note 2 2 4 2 2" xfId="7463" xr:uid="{00000000-0005-0000-0000-0000DB200000}"/>
    <cellStyle name="Note 2 2 4 2 2 2" xfId="15892" xr:uid="{130DBFA9-F54C-4E8B-8833-5AF631FB3275}"/>
    <cellStyle name="Note 2 2 4 2 3" xfId="11674" xr:uid="{390FD89D-D058-4CAB-A6C6-87B30CEF19D3}"/>
    <cellStyle name="Note 2 2 4 3" xfId="5318" xr:uid="{00000000-0005-0000-0000-0000DC200000}"/>
    <cellStyle name="Note 2 2 4 3 2" xfId="13747" xr:uid="{80EDC794-1D28-4F77-8427-B608E787D6EB}"/>
    <cellStyle name="Note 2 2 4 4" xfId="9529" xr:uid="{61B41F38-3DE2-4B7F-BA62-D17F09A0FBDE}"/>
    <cellStyle name="Note 2 2 5" xfId="1422" xr:uid="{00000000-0005-0000-0000-0000DD200000}"/>
    <cellStyle name="Note 2 2 5 2" xfId="3652" xr:uid="{00000000-0005-0000-0000-0000DE200000}"/>
    <cellStyle name="Note 2 2 5 2 2" xfId="7876" xr:uid="{00000000-0005-0000-0000-0000DF200000}"/>
    <cellStyle name="Note 2 2 5 2 2 2" xfId="16305" xr:uid="{B1EEF8BB-7B5D-47CC-9FDF-5B7D1D48296A}"/>
    <cellStyle name="Note 2 2 5 2 3" xfId="12087" xr:uid="{2FF4D5CC-7E16-4CA9-BE50-4D8204C5B6BB}"/>
    <cellStyle name="Note 2 2 5 3" xfId="5731" xr:uid="{00000000-0005-0000-0000-0000E0200000}"/>
    <cellStyle name="Note 2 2 5 3 2" xfId="14160" xr:uid="{6F8FF872-78C5-46AD-93AA-FF7436AF6AF0}"/>
    <cellStyle name="Note 2 2 5 4" xfId="9942" xr:uid="{ADC2D0D5-B3D2-4E10-BC71-1F962C729780}"/>
    <cellStyle name="Note 2 2 6" xfId="1836" xr:uid="{00000000-0005-0000-0000-0000E1200000}"/>
    <cellStyle name="Note 2 2 6 2" xfId="4065" xr:uid="{00000000-0005-0000-0000-0000E2200000}"/>
    <cellStyle name="Note 2 2 6 2 2" xfId="8289" xr:uid="{00000000-0005-0000-0000-0000E3200000}"/>
    <cellStyle name="Note 2 2 6 2 2 2" xfId="16718" xr:uid="{00E4D17D-1560-4E46-9D8A-D1D6DC9D9F08}"/>
    <cellStyle name="Note 2 2 6 2 3" xfId="12500" xr:uid="{C81F21FB-A272-46DA-A783-2181AC3F4399}"/>
    <cellStyle name="Note 2 2 6 3" xfId="6144" xr:uid="{00000000-0005-0000-0000-0000E4200000}"/>
    <cellStyle name="Note 2 2 6 3 2" xfId="14573" xr:uid="{1861C87A-0BF4-4499-8563-08E55FA0A849}"/>
    <cellStyle name="Note 2 2 6 4" xfId="10355" xr:uid="{0B4ED8B7-601E-4148-8741-653D43B86EB4}"/>
    <cellStyle name="Note 2 2 7" xfId="2249" xr:uid="{00000000-0005-0000-0000-0000E5200000}"/>
    <cellStyle name="Note 2 2 7 2" xfId="4478" xr:uid="{00000000-0005-0000-0000-0000E6200000}"/>
    <cellStyle name="Note 2 2 7 2 2" xfId="8702" xr:uid="{00000000-0005-0000-0000-0000E7200000}"/>
    <cellStyle name="Note 2 2 7 2 2 2" xfId="17131" xr:uid="{29572462-FDFF-4186-A55D-F8F69FD17D09}"/>
    <cellStyle name="Note 2 2 7 2 3" xfId="12913" xr:uid="{B6445140-0BD4-4136-9D59-4A2A0EBC811C}"/>
    <cellStyle name="Note 2 2 7 3" xfId="6557" xr:uid="{00000000-0005-0000-0000-0000E8200000}"/>
    <cellStyle name="Note 2 2 7 3 2" xfId="14986" xr:uid="{10BB89EE-8A28-4B75-A19D-760525D4CDCA}"/>
    <cellStyle name="Note 2 2 7 4" xfId="10768" xr:uid="{AAD04CC8-1951-418F-8FD3-5AE837C8257D}"/>
    <cellStyle name="Note 2 2 8" xfId="2685" xr:uid="{00000000-0005-0000-0000-0000E9200000}"/>
    <cellStyle name="Note 2 2 8 2" xfId="6970" xr:uid="{00000000-0005-0000-0000-0000EA200000}"/>
    <cellStyle name="Note 2 2 8 2 2" xfId="15399" xr:uid="{E03B05C2-5A1B-45C3-9814-1A20A22A9360}"/>
    <cellStyle name="Note 2 2 8 3" xfId="11181" xr:uid="{20E784DF-CE6B-4D7A-A0BA-56AAC6335E90}"/>
    <cellStyle name="Note 2 2 9" xfId="2744" xr:uid="{00000000-0005-0000-0000-0000EB200000}"/>
    <cellStyle name="Note 2 3" xfId="550" xr:uid="{00000000-0005-0000-0000-0000EC200000}"/>
    <cellStyle name="Note 2 3 10" xfId="4909" xr:uid="{00000000-0005-0000-0000-0000ED200000}"/>
    <cellStyle name="Note 2 3 10 2" xfId="13338" xr:uid="{64F5376A-3ECB-4CC6-90B3-0C6247E3038D}"/>
    <cellStyle name="Note 2 3 11" xfId="9120" xr:uid="{31047A88-F096-4BE8-B101-C06DEA04DE59}"/>
    <cellStyle name="Note 2 3 2" xfId="551" xr:uid="{00000000-0005-0000-0000-0000EE200000}"/>
    <cellStyle name="Note 2 3 2 10" xfId="9121" xr:uid="{FF18D01B-9DC7-4270-8DE3-B6D28D972807}"/>
    <cellStyle name="Note 2 3 2 2" xfId="1012" xr:uid="{00000000-0005-0000-0000-0000EF200000}"/>
    <cellStyle name="Note 2 3 2 2 2" xfId="3244" xr:uid="{00000000-0005-0000-0000-0000F0200000}"/>
    <cellStyle name="Note 2 3 2 2 2 2" xfId="7468" xr:uid="{00000000-0005-0000-0000-0000F1200000}"/>
    <cellStyle name="Note 2 3 2 2 2 2 2" xfId="15897" xr:uid="{AFB8D8A7-A3D7-4E20-ADFD-21CCC79E92A4}"/>
    <cellStyle name="Note 2 3 2 2 2 3" xfId="11679" xr:uid="{38092C42-3B9F-47E7-BA9B-E4D8384BF7E1}"/>
    <cellStyle name="Note 2 3 2 2 3" xfId="5323" xr:uid="{00000000-0005-0000-0000-0000F2200000}"/>
    <cellStyle name="Note 2 3 2 2 3 2" xfId="13752" xr:uid="{6D6D92D0-12CE-45DD-A2A5-4A7F714CA001}"/>
    <cellStyle name="Note 2 3 2 2 4" xfId="9534" xr:uid="{0FEE8120-7730-4AAF-A3DB-6DA17C5C170B}"/>
    <cellStyle name="Note 2 3 2 3" xfId="1427" xr:uid="{00000000-0005-0000-0000-0000F3200000}"/>
    <cellStyle name="Note 2 3 2 3 2" xfId="3657" xr:uid="{00000000-0005-0000-0000-0000F4200000}"/>
    <cellStyle name="Note 2 3 2 3 2 2" xfId="7881" xr:uid="{00000000-0005-0000-0000-0000F5200000}"/>
    <cellStyle name="Note 2 3 2 3 2 2 2" xfId="16310" xr:uid="{D97980CC-FB26-44EB-A73B-2F6CF84AEACF}"/>
    <cellStyle name="Note 2 3 2 3 2 3" xfId="12092" xr:uid="{289E9671-07DF-4E84-9079-0DE23141C3B1}"/>
    <cellStyle name="Note 2 3 2 3 3" xfId="5736" xr:uid="{00000000-0005-0000-0000-0000F6200000}"/>
    <cellStyle name="Note 2 3 2 3 3 2" xfId="14165" xr:uid="{E570ED5F-6B08-4454-85CB-2C4EF0092E6B}"/>
    <cellStyle name="Note 2 3 2 3 4" xfId="9947" xr:uid="{D77247D4-6A1F-4332-A6A4-08DDB076D234}"/>
    <cellStyle name="Note 2 3 2 4" xfId="1841" xr:uid="{00000000-0005-0000-0000-0000F7200000}"/>
    <cellStyle name="Note 2 3 2 4 2" xfId="4070" xr:uid="{00000000-0005-0000-0000-0000F8200000}"/>
    <cellStyle name="Note 2 3 2 4 2 2" xfId="8294" xr:uid="{00000000-0005-0000-0000-0000F9200000}"/>
    <cellStyle name="Note 2 3 2 4 2 2 2" xfId="16723" xr:uid="{E421C783-B9AC-423A-BEDC-3137FAF319CB}"/>
    <cellStyle name="Note 2 3 2 4 2 3" xfId="12505" xr:uid="{D979F02C-9A0C-4FFB-8D7F-60A5D36FD8EB}"/>
    <cellStyle name="Note 2 3 2 4 3" xfId="6149" xr:uid="{00000000-0005-0000-0000-0000FA200000}"/>
    <cellStyle name="Note 2 3 2 4 3 2" xfId="14578" xr:uid="{A942555E-E211-4169-81FC-B23AB23DDAA0}"/>
    <cellStyle name="Note 2 3 2 4 4" xfId="10360" xr:uid="{D0FB6C5A-3FC1-453E-AF2E-D7615318F902}"/>
    <cellStyle name="Note 2 3 2 5" xfId="2254" xr:uid="{00000000-0005-0000-0000-0000FB200000}"/>
    <cellStyle name="Note 2 3 2 5 2" xfId="4483" xr:uid="{00000000-0005-0000-0000-0000FC200000}"/>
    <cellStyle name="Note 2 3 2 5 2 2" xfId="8707" xr:uid="{00000000-0005-0000-0000-0000FD200000}"/>
    <cellStyle name="Note 2 3 2 5 2 2 2" xfId="17136" xr:uid="{69A58726-AFEF-48E1-8145-3DB88238C6B5}"/>
    <cellStyle name="Note 2 3 2 5 2 3" xfId="12918" xr:uid="{1FC52617-01C7-4230-A086-036C6E3DC8E8}"/>
    <cellStyle name="Note 2 3 2 5 3" xfId="6562" xr:uid="{00000000-0005-0000-0000-0000FE200000}"/>
    <cellStyle name="Note 2 3 2 5 3 2" xfId="14991" xr:uid="{CB257F2B-C058-4067-B8D6-B5244B29E0A5}"/>
    <cellStyle name="Note 2 3 2 5 4" xfId="10773" xr:uid="{DF3BB2D3-6D44-4FB7-BA07-0571881BFB82}"/>
    <cellStyle name="Note 2 3 2 6" xfId="2690" xr:uid="{00000000-0005-0000-0000-0000FF200000}"/>
    <cellStyle name="Note 2 3 2 6 2" xfId="6975" xr:uid="{00000000-0005-0000-0000-000000210000}"/>
    <cellStyle name="Note 2 3 2 6 2 2" xfId="15404" xr:uid="{30C407F0-F486-41BB-940D-52C706756096}"/>
    <cellStyle name="Note 2 3 2 6 3" xfId="11186" xr:uid="{986ABF7E-745D-41E7-B4B1-6F37C5A27962}"/>
    <cellStyle name="Note 2 3 2 7" xfId="2749" xr:uid="{00000000-0005-0000-0000-000001210000}"/>
    <cellStyle name="Note 2 3 2 8" xfId="2830" xr:uid="{00000000-0005-0000-0000-000002210000}"/>
    <cellStyle name="Note 2 3 2 8 2" xfId="7055" xr:uid="{00000000-0005-0000-0000-000003210000}"/>
    <cellStyle name="Note 2 3 2 8 2 2" xfId="15484" xr:uid="{8BCA326F-ECED-4CD3-B408-B9F8B759DEE1}"/>
    <cellStyle name="Note 2 3 2 8 3" xfId="11266" xr:uid="{6645ACDB-0F0C-4CB0-BBD7-C28BF6E45CA7}"/>
    <cellStyle name="Note 2 3 2 9" xfId="4910" xr:uid="{00000000-0005-0000-0000-000004210000}"/>
    <cellStyle name="Note 2 3 2 9 2" xfId="13339" xr:uid="{7419419D-B184-4C14-8C57-0C8301E04E3F}"/>
    <cellStyle name="Note 2 3 3" xfId="1011" xr:uid="{00000000-0005-0000-0000-000005210000}"/>
    <cellStyle name="Note 2 3 3 2" xfId="3243" xr:uid="{00000000-0005-0000-0000-000006210000}"/>
    <cellStyle name="Note 2 3 3 2 2" xfId="7467" xr:uid="{00000000-0005-0000-0000-000007210000}"/>
    <cellStyle name="Note 2 3 3 2 2 2" xfId="15896" xr:uid="{3F2FE99B-E87F-47F1-8F1E-77278FC602C9}"/>
    <cellStyle name="Note 2 3 3 2 3" xfId="11678" xr:uid="{40CE8389-6413-4DD1-9BE5-D0F9E93BA4A7}"/>
    <cellStyle name="Note 2 3 3 3" xfId="5322" xr:uid="{00000000-0005-0000-0000-000008210000}"/>
    <cellStyle name="Note 2 3 3 3 2" xfId="13751" xr:uid="{4CEF77B7-6A24-41E0-9F76-D2B4CBBD69FC}"/>
    <cellStyle name="Note 2 3 3 4" xfId="9533" xr:uid="{3D0031E2-F852-4A2D-90B0-5A544C955FE1}"/>
    <cellStyle name="Note 2 3 4" xfId="1426" xr:uid="{00000000-0005-0000-0000-000009210000}"/>
    <cellStyle name="Note 2 3 4 2" xfId="3656" xr:uid="{00000000-0005-0000-0000-00000A210000}"/>
    <cellStyle name="Note 2 3 4 2 2" xfId="7880" xr:uid="{00000000-0005-0000-0000-00000B210000}"/>
    <cellStyle name="Note 2 3 4 2 2 2" xfId="16309" xr:uid="{791D04E9-0395-48B8-983B-D2A4E630E331}"/>
    <cellStyle name="Note 2 3 4 2 3" xfId="12091" xr:uid="{650B6FB5-A86F-4EEE-A208-785EC0E88142}"/>
    <cellStyle name="Note 2 3 4 3" xfId="5735" xr:uid="{00000000-0005-0000-0000-00000C210000}"/>
    <cellStyle name="Note 2 3 4 3 2" xfId="14164" xr:uid="{90649117-16D8-4BF9-9789-5666E8CE10BD}"/>
    <cellStyle name="Note 2 3 4 4" xfId="9946" xr:uid="{F1890C6F-3C5C-4D78-B508-AEC866C2F694}"/>
    <cellStyle name="Note 2 3 5" xfId="1840" xr:uid="{00000000-0005-0000-0000-00000D210000}"/>
    <cellStyle name="Note 2 3 5 2" xfId="4069" xr:uid="{00000000-0005-0000-0000-00000E210000}"/>
    <cellStyle name="Note 2 3 5 2 2" xfId="8293" xr:uid="{00000000-0005-0000-0000-00000F210000}"/>
    <cellStyle name="Note 2 3 5 2 2 2" xfId="16722" xr:uid="{17DC9DB0-229C-48C5-B1F6-3AFD7AFF3CB9}"/>
    <cellStyle name="Note 2 3 5 2 3" xfId="12504" xr:uid="{38FBEBFD-9494-479F-8868-1A898C6F60BC}"/>
    <cellStyle name="Note 2 3 5 3" xfId="6148" xr:uid="{00000000-0005-0000-0000-000010210000}"/>
    <cellStyle name="Note 2 3 5 3 2" xfId="14577" xr:uid="{24993427-B2EB-4789-952E-8B0926AE6F6C}"/>
    <cellStyle name="Note 2 3 5 4" xfId="10359" xr:uid="{690F555A-109E-4C57-9F56-816657CB89BC}"/>
    <cellStyle name="Note 2 3 6" xfId="2253" xr:uid="{00000000-0005-0000-0000-000011210000}"/>
    <cellStyle name="Note 2 3 6 2" xfId="4482" xr:uid="{00000000-0005-0000-0000-000012210000}"/>
    <cellStyle name="Note 2 3 6 2 2" xfId="8706" xr:uid="{00000000-0005-0000-0000-000013210000}"/>
    <cellStyle name="Note 2 3 6 2 2 2" xfId="17135" xr:uid="{8D0A1200-F821-49BE-B9C2-E9E8F9A1BD59}"/>
    <cellStyle name="Note 2 3 6 2 3" xfId="12917" xr:uid="{D8EA60B4-7788-4371-8F49-618C70F4CA96}"/>
    <cellStyle name="Note 2 3 6 3" xfId="6561" xr:uid="{00000000-0005-0000-0000-000014210000}"/>
    <cellStyle name="Note 2 3 6 3 2" xfId="14990" xr:uid="{F5FC3A8B-75E7-469A-966E-A7DF6DC050B5}"/>
    <cellStyle name="Note 2 3 6 4" xfId="10772" xr:uid="{1EDDCDDB-F43D-4224-A2C7-02D484B62366}"/>
    <cellStyle name="Note 2 3 7" xfId="2689" xr:uid="{00000000-0005-0000-0000-000015210000}"/>
    <cellStyle name="Note 2 3 7 2" xfId="6974" xr:uid="{00000000-0005-0000-0000-000016210000}"/>
    <cellStyle name="Note 2 3 7 2 2" xfId="15403" xr:uid="{B06D50F0-2D6D-4E3F-B37C-6A708540A706}"/>
    <cellStyle name="Note 2 3 7 3" xfId="11185" xr:uid="{77DCE975-7471-4A0D-8B6F-63F796F64761}"/>
    <cellStyle name="Note 2 3 8" xfId="2748" xr:uid="{00000000-0005-0000-0000-000017210000}"/>
    <cellStyle name="Note 2 3 9" xfId="2829" xr:uid="{00000000-0005-0000-0000-000018210000}"/>
    <cellStyle name="Note 2 3 9 2" xfId="7054" xr:uid="{00000000-0005-0000-0000-000019210000}"/>
    <cellStyle name="Note 2 3 9 2 2" xfId="15483" xr:uid="{D698BCA5-1D9B-4043-B492-3FD941AEEED7}"/>
    <cellStyle name="Note 2 3 9 3" xfId="11265" xr:uid="{A5F9D050-5FCA-4AA8-99C5-46A0E002174E}"/>
    <cellStyle name="Note 2 4" xfId="552" xr:uid="{00000000-0005-0000-0000-00001A210000}"/>
    <cellStyle name="Note 2 4 10" xfId="9122" xr:uid="{BE0EE385-1195-48DC-99B2-D56D4F94A189}"/>
    <cellStyle name="Note 2 4 2" xfId="1013" xr:uid="{00000000-0005-0000-0000-00001B210000}"/>
    <cellStyle name="Note 2 4 2 2" xfId="3245" xr:uid="{00000000-0005-0000-0000-00001C210000}"/>
    <cellStyle name="Note 2 4 2 2 2" xfId="7469" xr:uid="{00000000-0005-0000-0000-00001D210000}"/>
    <cellStyle name="Note 2 4 2 2 2 2" xfId="15898" xr:uid="{27383CB5-2043-46AA-9A64-7C9DD6049014}"/>
    <cellStyle name="Note 2 4 2 2 3" xfId="11680" xr:uid="{0FB15509-6AD8-4035-BF75-8AA2E361DEA2}"/>
    <cellStyle name="Note 2 4 2 3" xfId="5324" xr:uid="{00000000-0005-0000-0000-00001E210000}"/>
    <cellStyle name="Note 2 4 2 3 2" xfId="13753" xr:uid="{86239704-2ED4-4A66-BF87-5D830093F1CD}"/>
    <cellStyle name="Note 2 4 2 4" xfId="9535" xr:uid="{83AFF75E-CA81-47C8-9273-E5333BA8BFAD}"/>
    <cellStyle name="Note 2 4 3" xfId="1428" xr:uid="{00000000-0005-0000-0000-00001F210000}"/>
    <cellStyle name="Note 2 4 3 2" xfId="3658" xr:uid="{00000000-0005-0000-0000-000020210000}"/>
    <cellStyle name="Note 2 4 3 2 2" xfId="7882" xr:uid="{00000000-0005-0000-0000-000021210000}"/>
    <cellStyle name="Note 2 4 3 2 2 2" xfId="16311" xr:uid="{56915A9B-3630-4718-B1EA-E016D061F19D}"/>
    <cellStyle name="Note 2 4 3 2 3" xfId="12093" xr:uid="{B0CCC019-41D2-4DB9-8D12-01F37D8CC94E}"/>
    <cellStyle name="Note 2 4 3 3" xfId="5737" xr:uid="{00000000-0005-0000-0000-000022210000}"/>
    <cellStyle name="Note 2 4 3 3 2" xfId="14166" xr:uid="{F08454E2-18B1-44B3-A03B-9E2B4D410BC0}"/>
    <cellStyle name="Note 2 4 3 4" xfId="9948" xr:uid="{F4FE4009-FDFA-4210-8732-B6C83C9F0FA3}"/>
    <cellStyle name="Note 2 4 4" xfId="1842" xr:uid="{00000000-0005-0000-0000-000023210000}"/>
    <cellStyle name="Note 2 4 4 2" xfId="4071" xr:uid="{00000000-0005-0000-0000-000024210000}"/>
    <cellStyle name="Note 2 4 4 2 2" xfId="8295" xr:uid="{00000000-0005-0000-0000-000025210000}"/>
    <cellStyle name="Note 2 4 4 2 2 2" xfId="16724" xr:uid="{9D9BDFB9-1572-4296-8F5A-0FE19B4E9C94}"/>
    <cellStyle name="Note 2 4 4 2 3" xfId="12506" xr:uid="{7902165D-0F9A-4668-B06A-D1083EEBB943}"/>
    <cellStyle name="Note 2 4 4 3" xfId="6150" xr:uid="{00000000-0005-0000-0000-000026210000}"/>
    <cellStyle name="Note 2 4 4 3 2" xfId="14579" xr:uid="{F7781B4F-B06B-4EF0-865B-2A3CE475C04F}"/>
    <cellStyle name="Note 2 4 4 4" xfId="10361" xr:uid="{20148A8D-0A99-4601-94C6-68C4729DDBA2}"/>
    <cellStyle name="Note 2 4 5" xfId="2255" xr:uid="{00000000-0005-0000-0000-000027210000}"/>
    <cellStyle name="Note 2 4 5 2" xfId="4484" xr:uid="{00000000-0005-0000-0000-000028210000}"/>
    <cellStyle name="Note 2 4 5 2 2" xfId="8708" xr:uid="{00000000-0005-0000-0000-000029210000}"/>
    <cellStyle name="Note 2 4 5 2 2 2" xfId="17137" xr:uid="{DB362481-37B9-4913-B3B4-82F276E6625A}"/>
    <cellStyle name="Note 2 4 5 2 3" xfId="12919" xr:uid="{1A4F216A-83B6-4D15-B829-A39322FFF70C}"/>
    <cellStyle name="Note 2 4 5 3" xfId="6563" xr:uid="{00000000-0005-0000-0000-00002A210000}"/>
    <cellStyle name="Note 2 4 5 3 2" xfId="14992" xr:uid="{69316778-84BE-48B1-8431-7B3E17479F21}"/>
    <cellStyle name="Note 2 4 5 4" xfId="10774" xr:uid="{50E78783-FF04-4A84-9986-3ABD4A44F743}"/>
    <cellStyle name="Note 2 4 6" xfId="2691" xr:uid="{00000000-0005-0000-0000-00002B210000}"/>
    <cellStyle name="Note 2 4 6 2" xfId="6976" xr:uid="{00000000-0005-0000-0000-00002C210000}"/>
    <cellStyle name="Note 2 4 6 2 2" xfId="15405" xr:uid="{A1552407-5728-4476-B7F8-3B9F42F31A6E}"/>
    <cellStyle name="Note 2 4 6 3" xfId="11187" xr:uid="{F971EEDD-A9AB-481E-871C-E32110658E21}"/>
    <cellStyle name="Note 2 4 7" xfId="2750" xr:uid="{00000000-0005-0000-0000-00002D210000}"/>
    <cellStyle name="Note 2 4 8" xfId="2831" xr:uid="{00000000-0005-0000-0000-00002E210000}"/>
    <cellStyle name="Note 2 4 8 2" xfId="7056" xr:uid="{00000000-0005-0000-0000-00002F210000}"/>
    <cellStyle name="Note 2 4 8 2 2" xfId="15485" xr:uid="{BBB3A517-98CF-4A01-8331-CDCE5C65C622}"/>
    <cellStyle name="Note 2 4 8 3" xfId="11267" xr:uid="{02657918-1203-45C0-8EFD-DC866041B2F6}"/>
    <cellStyle name="Note 2 4 9" xfId="4911" xr:uid="{00000000-0005-0000-0000-000030210000}"/>
    <cellStyle name="Note 2 4 9 2" xfId="13340" xr:uid="{D82090C8-1D0A-4E66-8D60-7D63D243ADDB}"/>
    <cellStyle name="Note 2 5" xfId="553" xr:uid="{00000000-0005-0000-0000-000031210000}"/>
    <cellStyle name="Note 2 5 10" xfId="9123" xr:uid="{7C80AEF7-84B9-4A3D-BF4C-39B093707926}"/>
    <cellStyle name="Note 2 5 2" xfId="1014" xr:uid="{00000000-0005-0000-0000-000032210000}"/>
    <cellStyle name="Note 2 5 2 2" xfId="3246" xr:uid="{00000000-0005-0000-0000-000033210000}"/>
    <cellStyle name="Note 2 5 2 2 2" xfId="7470" xr:uid="{00000000-0005-0000-0000-000034210000}"/>
    <cellStyle name="Note 2 5 2 2 2 2" xfId="15899" xr:uid="{85A8262E-AAAA-49D0-8338-799C7C3A59C1}"/>
    <cellStyle name="Note 2 5 2 2 3" xfId="11681" xr:uid="{B3D1BEAC-C048-4D46-85FA-FF8558F2F119}"/>
    <cellStyle name="Note 2 5 2 3" xfId="5325" xr:uid="{00000000-0005-0000-0000-000035210000}"/>
    <cellStyle name="Note 2 5 2 3 2" xfId="13754" xr:uid="{D75FCFD1-7E46-44F0-BD04-11CAD1B4C8A3}"/>
    <cellStyle name="Note 2 5 2 4" xfId="9536" xr:uid="{81BE2BCC-DF5A-47DC-9BEF-0155E238CFEA}"/>
    <cellStyle name="Note 2 5 3" xfId="1429" xr:uid="{00000000-0005-0000-0000-000036210000}"/>
    <cellStyle name="Note 2 5 3 2" xfId="3659" xr:uid="{00000000-0005-0000-0000-000037210000}"/>
    <cellStyle name="Note 2 5 3 2 2" xfId="7883" xr:uid="{00000000-0005-0000-0000-000038210000}"/>
    <cellStyle name="Note 2 5 3 2 2 2" xfId="16312" xr:uid="{6A40726E-130F-433B-8F87-E466946EB496}"/>
    <cellStyle name="Note 2 5 3 2 3" xfId="12094" xr:uid="{29F223BE-730E-426E-BF3E-CF9828453B24}"/>
    <cellStyle name="Note 2 5 3 3" xfId="5738" xr:uid="{00000000-0005-0000-0000-000039210000}"/>
    <cellStyle name="Note 2 5 3 3 2" xfId="14167" xr:uid="{4D39DD94-8983-4534-A4D5-BD7289F05190}"/>
    <cellStyle name="Note 2 5 3 4" xfId="9949" xr:uid="{1F7B66C1-697E-481E-A29E-08CD2F6A5BC8}"/>
    <cellStyle name="Note 2 5 4" xfId="1843" xr:uid="{00000000-0005-0000-0000-00003A210000}"/>
    <cellStyle name="Note 2 5 4 2" xfId="4072" xr:uid="{00000000-0005-0000-0000-00003B210000}"/>
    <cellStyle name="Note 2 5 4 2 2" xfId="8296" xr:uid="{00000000-0005-0000-0000-00003C210000}"/>
    <cellStyle name="Note 2 5 4 2 2 2" xfId="16725" xr:uid="{A3DEB428-FA9A-4976-A873-C47DEE47C2F0}"/>
    <cellStyle name="Note 2 5 4 2 3" xfId="12507" xr:uid="{B92F6A0D-4DBC-4394-87D4-BA271924B08C}"/>
    <cellStyle name="Note 2 5 4 3" xfId="6151" xr:uid="{00000000-0005-0000-0000-00003D210000}"/>
    <cellStyle name="Note 2 5 4 3 2" xfId="14580" xr:uid="{2E629293-8B10-4609-B771-F9B58D40168A}"/>
    <cellStyle name="Note 2 5 4 4" xfId="10362" xr:uid="{3EA0B351-39C1-470F-930A-450295B3BA6F}"/>
    <cellStyle name="Note 2 5 5" xfId="2256" xr:uid="{00000000-0005-0000-0000-00003E210000}"/>
    <cellStyle name="Note 2 5 5 2" xfId="4485" xr:uid="{00000000-0005-0000-0000-00003F210000}"/>
    <cellStyle name="Note 2 5 5 2 2" xfId="8709" xr:uid="{00000000-0005-0000-0000-000040210000}"/>
    <cellStyle name="Note 2 5 5 2 2 2" xfId="17138" xr:uid="{EC5F8847-D895-4918-ABEB-D06C714E71C4}"/>
    <cellStyle name="Note 2 5 5 2 3" xfId="12920" xr:uid="{0DCC7E97-AB57-4DDF-90ED-EA9E1BA11DD5}"/>
    <cellStyle name="Note 2 5 5 3" xfId="6564" xr:uid="{00000000-0005-0000-0000-000041210000}"/>
    <cellStyle name="Note 2 5 5 3 2" xfId="14993" xr:uid="{3CEB660D-80CE-45D0-847A-1D2207FAD10C}"/>
    <cellStyle name="Note 2 5 5 4" xfId="10775" xr:uid="{3406D619-616C-4DF2-9FDD-EFD0AE8177DB}"/>
    <cellStyle name="Note 2 5 6" xfId="2692" xr:uid="{00000000-0005-0000-0000-000042210000}"/>
    <cellStyle name="Note 2 5 6 2" xfId="6977" xr:uid="{00000000-0005-0000-0000-000043210000}"/>
    <cellStyle name="Note 2 5 6 2 2" xfId="15406" xr:uid="{82EC64B2-0D99-4D1F-9AED-12C68AA0A79F}"/>
    <cellStyle name="Note 2 5 6 3" xfId="11188" xr:uid="{C90A725F-D34C-48F9-9CCD-C1DA55F84AD6}"/>
    <cellStyle name="Note 2 5 7" xfId="2751" xr:uid="{00000000-0005-0000-0000-000044210000}"/>
    <cellStyle name="Note 2 5 8" xfId="2832" xr:uid="{00000000-0005-0000-0000-000045210000}"/>
    <cellStyle name="Note 2 5 8 2" xfId="7057" xr:uid="{00000000-0005-0000-0000-000046210000}"/>
    <cellStyle name="Note 2 5 8 2 2" xfId="15486" xr:uid="{77AD7FE3-D607-4EF7-BDA9-41331991D34B}"/>
    <cellStyle name="Note 2 5 8 3" xfId="11268" xr:uid="{859EF3C8-DF4C-4185-BCF1-5EAFE96ADBC8}"/>
    <cellStyle name="Note 2 5 9" xfId="4912" xr:uid="{00000000-0005-0000-0000-000047210000}"/>
    <cellStyle name="Note 2 5 9 2" xfId="13341" xr:uid="{E47A4E46-07ED-47D9-A0E2-E1A0875284A3}"/>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DA7C0F42-4181-41CA-81D0-48C531DBE1A0}"/>
    <cellStyle name="Note 3 2 10 3" xfId="11269" xr:uid="{9CF31230-CB54-4127-BE5D-7707642EC009}"/>
    <cellStyle name="Note 3 2 11" xfId="4913" xr:uid="{00000000-0005-0000-0000-00004C210000}"/>
    <cellStyle name="Note 3 2 11 2" xfId="13342" xr:uid="{C29457CC-0F96-4CDF-8591-A40231542F08}"/>
    <cellStyle name="Note 3 2 12" xfId="9124" xr:uid="{777D0F19-24B2-40B8-BB6F-9E01C808DFE0}"/>
    <cellStyle name="Note 3 2 2" xfId="556" xr:uid="{00000000-0005-0000-0000-00004D210000}"/>
    <cellStyle name="Note 3 2 2 10" xfId="4914" xr:uid="{00000000-0005-0000-0000-00004E210000}"/>
    <cellStyle name="Note 3 2 2 10 2" xfId="13343" xr:uid="{57E4CDC8-E69E-4F84-821A-64E095403A74}"/>
    <cellStyle name="Note 3 2 2 11" xfId="9125" xr:uid="{448DB50B-E4C4-467B-96F9-5553C9CF107E}"/>
    <cellStyle name="Note 3 2 2 2" xfId="557" xr:uid="{00000000-0005-0000-0000-00004F210000}"/>
    <cellStyle name="Note 3 2 2 2 10" xfId="9126" xr:uid="{2218B587-D137-4199-ABDA-838804B17275}"/>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2F8F22FE-542E-4052-8614-A5D5CDEE8E0C}"/>
    <cellStyle name="Note 3 2 2 2 2 2 3" xfId="11684" xr:uid="{BF626752-3E6A-4F08-8A84-AB23A629C9F0}"/>
    <cellStyle name="Note 3 2 2 2 2 3" xfId="5328" xr:uid="{00000000-0005-0000-0000-000053210000}"/>
    <cellStyle name="Note 3 2 2 2 2 3 2" xfId="13757" xr:uid="{D10164D6-55B3-4EB8-824C-113FDE691D3B}"/>
    <cellStyle name="Note 3 2 2 2 2 4" xfId="9539" xr:uid="{70BDCA39-45FF-43F1-8A54-62059E9770FC}"/>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C557AC6B-E251-4970-80D4-40A0F1EB1726}"/>
    <cellStyle name="Note 3 2 2 2 3 2 3" xfId="12097" xr:uid="{CEEFCFE3-5746-4EA3-8968-758128E34B0C}"/>
    <cellStyle name="Note 3 2 2 2 3 3" xfId="5741" xr:uid="{00000000-0005-0000-0000-000057210000}"/>
    <cellStyle name="Note 3 2 2 2 3 3 2" xfId="14170" xr:uid="{359197DB-D246-4F70-9109-A61583B1C439}"/>
    <cellStyle name="Note 3 2 2 2 3 4" xfId="9952" xr:uid="{762214E2-1860-40AA-B2A1-2B7BC1D6DBBD}"/>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21D0073F-CD1C-49BB-ADC2-018338FC510F}"/>
    <cellStyle name="Note 3 2 2 2 4 2 3" xfId="12510" xr:uid="{90F8221D-F013-4FF9-BD30-762FF6191FD9}"/>
    <cellStyle name="Note 3 2 2 2 4 3" xfId="6154" xr:uid="{00000000-0005-0000-0000-00005B210000}"/>
    <cellStyle name="Note 3 2 2 2 4 3 2" xfId="14583" xr:uid="{345C77F7-5160-4B17-A5C8-B2287B20C6DA}"/>
    <cellStyle name="Note 3 2 2 2 4 4" xfId="10365" xr:uid="{885D8497-FAC7-4B94-BD89-8E88CAD67821}"/>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A4485CDD-BD11-4D51-9056-CB5DAAC997FA}"/>
    <cellStyle name="Note 3 2 2 2 5 2 3" xfId="12923" xr:uid="{6464605A-4F8D-4207-8730-2B6D501B88E5}"/>
    <cellStyle name="Note 3 2 2 2 5 3" xfId="6567" xr:uid="{00000000-0005-0000-0000-00005F210000}"/>
    <cellStyle name="Note 3 2 2 2 5 3 2" xfId="14996" xr:uid="{9E57A1E8-2C99-4870-87B3-EAC102FA0592}"/>
    <cellStyle name="Note 3 2 2 2 5 4" xfId="10778" xr:uid="{41F7DF34-93C9-4030-A424-7599C4A5B9B9}"/>
    <cellStyle name="Note 3 2 2 2 6" xfId="2695" xr:uid="{00000000-0005-0000-0000-000060210000}"/>
    <cellStyle name="Note 3 2 2 2 6 2" xfId="6980" xr:uid="{00000000-0005-0000-0000-000061210000}"/>
    <cellStyle name="Note 3 2 2 2 6 2 2" xfId="15409" xr:uid="{C109A54C-3A12-40CE-91A0-59B702CB905B}"/>
    <cellStyle name="Note 3 2 2 2 6 3" xfId="11191" xr:uid="{63153C3F-3533-4B7F-BC21-3E1F368F0A87}"/>
    <cellStyle name="Note 3 2 2 2 7" xfId="2754" xr:uid="{00000000-0005-0000-0000-000062210000}"/>
    <cellStyle name="Note 3 2 2 2 8" xfId="2835" xr:uid="{00000000-0005-0000-0000-000063210000}"/>
    <cellStyle name="Note 3 2 2 2 8 2" xfId="7060" xr:uid="{00000000-0005-0000-0000-000064210000}"/>
    <cellStyle name="Note 3 2 2 2 8 2 2" xfId="15489" xr:uid="{D8493D15-F3B7-4389-93F4-395BA2B357C6}"/>
    <cellStyle name="Note 3 2 2 2 8 3" xfId="11271" xr:uid="{5B70B3D2-9A16-4298-9C62-96A5ABFF54E5}"/>
    <cellStyle name="Note 3 2 2 2 9" xfId="4915" xr:uid="{00000000-0005-0000-0000-000065210000}"/>
    <cellStyle name="Note 3 2 2 2 9 2" xfId="13344" xr:uid="{9A988585-D485-4A8C-BFD6-B749C07A7C69}"/>
    <cellStyle name="Note 3 2 2 3" xfId="1016" xr:uid="{00000000-0005-0000-0000-000066210000}"/>
    <cellStyle name="Note 3 2 2 3 2" xfId="3248" xr:uid="{00000000-0005-0000-0000-000067210000}"/>
    <cellStyle name="Note 3 2 2 3 2 2" xfId="7472" xr:uid="{00000000-0005-0000-0000-000068210000}"/>
    <cellStyle name="Note 3 2 2 3 2 2 2" xfId="15901" xr:uid="{79CE73E8-6ED2-47B5-888D-15954AE0E2AB}"/>
    <cellStyle name="Note 3 2 2 3 2 3" xfId="11683" xr:uid="{209AE71D-2A66-4C67-8528-28F71F192DEA}"/>
    <cellStyle name="Note 3 2 2 3 3" xfId="5327" xr:uid="{00000000-0005-0000-0000-000069210000}"/>
    <cellStyle name="Note 3 2 2 3 3 2" xfId="13756" xr:uid="{8F1D13F1-1336-44D6-BC19-778127D0237E}"/>
    <cellStyle name="Note 3 2 2 3 4" xfId="9538" xr:uid="{556DDF24-EC01-4D74-A9B7-DD09609DC467}"/>
    <cellStyle name="Note 3 2 2 4" xfId="1431" xr:uid="{00000000-0005-0000-0000-00006A210000}"/>
    <cellStyle name="Note 3 2 2 4 2" xfId="3661" xr:uid="{00000000-0005-0000-0000-00006B210000}"/>
    <cellStyle name="Note 3 2 2 4 2 2" xfId="7885" xr:uid="{00000000-0005-0000-0000-00006C210000}"/>
    <cellStyle name="Note 3 2 2 4 2 2 2" xfId="16314" xr:uid="{A1851590-D72E-41AB-AF6D-7F2443F15AF4}"/>
    <cellStyle name="Note 3 2 2 4 2 3" xfId="12096" xr:uid="{19C20BA6-2541-4AD2-BB0E-315F9CFC8836}"/>
    <cellStyle name="Note 3 2 2 4 3" xfId="5740" xr:uid="{00000000-0005-0000-0000-00006D210000}"/>
    <cellStyle name="Note 3 2 2 4 3 2" xfId="14169" xr:uid="{CEE4830C-DDA5-413A-B1EC-E6EB30F8933B}"/>
    <cellStyle name="Note 3 2 2 4 4" xfId="9951" xr:uid="{C0001432-5440-45B6-8311-31AC86B00890}"/>
    <cellStyle name="Note 3 2 2 5" xfId="1845" xr:uid="{00000000-0005-0000-0000-00006E210000}"/>
    <cellStyle name="Note 3 2 2 5 2" xfId="4074" xr:uid="{00000000-0005-0000-0000-00006F210000}"/>
    <cellStyle name="Note 3 2 2 5 2 2" xfId="8298" xr:uid="{00000000-0005-0000-0000-000070210000}"/>
    <cellStyle name="Note 3 2 2 5 2 2 2" xfId="16727" xr:uid="{45AE36EF-BE82-4E42-8E6D-74AF802CA18C}"/>
    <cellStyle name="Note 3 2 2 5 2 3" xfId="12509" xr:uid="{FA708483-98D0-4259-B629-7EF18DEA4108}"/>
    <cellStyle name="Note 3 2 2 5 3" xfId="6153" xr:uid="{00000000-0005-0000-0000-000071210000}"/>
    <cellStyle name="Note 3 2 2 5 3 2" xfId="14582" xr:uid="{7C95E174-7002-4C2B-905C-3F88ED7959A0}"/>
    <cellStyle name="Note 3 2 2 5 4" xfId="10364" xr:uid="{97C118BD-3055-4D2D-9BE9-0786F7673EB7}"/>
    <cellStyle name="Note 3 2 2 6" xfId="2258" xr:uid="{00000000-0005-0000-0000-000072210000}"/>
    <cellStyle name="Note 3 2 2 6 2" xfId="4487" xr:uid="{00000000-0005-0000-0000-000073210000}"/>
    <cellStyle name="Note 3 2 2 6 2 2" xfId="8711" xr:uid="{00000000-0005-0000-0000-000074210000}"/>
    <cellStyle name="Note 3 2 2 6 2 2 2" xfId="17140" xr:uid="{9C759E57-D329-412B-967D-A9A955F9E811}"/>
    <cellStyle name="Note 3 2 2 6 2 3" xfId="12922" xr:uid="{23D72856-9E5F-4C14-807A-481E66D8705F}"/>
    <cellStyle name="Note 3 2 2 6 3" xfId="6566" xr:uid="{00000000-0005-0000-0000-000075210000}"/>
    <cellStyle name="Note 3 2 2 6 3 2" xfId="14995" xr:uid="{E1745673-CFBF-4535-B0A7-A4CE5525A49A}"/>
    <cellStyle name="Note 3 2 2 6 4" xfId="10777" xr:uid="{F2B2846B-DDE6-4361-9ED1-5C3754A551D3}"/>
    <cellStyle name="Note 3 2 2 7" xfId="2694" xr:uid="{00000000-0005-0000-0000-000076210000}"/>
    <cellStyle name="Note 3 2 2 7 2" xfId="6979" xr:uid="{00000000-0005-0000-0000-000077210000}"/>
    <cellStyle name="Note 3 2 2 7 2 2" xfId="15408" xr:uid="{9680DA38-B804-40BB-B9B3-C724E6363DF1}"/>
    <cellStyle name="Note 3 2 2 7 3" xfId="11190" xr:uid="{88BD2411-C6A9-4023-A6A8-A9880B12CB33}"/>
    <cellStyle name="Note 3 2 2 8" xfId="2753" xr:uid="{00000000-0005-0000-0000-000078210000}"/>
    <cellStyle name="Note 3 2 2 9" xfId="2834" xr:uid="{00000000-0005-0000-0000-000079210000}"/>
    <cellStyle name="Note 3 2 2 9 2" xfId="7059" xr:uid="{00000000-0005-0000-0000-00007A210000}"/>
    <cellStyle name="Note 3 2 2 9 2 2" xfId="15488" xr:uid="{798CE32B-02E3-4FE5-A264-DB69C0647357}"/>
    <cellStyle name="Note 3 2 2 9 3" xfId="11270" xr:uid="{7D31140D-032D-4EC8-9169-6B65BE8CE3BC}"/>
    <cellStyle name="Note 3 2 3" xfId="558" xr:uid="{00000000-0005-0000-0000-00007B210000}"/>
    <cellStyle name="Note 3 2 3 10" xfId="9127" xr:uid="{39B182A7-4E75-4B84-A235-729FB176B66B}"/>
    <cellStyle name="Note 3 2 3 2" xfId="1018" xr:uid="{00000000-0005-0000-0000-00007C210000}"/>
    <cellStyle name="Note 3 2 3 2 2" xfId="3250" xr:uid="{00000000-0005-0000-0000-00007D210000}"/>
    <cellStyle name="Note 3 2 3 2 2 2" xfId="7474" xr:uid="{00000000-0005-0000-0000-00007E210000}"/>
    <cellStyle name="Note 3 2 3 2 2 2 2" xfId="15903" xr:uid="{33A00E27-DC71-43B8-9169-52A1B37D12BB}"/>
    <cellStyle name="Note 3 2 3 2 2 3" xfId="11685" xr:uid="{508352CD-0148-4D0A-8563-3070536E4FDB}"/>
    <cellStyle name="Note 3 2 3 2 3" xfId="5329" xr:uid="{00000000-0005-0000-0000-00007F210000}"/>
    <cellStyle name="Note 3 2 3 2 3 2" xfId="13758" xr:uid="{5F6BD3F5-3F57-47E4-9086-651B8BF46716}"/>
    <cellStyle name="Note 3 2 3 2 4" xfId="9540" xr:uid="{062DBF50-2982-42B1-A761-CE4A4B09D44F}"/>
    <cellStyle name="Note 3 2 3 3" xfId="1433" xr:uid="{00000000-0005-0000-0000-000080210000}"/>
    <cellStyle name="Note 3 2 3 3 2" xfId="3663" xr:uid="{00000000-0005-0000-0000-000081210000}"/>
    <cellStyle name="Note 3 2 3 3 2 2" xfId="7887" xr:uid="{00000000-0005-0000-0000-000082210000}"/>
    <cellStyle name="Note 3 2 3 3 2 2 2" xfId="16316" xr:uid="{9715F40F-D471-4E52-A44E-317062F95614}"/>
    <cellStyle name="Note 3 2 3 3 2 3" xfId="12098" xr:uid="{D8254B48-9BB6-4B2F-AC67-D078B69ECECA}"/>
    <cellStyle name="Note 3 2 3 3 3" xfId="5742" xr:uid="{00000000-0005-0000-0000-000083210000}"/>
    <cellStyle name="Note 3 2 3 3 3 2" xfId="14171" xr:uid="{6B9F43D0-52C3-414E-96E9-CC6DB1059555}"/>
    <cellStyle name="Note 3 2 3 3 4" xfId="9953" xr:uid="{3D334F95-CFB3-466E-8945-2117F05B0683}"/>
    <cellStyle name="Note 3 2 3 4" xfId="1847" xr:uid="{00000000-0005-0000-0000-000084210000}"/>
    <cellStyle name="Note 3 2 3 4 2" xfId="4076" xr:uid="{00000000-0005-0000-0000-000085210000}"/>
    <cellStyle name="Note 3 2 3 4 2 2" xfId="8300" xr:uid="{00000000-0005-0000-0000-000086210000}"/>
    <cellStyle name="Note 3 2 3 4 2 2 2" xfId="16729" xr:uid="{400C1BE1-E750-4B89-9AF4-1620C87CDEDF}"/>
    <cellStyle name="Note 3 2 3 4 2 3" xfId="12511" xr:uid="{9036D011-7DBA-47E0-95A6-387CCBD580D8}"/>
    <cellStyle name="Note 3 2 3 4 3" xfId="6155" xr:uid="{00000000-0005-0000-0000-000087210000}"/>
    <cellStyle name="Note 3 2 3 4 3 2" xfId="14584" xr:uid="{A4B4C5A2-16EF-4CF4-A809-39B994DB107C}"/>
    <cellStyle name="Note 3 2 3 4 4" xfId="10366" xr:uid="{860B3E2C-4FFE-4C0F-B6E3-6305440BBB69}"/>
    <cellStyle name="Note 3 2 3 5" xfId="2260" xr:uid="{00000000-0005-0000-0000-000088210000}"/>
    <cellStyle name="Note 3 2 3 5 2" xfId="4489" xr:uid="{00000000-0005-0000-0000-000089210000}"/>
    <cellStyle name="Note 3 2 3 5 2 2" xfId="8713" xr:uid="{00000000-0005-0000-0000-00008A210000}"/>
    <cellStyle name="Note 3 2 3 5 2 2 2" xfId="17142" xr:uid="{B248FFF3-0F04-4E0E-B94B-CA329DF2BF85}"/>
    <cellStyle name="Note 3 2 3 5 2 3" xfId="12924" xr:uid="{3FFF5CC9-5572-46BF-9691-D31451BA513B}"/>
    <cellStyle name="Note 3 2 3 5 3" xfId="6568" xr:uid="{00000000-0005-0000-0000-00008B210000}"/>
    <cellStyle name="Note 3 2 3 5 3 2" xfId="14997" xr:uid="{964E76A2-15A0-4E5D-8D1E-F073349B7A88}"/>
    <cellStyle name="Note 3 2 3 5 4" xfId="10779" xr:uid="{E398180A-965F-4F68-9EB6-8E78D4B93ECE}"/>
    <cellStyle name="Note 3 2 3 6" xfId="2696" xr:uid="{00000000-0005-0000-0000-00008C210000}"/>
    <cellStyle name="Note 3 2 3 6 2" xfId="6981" xr:uid="{00000000-0005-0000-0000-00008D210000}"/>
    <cellStyle name="Note 3 2 3 6 2 2" xfId="15410" xr:uid="{B721144F-DA9E-409D-AE0D-6B0CA88FD0C4}"/>
    <cellStyle name="Note 3 2 3 6 3" xfId="11192" xr:uid="{1845A2DD-ADFB-461B-AEB4-BA1B79B627DA}"/>
    <cellStyle name="Note 3 2 3 7" xfId="2755" xr:uid="{00000000-0005-0000-0000-00008E210000}"/>
    <cellStyle name="Note 3 2 3 8" xfId="2836" xr:uid="{00000000-0005-0000-0000-00008F210000}"/>
    <cellStyle name="Note 3 2 3 8 2" xfId="7061" xr:uid="{00000000-0005-0000-0000-000090210000}"/>
    <cellStyle name="Note 3 2 3 8 2 2" xfId="15490" xr:uid="{0EEB9C54-62CA-44A9-BD58-E7D3CDDD59C2}"/>
    <cellStyle name="Note 3 2 3 8 3" xfId="11272" xr:uid="{E852FFA9-B188-41DE-84DA-96121E609FFB}"/>
    <cellStyle name="Note 3 2 3 9" xfId="4916" xr:uid="{00000000-0005-0000-0000-000091210000}"/>
    <cellStyle name="Note 3 2 3 9 2" xfId="13345" xr:uid="{71B74D80-90E9-44A5-8C43-166A9636DE2B}"/>
    <cellStyle name="Note 3 2 4" xfId="1015" xr:uid="{00000000-0005-0000-0000-000092210000}"/>
    <cellStyle name="Note 3 2 4 2" xfId="3247" xr:uid="{00000000-0005-0000-0000-000093210000}"/>
    <cellStyle name="Note 3 2 4 2 2" xfId="7471" xr:uid="{00000000-0005-0000-0000-000094210000}"/>
    <cellStyle name="Note 3 2 4 2 2 2" xfId="15900" xr:uid="{042A9CD9-13ED-4B17-BC1F-DAD2F8A64907}"/>
    <cellStyle name="Note 3 2 4 2 3" xfId="11682" xr:uid="{7A4D620C-FA43-407D-9041-9DD07ABD79D1}"/>
    <cellStyle name="Note 3 2 4 3" xfId="5326" xr:uid="{00000000-0005-0000-0000-000095210000}"/>
    <cellStyle name="Note 3 2 4 3 2" xfId="13755" xr:uid="{D67282E8-E6E5-4DB6-AA61-AA459B539939}"/>
    <cellStyle name="Note 3 2 4 4" xfId="9537" xr:uid="{5E7E162E-F04F-4634-8558-5DF027335183}"/>
    <cellStyle name="Note 3 2 5" xfId="1430" xr:uid="{00000000-0005-0000-0000-000096210000}"/>
    <cellStyle name="Note 3 2 5 2" xfId="3660" xr:uid="{00000000-0005-0000-0000-000097210000}"/>
    <cellStyle name="Note 3 2 5 2 2" xfId="7884" xr:uid="{00000000-0005-0000-0000-000098210000}"/>
    <cellStyle name="Note 3 2 5 2 2 2" xfId="16313" xr:uid="{682C3479-539A-4729-A014-E85890ABFFD5}"/>
    <cellStyle name="Note 3 2 5 2 3" xfId="12095" xr:uid="{F7CF57DD-02FB-4C33-896C-4DD9D2589980}"/>
    <cellStyle name="Note 3 2 5 3" xfId="5739" xr:uid="{00000000-0005-0000-0000-000099210000}"/>
    <cellStyle name="Note 3 2 5 3 2" xfId="14168" xr:uid="{36C6D19B-481E-4D2A-80CF-4A38B17BA83F}"/>
    <cellStyle name="Note 3 2 5 4" xfId="9950" xr:uid="{B7543EF1-DDA5-4251-9C6C-CE35F699C8CB}"/>
    <cellStyle name="Note 3 2 6" xfId="1844" xr:uid="{00000000-0005-0000-0000-00009A210000}"/>
    <cellStyle name="Note 3 2 6 2" xfId="4073" xr:uid="{00000000-0005-0000-0000-00009B210000}"/>
    <cellStyle name="Note 3 2 6 2 2" xfId="8297" xr:uid="{00000000-0005-0000-0000-00009C210000}"/>
    <cellStyle name="Note 3 2 6 2 2 2" xfId="16726" xr:uid="{21CDBC6F-EEA0-428B-9EFB-ADF8AEAD6752}"/>
    <cellStyle name="Note 3 2 6 2 3" xfId="12508" xr:uid="{1427806B-65CC-40E3-B263-E48CE299098D}"/>
    <cellStyle name="Note 3 2 6 3" xfId="6152" xr:uid="{00000000-0005-0000-0000-00009D210000}"/>
    <cellStyle name="Note 3 2 6 3 2" xfId="14581" xr:uid="{25684E9C-FF0A-4D78-B904-71D549F55F84}"/>
    <cellStyle name="Note 3 2 6 4" xfId="10363" xr:uid="{93B96134-9E32-4CBA-AD42-DA68793FA075}"/>
    <cellStyle name="Note 3 2 7" xfId="2257" xr:uid="{00000000-0005-0000-0000-00009E210000}"/>
    <cellStyle name="Note 3 2 7 2" xfId="4486" xr:uid="{00000000-0005-0000-0000-00009F210000}"/>
    <cellStyle name="Note 3 2 7 2 2" xfId="8710" xr:uid="{00000000-0005-0000-0000-0000A0210000}"/>
    <cellStyle name="Note 3 2 7 2 2 2" xfId="17139" xr:uid="{D6440A91-8CF9-4570-B666-F9585955D8BB}"/>
    <cellStyle name="Note 3 2 7 2 3" xfId="12921" xr:uid="{837F2533-3702-4BFC-B280-CFD2670B0645}"/>
    <cellStyle name="Note 3 2 7 3" xfId="6565" xr:uid="{00000000-0005-0000-0000-0000A1210000}"/>
    <cellStyle name="Note 3 2 7 3 2" xfId="14994" xr:uid="{61BD72F2-6E57-409D-86D8-E66BE853717D}"/>
    <cellStyle name="Note 3 2 7 4" xfId="10776" xr:uid="{2658219A-0495-4D8E-A91B-0EF4A6BE05E1}"/>
    <cellStyle name="Note 3 2 8" xfId="2693" xr:uid="{00000000-0005-0000-0000-0000A2210000}"/>
    <cellStyle name="Note 3 2 8 2" xfId="6978" xr:uid="{00000000-0005-0000-0000-0000A3210000}"/>
    <cellStyle name="Note 3 2 8 2 2" xfId="15407" xr:uid="{BEE30CD7-94AB-407E-8501-F63127E094BD}"/>
    <cellStyle name="Note 3 2 8 3" xfId="11189" xr:uid="{954D1EF9-42A1-44F7-9AE4-D748A0F14229}"/>
    <cellStyle name="Note 3 2 9" xfId="2752" xr:uid="{00000000-0005-0000-0000-0000A4210000}"/>
    <cellStyle name="Note 3 3" xfId="559" xr:uid="{00000000-0005-0000-0000-0000A5210000}"/>
    <cellStyle name="Note 3 3 10" xfId="4917" xr:uid="{00000000-0005-0000-0000-0000A6210000}"/>
    <cellStyle name="Note 3 3 10 2" xfId="13346" xr:uid="{1D64A040-046C-4913-AD93-0DC238D91989}"/>
    <cellStyle name="Note 3 3 11" xfId="9128" xr:uid="{0916DBAA-A7F0-4295-BC6B-57C54D0C4EFF}"/>
    <cellStyle name="Note 3 3 2" xfId="560" xr:uid="{00000000-0005-0000-0000-0000A7210000}"/>
    <cellStyle name="Note 3 3 2 10" xfId="9129" xr:uid="{67D1EF29-0BB2-463D-B8E8-48172F4714A2}"/>
    <cellStyle name="Note 3 3 2 2" xfId="1020" xr:uid="{00000000-0005-0000-0000-0000A8210000}"/>
    <cellStyle name="Note 3 3 2 2 2" xfId="3252" xr:uid="{00000000-0005-0000-0000-0000A9210000}"/>
    <cellStyle name="Note 3 3 2 2 2 2" xfId="7476" xr:uid="{00000000-0005-0000-0000-0000AA210000}"/>
    <cellStyle name="Note 3 3 2 2 2 2 2" xfId="15905" xr:uid="{A728DCCA-04C1-46D9-969E-27F21122E164}"/>
    <cellStyle name="Note 3 3 2 2 2 3" xfId="11687" xr:uid="{CA629771-FF05-4D75-85E3-D48BF751D379}"/>
    <cellStyle name="Note 3 3 2 2 3" xfId="5331" xr:uid="{00000000-0005-0000-0000-0000AB210000}"/>
    <cellStyle name="Note 3 3 2 2 3 2" xfId="13760" xr:uid="{9D3526B2-E3EF-4A2E-9B49-BDAF692EB1A7}"/>
    <cellStyle name="Note 3 3 2 2 4" xfId="9542" xr:uid="{93F5577E-C9F0-4826-8F1E-9DFEE91EBB2B}"/>
    <cellStyle name="Note 3 3 2 3" xfId="1435" xr:uid="{00000000-0005-0000-0000-0000AC210000}"/>
    <cellStyle name="Note 3 3 2 3 2" xfId="3665" xr:uid="{00000000-0005-0000-0000-0000AD210000}"/>
    <cellStyle name="Note 3 3 2 3 2 2" xfId="7889" xr:uid="{00000000-0005-0000-0000-0000AE210000}"/>
    <cellStyle name="Note 3 3 2 3 2 2 2" xfId="16318" xr:uid="{3346EC94-EC49-4B7D-8C60-0D66EB896F90}"/>
    <cellStyle name="Note 3 3 2 3 2 3" xfId="12100" xr:uid="{A86A6F40-493D-46E2-8179-43BFB369568D}"/>
    <cellStyle name="Note 3 3 2 3 3" xfId="5744" xr:uid="{00000000-0005-0000-0000-0000AF210000}"/>
    <cellStyle name="Note 3 3 2 3 3 2" xfId="14173" xr:uid="{F17B4BF1-E7FC-46F8-8913-6DD9CE5A020D}"/>
    <cellStyle name="Note 3 3 2 3 4" xfId="9955" xr:uid="{2337CD16-FA68-45AC-A58A-D1C8C55BC182}"/>
    <cellStyle name="Note 3 3 2 4" xfId="1849" xr:uid="{00000000-0005-0000-0000-0000B0210000}"/>
    <cellStyle name="Note 3 3 2 4 2" xfId="4078" xr:uid="{00000000-0005-0000-0000-0000B1210000}"/>
    <cellStyle name="Note 3 3 2 4 2 2" xfId="8302" xr:uid="{00000000-0005-0000-0000-0000B2210000}"/>
    <cellStyle name="Note 3 3 2 4 2 2 2" xfId="16731" xr:uid="{40797EF0-82C2-40DC-A3A7-45DCD4E45AB3}"/>
    <cellStyle name="Note 3 3 2 4 2 3" xfId="12513" xr:uid="{700924B8-3263-4989-89F9-C487B76DD7FB}"/>
    <cellStyle name="Note 3 3 2 4 3" xfId="6157" xr:uid="{00000000-0005-0000-0000-0000B3210000}"/>
    <cellStyle name="Note 3 3 2 4 3 2" xfId="14586" xr:uid="{ACE62381-3D84-4995-9B42-88442FDD625B}"/>
    <cellStyle name="Note 3 3 2 4 4" xfId="10368" xr:uid="{81BE062A-7015-44B1-932B-6EAABD92E712}"/>
    <cellStyle name="Note 3 3 2 5" xfId="2262" xr:uid="{00000000-0005-0000-0000-0000B4210000}"/>
    <cellStyle name="Note 3 3 2 5 2" xfId="4491" xr:uid="{00000000-0005-0000-0000-0000B5210000}"/>
    <cellStyle name="Note 3 3 2 5 2 2" xfId="8715" xr:uid="{00000000-0005-0000-0000-0000B6210000}"/>
    <cellStyle name="Note 3 3 2 5 2 2 2" xfId="17144" xr:uid="{118E51F9-0839-482B-802E-3842E10F450C}"/>
    <cellStyle name="Note 3 3 2 5 2 3" xfId="12926" xr:uid="{9C4B771F-496A-4C16-A538-D3D658FD6E90}"/>
    <cellStyle name="Note 3 3 2 5 3" xfId="6570" xr:uid="{00000000-0005-0000-0000-0000B7210000}"/>
    <cellStyle name="Note 3 3 2 5 3 2" xfId="14999" xr:uid="{84493C1F-B7A3-4DA6-A18A-5FF128E124E1}"/>
    <cellStyle name="Note 3 3 2 5 4" xfId="10781" xr:uid="{67076B04-5B06-4B2D-835B-1AED25F3DF2B}"/>
    <cellStyle name="Note 3 3 2 6" xfId="2698" xr:uid="{00000000-0005-0000-0000-0000B8210000}"/>
    <cellStyle name="Note 3 3 2 6 2" xfId="6983" xr:uid="{00000000-0005-0000-0000-0000B9210000}"/>
    <cellStyle name="Note 3 3 2 6 2 2" xfId="15412" xr:uid="{FE12BF41-6934-4628-A451-4BC380413CF6}"/>
    <cellStyle name="Note 3 3 2 6 3" xfId="11194" xr:uid="{6DDE5817-FD34-436E-9DD4-C89E5BAF668C}"/>
    <cellStyle name="Note 3 3 2 7" xfId="2757" xr:uid="{00000000-0005-0000-0000-0000BA210000}"/>
    <cellStyle name="Note 3 3 2 8" xfId="2838" xr:uid="{00000000-0005-0000-0000-0000BB210000}"/>
    <cellStyle name="Note 3 3 2 8 2" xfId="7063" xr:uid="{00000000-0005-0000-0000-0000BC210000}"/>
    <cellStyle name="Note 3 3 2 8 2 2" xfId="15492" xr:uid="{E3C80BEA-24E5-4DFE-8FBD-6E841CBA8DC4}"/>
    <cellStyle name="Note 3 3 2 8 3" xfId="11274" xr:uid="{FB445A1B-F570-4B53-9B17-955F4C0A328D}"/>
    <cellStyle name="Note 3 3 2 9" xfId="4918" xr:uid="{00000000-0005-0000-0000-0000BD210000}"/>
    <cellStyle name="Note 3 3 2 9 2" xfId="13347" xr:uid="{2DA3B508-AECD-4431-A3A2-33AF628064DC}"/>
    <cellStyle name="Note 3 3 3" xfId="1019" xr:uid="{00000000-0005-0000-0000-0000BE210000}"/>
    <cellStyle name="Note 3 3 3 2" xfId="3251" xr:uid="{00000000-0005-0000-0000-0000BF210000}"/>
    <cellStyle name="Note 3 3 3 2 2" xfId="7475" xr:uid="{00000000-0005-0000-0000-0000C0210000}"/>
    <cellStyle name="Note 3 3 3 2 2 2" xfId="15904" xr:uid="{354D4532-A952-4C15-9F87-AC65518240DB}"/>
    <cellStyle name="Note 3 3 3 2 3" xfId="11686" xr:uid="{3B8888AE-62C9-4CB7-8376-3E0EA52CC6C3}"/>
    <cellStyle name="Note 3 3 3 3" xfId="5330" xr:uid="{00000000-0005-0000-0000-0000C1210000}"/>
    <cellStyle name="Note 3 3 3 3 2" xfId="13759" xr:uid="{1C847DBC-7D98-425A-9F93-CAE65ACC6CAD}"/>
    <cellStyle name="Note 3 3 3 4" xfId="9541" xr:uid="{C7145C85-AC2F-4B0C-B28F-0AE8598EE1EE}"/>
    <cellStyle name="Note 3 3 4" xfId="1434" xr:uid="{00000000-0005-0000-0000-0000C2210000}"/>
    <cellStyle name="Note 3 3 4 2" xfId="3664" xr:uid="{00000000-0005-0000-0000-0000C3210000}"/>
    <cellStyle name="Note 3 3 4 2 2" xfId="7888" xr:uid="{00000000-0005-0000-0000-0000C4210000}"/>
    <cellStyle name="Note 3 3 4 2 2 2" xfId="16317" xr:uid="{C55748EF-DC91-4046-8BB9-7BE7BF241EB6}"/>
    <cellStyle name="Note 3 3 4 2 3" xfId="12099" xr:uid="{AC7331F6-C8E0-44D1-B22D-900ED6DA5B2B}"/>
    <cellStyle name="Note 3 3 4 3" xfId="5743" xr:uid="{00000000-0005-0000-0000-0000C5210000}"/>
    <cellStyle name="Note 3 3 4 3 2" xfId="14172" xr:uid="{84DADB53-136B-45C3-A1B4-5F73D0C40B2B}"/>
    <cellStyle name="Note 3 3 4 4" xfId="9954" xr:uid="{E296D92F-071F-409F-9B6F-1BF60C578259}"/>
    <cellStyle name="Note 3 3 5" xfId="1848" xr:uid="{00000000-0005-0000-0000-0000C6210000}"/>
    <cellStyle name="Note 3 3 5 2" xfId="4077" xr:uid="{00000000-0005-0000-0000-0000C7210000}"/>
    <cellStyle name="Note 3 3 5 2 2" xfId="8301" xr:uid="{00000000-0005-0000-0000-0000C8210000}"/>
    <cellStyle name="Note 3 3 5 2 2 2" xfId="16730" xr:uid="{50EC0DC2-50C5-4409-8AB1-5DE530173908}"/>
    <cellStyle name="Note 3 3 5 2 3" xfId="12512" xr:uid="{C74935A3-6B7E-455A-861E-804D4462C0D5}"/>
    <cellStyle name="Note 3 3 5 3" xfId="6156" xr:uid="{00000000-0005-0000-0000-0000C9210000}"/>
    <cellStyle name="Note 3 3 5 3 2" xfId="14585" xr:uid="{1B8A1DD5-72BD-42ED-A56C-A2CC759F2227}"/>
    <cellStyle name="Note 3 3 5 4" xfId="10367" xr:uid="{CD33C2F4-201B-46A6-ACE2-626EA824069E}"/>
    <cellStyle name="Note 3 3 6" xfId="2261" xr:uid="{00000000-0005-0000-0000-0000CA210000}"/>
    <cellStyle name="Note 3 3 6 2" xfId="4490" xr:uid="{00000000-0005-0000-0000-0000CB210000}"/>
    <cellStyle name="Note 3 3 6 2 2" xfId="8714" xr:uid="{00000000-0005-0000-0000-0000CC210000}"/>
    <cellStyle name="Note 3 3 6 2 2 2" xfId="17143" xr:uid="{88363B57-C92E-4451-9A43-A03118A424E2}"/>
    <cellStyle name="Note 3 3 6 2 3" xfId="12925" xr:uid="{537DAB69-EE99-427C-BBFD-36F219CDD76E}"/>
    <cellStyle name="Note 3 3 6 3" xfId="6569" xr:uid="{00000000-0005-0000-0000-0000CD210000}"/>
    <cellStyle name="Note 3 3 6 3 2" xfId="14998" xr:uid="{26AC7F61-2A96-4D57-9A16-049B782F9EC4}"/>
    <cellStyle name="Note 3 3 6 4" xfId="10780" xr:uid="{4EA8979A-2CDF-4C0C-A7E7-386D556C06DF}"/>
    <cellStyle name="Note 3 3 7" xfId="2697" xr:uid="{00000000-0005-0000-0000-0000CE210000}"/>
    <cellStyle name="Note 3 3 7 2" xfId="6982" xr:uid="{00000000-0005-0000-0000-0000CF210000}"/>
    <cellStyle name="Note 3 3 7 2 2" xfId="15411" xr:uid="{EA88A36D-D4C4-4EB5-9A02-8809196050C1}"/>
    <cellStyle name="Note 3 3 7 3" xfId="11193" xr:uid="{DAB67C99-E87C-4035-95AB-5CE87BBC8C98}"/>
    <cellStyle name="Note 3 3 8" xfId="2756" xr:uid="{00000000-0005-0000-0000-0000D0210000}"/>
    <cellStyle name="Note 3 3 9" xfId="2837" xr:uid="{00000000-0005-0000-0000-0000D1210000}"/>
    <cellStyle name="Note 3 3 9 2" xfId="7062" xr:uid="{00000000-0005-0000-0000-0000D2210000}"/>
    <cellStyle name="Note 3 3 9 2 2" xfId="15491" xr:uid="{ABABD5BE-C227-48B8-B4BC-D7F9EEBE1915}"/>
    <cellStyle name="Note 3 3 9 3" xfId="11273" xr:uid="{6BB6E59C-62EE-46F7-8EB6-C4A873013E01}"/>
    <cellStyle name="Note 3 4" xfId="561" xr:uid="{00000000-0005-0000-0000-0000D3210000}"/>
    <cellStyle name="Note 3 4 10" xfId="9130" xr:uid="{91C2C151-2694-4336-9689-09AB83D79C74}"/>
    <cellStyle name="Note 3 4 2" xfId="1021" xr:uid="{00000000-0005-0000-0000-0000D4210000}"/>
    <cellStyle name="Note 3 4 2 2" xfId="3253" xr:uid="{00000000-0005-0000-0000-0000D5210000}"/>
    <cellStyle name="Note 3 4 2 2 2" xfId="7477" xr:uid="{00000000-0005-0000-0000-0000D6210000}"/>
    <cellStyle name="Note 3 4 2 2 2 2" xfId="15906" xr:uid="{44BCCC85-1D07-4347-B747-B819DF22AECE}"/>
    <cellStyle name="Note 3 4 2 2 3" xfId="11688" xr:uid="{CFCAC4BE-F653-471D-934B-D358DB058A34}"/>
    <cellStyle name="Note 3 4 2 3" xfId="5332" xr:uid="{00000000-0005-0000-0000-0000D7210000}"/>
    <cellStyle name="Note 3 4 2 3 2" xfId="13761" xr:uid="{F343E959-3A96-4F97-8A19-75A8B074ECAC}"/>
    <cellStyle name="Note 3 4 2 4" xfId="9543" xr:uid="{3E6145CF-6980-4E07-9A49-E7058752FAB7}"/>
    <cellStyle name="Note 3 4 3" xfId="1436" xr:uid="{00000000-0005-0000-0000-0000D8210000}"/>
    <cellStyle name="Note 3 4 3 2" xfId="3666" xr:uid="{00000000-0005-0000-0000-0000D9210000}"/>
    <cellStyle name="Note 3 4 3 2 2" xfId="7890" xr:uid="{00000000-0005-0000-0000-0000DA210000}"/>
    <cellStyle name="Note 3 4 3 2 2 2" xfId="16319" xr:uid="{9DEC8628-6832-4A08-B83B-6C74599AF093}"/>
    <cellStyle name="Note 3 4 3 2 3" xfId="12101" xr:uid="{63FB9AD8-66D5-4AB0-BFAD-354995704817}"/>
    <cellStyle name="Note 3 4 3 3" xfId="5745" xr:uid="{00000000-0005-0000-0000-0000DB210000}"/>
    <cellStyle name="Note 3 4 3 3 2" xfId="14174" xr:uid="{E30C7956-CAA8-4212-ABDB-90C38649A5B4}"/>
    <cellStyle name="Note 3 4 3 4" xfId="9956" xr:uid="{16C6FCAD-AB1B-4B95-8B83-7F6F5026D03E}"/>
    <cellStyle name="Note 3 4 4" xfId="1850" xr:uid="{00000000-0005-0000-0000-0000DC210000}"/>
    <cellStyle name="Note 3 4 4 2" xfId="4079" xr:uid="{00000000-0005-0000-0000-0000DD210000}"/>
    <cellStyle name="Note 3 4 4 2 2" xfId="8303" xr:uid="{00000000-0005-0000-0000-0000DE210000}"/>
    <cellStyle name="Note 3 4 4 2 2 2" xfId="16732" xr:uid="{3DC04D85-4637-4F4A-B23A-94D8B6F008CB}"/>
    <cellStyle name="Note 3 4 4 2 3" xfId="12514" xr:uid="{A2324621-5D3B-49CD-9264-A8F4CA9B1648}"/>
    <cellStyle name="Note 3 4 4 3" xfId="6158" xr:uid="{00000000-0005-0000-0000-0000DF210000}"/>
    <cellStyle name="Note 3 4 4 3 2" xfId="14587" xr:uid="{ACA87BD4-4439-492A-9B86-2D433676E54A}"/>
    <cellStyle name="Note 3 4 4 4" xfId="10369" xr:uid="{CA7F129C-F330-4F0E-BB51-924411FEEB90}"/>
    <cellStyle name="Note 3 4 5" xfId="2263" xr:uid="{00000000-0005-0000-0000-0000E0210000}"/>
    <cellStyle name="Note 3 4 5 2" xfId="4492" xr:uid="{00000000-0005-0000-0000-0000E1210000}"/>
    <cellStyle name="Note 3 4 5 2 2" xfId="8716" xr:uid="{00000000-0005-0000-0000-0000E2210000}"/>
    <cellStyle name="Note 3 4 5 2 2 2" xfId="17145" xr:uid="{4F0EEC46-9BDF-44FC-BB5B-5D3E26CA8837}"/>
    <cellStyle name="Note 3 4 5 2 3" xfId="12927" xr:uid="{D4F2F5AC-5430-4761-AFBA-8D30F8C00314}"/>
    <cellStyle name="Note 3 4 5 3" xfId="6571" xr:uid="{00000000-0005-0000-0000-0000E3210000}"/>
    <cellStyle name="Note 3 4 5 3 2" xfId="15000" xr:uid="{1916B4FB-D77B-4D27-98C9-C8AFD5AD0142}"/>
    <cellStyle name="Note 3 4 5 4" xfId="10782" xr:uid="{D15B093D-E6D5-4249-A8C9-04486D169348}"/>
    <cellStyle name="Note 3 4 6" xfId="2699" xr:uid="{00000000-0005-0000-0000-0000E4210000}"/>
    <cellStyle name="Note 3 4 6 2" xfId="6984" xr:uid="{00000000-0005-0000-0000-0000E5210000}"/>
    <cellStyle name="Note 3 4 6 2 2" xfId="15413" xr:uid="{D068A75B-5F32-47F6-83BF-B1E3DE043306}"/>
    <cellStyle name="Note 3 4 6 3" xfId="11195" xr:uid="{E870D5D3-ADC7-4B7B-8666-F3A5E130EFA0}"/>
    <cellStyle name="Note 3 4 7" xfId="2758" xr:uid="{00000000-0005-0000-0000-0000E6210000}"/>
    <cellStyle name="Note 3 4 8" xfId="2839" xr:uid="{00000000-0005-0000-0000-0000E7210000}"/>
    <cellStyle name="Note 3 4 8 2" xfId="7064" xr:uid="{00000000-0005-0000-0000-0000E8210000}"/>
    <cellStyle name="Note 3 4 8 2 2" xfId="15493" xr:uid="{BAAAFD11-6B42-4029-8422-3AFE27E75B35}"/>
    <cellStyle name="Note 3 4 8 3" xfId="11275" xr:uid="{3A392EE7-C809-406B-B3E6-C874C5E7D771}"/>
    <cellStyle name="Note 3 4 9" xfId="4919" xr:uid="{00000000-0005-0000-0000-0000E9210000}"/>
    <cellStyle name="Note 3 4 9 2" xfId="13348" xr:uid="{E552BBDE-E4EB-4AC0-8202-7F90D220CD45}"/>
    <cellStyle name="Note 3 5" xfId="562" xr:uid="{00000000-0005-0000-0000-0000EA210000}"/>
    <cellStyle name="Note 3 5 10" xfId="9131" xr:uid="{43D4E3A4-1CA6-41B6-974F-990C966A4E7B}"/>
    <cellStyle name="Note 3 5 2" xfId="1022" xr:uid="{00000000-0005-0000-0000-0000EB210000}"/>
    <cellStyle name="Note 3 5 2 2" xfId="3254" xr:uid="{00000000-0005-0000-0000-0000EC210000}"/>
    <cellStyle name="Note 3 5 2 2 2" xfId="7478" xr:uid="{00000000-0005-0000-0000-0000ED210000}"/>
    <cellStyle name="Note 3 5 2 2 2 2" xfId="15907" xr:uid="{D212DBFF-DE22-4BA6-9A45-08311E0B3FE6}"/>
    <cellStyle name="Note 3 5 2 2 3" xfId="11689" xr:uid="{A58B28F1-CF5E-4022-A78F-2DECBE2370CA}"/>
    <cellStyle name="Note 3 5 2 3" xfId="5333" xr:uid="{00000000-0005-0000-0000-0000EE210000}"/>
    <cellStyle name="Note 3 5 2 3 2" xfId="13762" xr:uid="{C236CFB2-0FDC-41BF-9113-F82E82D3C52F}"/>
    <cellStyle name="Note 3 5 2 4" xfId="9544" xr:uid="{DB2A0D2A-ECFA-438F-9474-A3BEEA21DB9C}"/>
    <cellStyle name="Note 3 5 3" xfId="1437" xr:uid="{00000000-0005-0000-0000-0000EF210000}"/>
    <cellStyle name="Note 3 5 3 2" xfId="3667" xr:uid="{00000000-0005-0000-0000-0000F0210000}"/>
    <cellStyle name="Note 3 5 3 2 2" xfId="7891" xr:uid="{00000000-0005-0000-0000-0000F1210000}"/>
    <cellStyle name="Note 3 5 3 2 2 2" xfId="16320" xr:uid="{CF6EA490-61E2-40BD-A155-0347132FBB23}"/>
    <cellStyle name="Note 3 5 3 2 3" xfId="12102" xr:uid="{45ABD4A8-4684-4ED6-8803-0657E4747588}"/>
    <cellStyle name="Note 3 5 3 3" xfId="5746" xr:uid="{00000000-0005-0000-0000-0000F2210000}"/>
    <cellStyle name="Note 3 5 3 3 2" xfId="14175" xr:uid="{3038FFBB-8223-421D-942C-2AA0F96BF51A}"/>
    <cellStyle name="Note 3 5 3 4" xfId="9957" xr:uid="{95C2F43E-4C4A-4D72-8A50-7A6BF8C42510}"/>
    <cellStyle name="Note 3 5 4" xfId="1851" xr:uid="{00000000-0005-0000-0000-0000F3210000}"/>
    <cellStyle name="Note 3 5 4 2" xfId="4080" xr:uid="{00000000-0005-0000-0000-0000F4210000}"/>
    <cellStyle name="Note 3 5 4 2 2" xfId="8304" xr:uid="{00000000-0005-0000-0000-0000F5210000}"/>
    <cellStyle name="Note 3 5 4 2 2 2" xfId="16733" xr:uid="{689DCA6B-69E9-488A-A62C-B83E1041877E}"/>
    <cellStyle name="Note 3 5 4 2 3" xfId="12515" xr:uid="{BF683735-0A4C-47F2-878F-410543EFCC04}"/>
    <cellStyle name="Note 3 5 4 3" xfId="6159" xr:uid="{00000000-0005-0000-0000-0000F6210000}"/>
    <cellStyle name="Note 3 5 4 3 2" xfId="14588" xr:uid="{37793473-026D-4576-B742-67DEF823D8D8}"/>
    <cellStyle name="Note 3 5 4 4" xfId="10370" xr:uid="{E85F96A9-A8B5-4311-8342-82175C19EC35}"/>
    <cellStyle name="Note 3 5 5" xfId="2264" xr:uid="{00000000-0005-0000-0000-0000F7210000}"/>
    <cellStyle name="Note 3 5 5 2" xfId="4493" xr:uid="{00000000-0005-0000-0000-0000F8210000}"/>
    <cellStyle name="Note 3 5 5 2 2" xfId="8717" xr:uid="{00000000-0005-0000-0000-0000F9210000}"/>
    <cellStyle name="Note 3 5 5 2 2 2" xfId="17146" xr:uid="{BFFAD5EC-7910-4F94-A569-572A42068077}"/>
    <cellStyle name="Note 3 5 5 2 3" xfId="12928" xr:uid="{B9E0AEE7-12A4-4080-B1CB-15A47D7A3076}"/>
    <cellStyle name="Note 3 5 5 3" xfId="6572" xr:uid="{00000000-0005-0000-0000-0000FA210000}"/>
    <cellStyle name="Note 3 5 5 3 2" xfId="15001" xr:uid="{889E6EFE-1F15-4D4D-A1CC-6B14DEA60D36}"/>
    <cellStyle name="Note 3 5 5 4" xfId="10783" xr:uid="{6B5F90BC-2DF3-4F60-B443-FE38962E8DFB}"/>
    <cellStyle name="Note 3 5 6" xfId="2700" xr:uid="{00000000-0005-0000-0000-0000FB210000}"/>
    <cellStyle name="Note 3 5 6 2" xfId="6985" xr:uid="{00000000-0005-0000-0000-0000FC210000}"/>
    <cellStyle name="Note 3 5 6 2 2" xfId="15414" xr:uid="{2E282E29-F738-4530-BAC2-79FBA5F265DF}"/>
    <cellStyle name="Note 3 5 6 3" xfId="11196" xr:uid="{85AD5426-8117-44B1-BAB6-3C9F6E5D1F8B}"/>
    <cellStyle name="Note 3 5 7" xfId="2759" xr:uid="{00000000-0005-0000-0000-0000FD210000}"/>
    <cellStyle name="Note 3 5 8" xfId="2840" xr:uid="{00000000-0005-0000-0000-0000FE210000}"/>
    <cellStyle name="Note 3 5 8 2" xfId="7065" xr:uid="{00000000-0005-0000-0000-0000FF210000}"/>
    <cellStyle name="Note 3 5 8 2 2" xfId="15494" xr:uid="{32873DB1-7B44-4EC0-B307-CD57BC1E6184}"/>
    <cellStyle name="Note 3 5 8 3" xfId="11276" xr:uid="{09E65176-0E36-43E1-A17A-60502D4199E9}"/>
    <cellStyle name="Note 3 5 9" xfId="4920" xr:uid="{00000000-0005-0000-0000-000000220000}"/>
    <cellStyle name="Note 3 5 9 2" xfId="13349" xr:uid="{8479F65F-9E39-46D9-AB61-75BEBCF532C2}"/>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69EE7234-B5C3-41CC-B742-14FDB86E2E3E}"/>
    <cellStyle name="Percent 4" xfId="4503" xr:uid="{00000000-0005-0000-0000-000006220000}"/>
    <cellStyle name="Percent 4 2" xfId="12935" xr:uid="{2590A226-1AC5-4577-8A14-04B6BDE1FA7C}"/>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52" zoomScaleNormal="100" zoomScaleSheetLayoutView="100" workbookViewId="0">
      <selection activeCell="E343" sqref="E343:AK34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5" t="s">
        <v>583</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row>
    <row r="2" spans="1:38" ht="13.5" thickBot="1">
      <c r="A2" s="1866"/>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7" t="s">
        <v>1393</v>
      </c>
      <c r="E7" s="1867"/>
      <c r="F7" s="1867"/>
      <c r="G7" s="1867"/>
      <c r="H7" s="1867"/>
      <c r="I7" s="1867"/>
      <c r="J7" s="1867"/>
      <c r="K7" s="1867"/>
      <c r="L7" s="1867"/>
      <c r="M7" s="1867"/>
      <c r="N7" s="1867"/>
      <c r="O7" s="1867"/>
      <c r="P7" s="1867"/>
      <c r="Q7" s="1867"/>
      <c r="R7" s="1867"/>
      <c r="S7" s="1867"/>
      <c r="T7" s="1867"/>
      <c r="U7" s="1867"/>
      <c r="V7" s="1867"/>
      <c r="W7" s="1867"/>
      <c r="X7" s="1867"/>
      <c r="Y7" s="1867"/>
      <c r="Z7" s="1867"/>
      <c r="AA7" s="1867"/>
      <c r="AB7" s="1867"/>
      <c r="AC7" s="1867"/>
      <c r="AD7" s="1867"/>
      <c r="AE7" s="1867"/>
      <c r="AF7" s="1867"/>
      <c r="AG7" s="1867"/>
      <c r="AH7" s="1867"/>
      <c r="AI7" s="1867"/>
      <c r="AJ7" s="1867"/>
      <c r="AK7" s="1867"/>
      <c r="AL7" s="747"/>
    </row>
    <row r="8" spans="1:38">
      <c r="A8" s="328"/>
      <c r="B8" s="326"/>
      <c r="C8" s="327"/>
      <c r="D8" s="1867"/>
      <c r="E8" s="1867"/>
      <c r="F8" s="1867"/>
      <c r="G8" s="1867"/>
      <c r="H8" s="1867"/>
      <c r="I8" s="1867"/>
      <c r="J8" s="1867"/>
      <c r="K8" s="1867"/>
      <c r="L8" s="1867"/>
      <c r="M8" s="1867"/>
      <c r="N8" s="1867"/>
      <c r="O8" s="1867"/>
      <c r="P8" s="1867"/>
      <c r="Q8" s="1867"/>
      <c r="R8" s="1867"/>
      <c r="S8" s="1867"/>
      <c r="T8" s="1867"/>
      <c r="U8" s="1867"/>
      <c r="V8" s="1867"/>
      <c r="W8" s="1867"/>
      <c r="X8" s="1867"/>
      <c r="Y8" s="1867"/>
      <c r="Z8" s="1867"/>
      <c r="AA8" s="1867"/>
      <c r="AB8" s="1867"/>
      <c r="AC8" s="1867"/>
      <c r="AD8" s="1867"/>
      <c r="AE8" s="1867"/>
      <c r="AF8" s="1867"/>
      <c r="AG8" s="1867"/>
      <c r="AH8" s="1867"/>
      <c r="AI8" s="1867"/>
      <c r="AJ8" s="1867"/>
      <c r="AK8" s="1867"/>
      <c r="AL8" s="747"/>
    </row>
    <row r="9" spans="1:38">
      <c r="A9" s="328"/>
      <c r="B9" s="326"/>
      <c r="C9" s="32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7" t="s">
        <v>1400</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747"/>
    </row>
    <row r="12" spans="1:38">
      <c r="A12" s="328"/>
      <c r="B12" s="326"/>
      <c r="C12" s="327"/>
      <c r="D12" s="1867"/>
      <c r="E12" s="1867"/>
      <c r="F12" s="1867"/>
      <c r="G12" s="1867"/>
      <c r="H12" s="1867"/>
      <c r="I12" s="1867"/>
      <c r="J12" s="1867"/>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747"/>
    </row>
    <row r="13" spans="1:38" s="718" customFormat="1">
      <c r="A13" s="328"/>
      <c r="B13" s="326"/>
      <c r="C13" s="327"/>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867"/>
      <c r="AC13" s="1867"/>
      <c r="AD13" s="1867"/>
      <c r="AE13" s="1867"/>
      <c r="AF13" s="1867"/>
      <c r="AG13" s="1867"/>
      <c r="AH13" s="1867"/>
      <c r="AI13" s="1867"/>
      <c r="AJ13" s="1867"/>
      <c r="AK13" s="1867"/>
      <c r="AL13" s="747"/>
    </row>
    <row r="14" spans="1:38" s="718" customFormat="1" ht="13.15" customHeight="1">
      <c r="A14" s="328"/>
      <c r="B14" s="326"/>
      <c r="C14" s="327"/>
      <c r="E14" s="1869" t="s">
        <v>2181</v>
      </c>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747"/>
    </row>
    <row r="15" spans="1:38" s="718" customFormat="1" ht="13.15" customHeight="1">
      <c r="A15" s="328"/>
      <c r="B15" s="326"/>
      <c r="C15" s="327"/>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747"/>
    </row>
    <row r="16" spans="1:38" s="718" customFormat="1">
      <c r="A16" s="328"/>
      <c r="B16" s="326"/>
      <c r="C16" s="327"/>
      <c r="D16" s="747"/>
      <c r="E16" s="1869"/>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69"/>
      <c r="AK16" s="1869"/>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69" t="s">
        <v>1530</v>
      </c>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326"/>
    </row>
    <row r="19" spans="1:38">
      <c r="A19" s="328"/>
      <c r="B19" s="326"/>
      <c r="C19" s="327"/>
      <c r="D19" s="1869"/>
      <c r="E19" s="1869"/>
      <c r="F19" s="1869"/>
      <c r="G19" s="1869"/>
      <c r="H19" s="1869"/>
      <c r="I19" s="1869"/>
      <c r="J19" s="1869"/>
      <c r="K19" s="1869"/>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326"/>
    </row>
    <row r="20" spans="1:38" s="718" customFormat="1">
      <c r="A20" s="328"/>
      <c r="B20" s="326"/>
      <c r="C20" s="327"/>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326"/>
    </row>
    <row r="21" spans="1:38" s="718" customFormat="1" ht="13.15" customHeight="1">
      <c r="A21" s="328"/>
      <c r="B21" s="326"/>
      <c r="C21" s="327"/>
      <c r="D21" s="1869"/>
      <c r="E21" s="1869"/>
      <c r="F21" s="1869"/>
      <c r="G21" s="1869"/>
      <c r="H21" s="1869"/>
      <c r="I21" s="1869"/>
      <c r="J21" s="1869"/>
      <c r="K21" s="1869"/>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326"/>
    </row>
    <row r="22" spans="1:38" s="718" customFormat="1">
      <c r="A22" s="328"/>
      <c r="B22" s="326"/>
      <c r="C22" s="327"/>
      <c r="D22" s="1869"/>
      <c r="E22" s="1869"/>
      <c r="F22" s="1869"/>
      <c r="G22" s="1869"/>
      <c r="H22" s="1869"/>
      <c r="I22" s="1869"/>
      <c r="J22" s="1869"/>
      <c r="K22" s="1869"/>
      <c r="L22" s="1869"/>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326"/>
    </row>
    <row r="23" spans="1:38" s="718" customFormat="1">
      <c r="A23" s="328"/>
      <c r="B23" s="326"/>
      <c r="C23" s="327"/>
      <c r="D23" s="1869"/>
      <c r="E23" s="1869"/>
      <c r="F23" s="1869"/>
      <c r="G23" s="1869"/>
      <c r="H23" s="1869"/>
      <c r="I23" s="1869"/>
      <c r="J23" s="1869"/>
      <c r="K23" s="1869"/>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326"/>
    </row>
    <row r="24" spans="1:38">
      <c r="A24" s="328"/>
      <c r="B24" s="326"/>
      <c r="C24" s="327"/>
      <c r="D24" s="1869"/>
      <c r="E24" s="1869"/>
      <c r="F24" s="1869"/>
      <c r="G24" s="1869"/>
      <c r="H24" s="1869"/>
      <c r="I24" s="1869"/>
      <c r="J24" s="1869"/>
      <c r="K24" s="1869"/>
      <c r="L24" s="1869"/>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326"/>
    </row>
    <row r="25" spans="1:38" s="718" customFormat="1">
      <c r="A25" s="328"/>
      <c r="B25" s="326"/>
      <c r="C25" s="327"/>
      <c r="D25" s="1869"/>
      <c r="E25" s="1869"/>
      <c r="F25" s="1869"/>
      <c r="G25" s="1869"/>
      <c r="H25" s="1869"/>
      <c r="I25" s="1869"/>
      <c r="J25" s="1869"/>
      <c r="K25" s="1869"/>
      <c r="L25" s="1869"/>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326"/>
    </row>
    <row r="26" spans="1:38" s="718" customFormat="1">
      <c r="A26" s="328"/>
      <c r="B26" s="326"/>
      <c r="C26" s="327"/>
      <c r="D26" s="1869"/>
      <c r="E26" s="1869"/>
      <c r="F26" s="1869"/>
      <c r="G26" s="1869"/>
      <c r="H26" s="1869"/>
      <c r="I26" s="1869"/>
      <c r="J26" s="1869"/>
      <c r="K26" s="1869"/>
      <c r="L26" s="1869"/>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326"/>
    </row>
    <row r="27" spans="1:38" s="718" customFormat="1" ht="11.85" customHeight="1">
      <c r="A27" s="328"/>
      <c r="B27" s="326"/>
      <c r="C27" s="327"/>
      <c r="D27" s="1869"/>
      <c r="E27" s="1869"/>
      <c r="F27" s="1869"/>
      <c r="G27" s="1869"/>
      <c r="H27" s="1869"/>
      <c r="I27" s="1869"/>
      <c r="J27" s="1869"/>
      <c r="K27" s="1869"/>
      <c r="L27" s="1869"/>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326"/>
    </row>
    <row r="28" spans="1:38" s="718" customFormat="1" ht="13.15" customHeight="1">
      <c r="A28" s="328"/>
      <c r="B28" s="326"/>
      <c r="C28" s="327"/>
      <c r="E28" s="1869" t="s">
        <v>2182</v>
      </c>
      <c r="F28" s="1869"/>
      <c r="G28" s="1869"/>
      <c r="H28" s="1869"/>
      <c r="I28" s="1869"/>
      <c r="J28" s="1869"/>
      <c r="K28" s="1869"/>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326"/>
    </row>
    <row r="29" spans="1:38" s="718" customFormat="1" ht="13.15" customHeight="1">
      <c r="A29" s="328"/>
      <c r="B29" s="326"/>
      <c r="C29" s="327"/>
      <c r="E29" s="1869"/>
      <c r="F29" s="1869"/>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326"/>
    </row>
    <row r="30" spans="1:38" s="718" customFormat="1">
      <c r="A30" s="328"/>
      <c r="B30" s="326"/>
      <c r="C30" s="327"/>
      <c r="D30" s="747"/>
      <c r="E30" s="1869"/>
      <c r="F30" s="1869"/>
      <c r="G30" s="1869"/>
      <c r="H30" s="1869"/>
      <c r="I30" s="1869"/>
      <c r="J30" s="1869"/>
      <c r="K30" s="1869"/>
      <c r="L30" s="1869"/>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70" t="s">
        <v>1401</v>
      </c>
      <c r="E32" s="1870"/>
      <c r="F32" s="1870"/>
      <c r="G32" s="1870"/>
      <c r="H32" s="1870"/>
      <c r="I32" s="1870"/>
      <c r="J32" s="1870"/>
      <c r="K32" s="1870"/>
      <c r="L32" s="1870"/>
      <c r="M32" s="1870"/>
      <c r="N32" s="1870"/>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326"/>
    </row>
    <row r="33" spans="1:38" s="718" customFormat="1">
      <c r="A33" s="328"/>
      <c r="B33" s="326"/>
      <c r="C33" s="327"/>
      <c r="D33" s="747"/>
      <c r="E33" s="1876" t="s">
        <v>1460</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1876"/>
      <c r="AL33" s="326"/>
    </row>
    <row r="34" spans="1:38">
      <c r="A34" s="149"/>
      <c r="C34" s="5"/>
    </row>
    <row r="35" spans="1:38">
      <c r="A35" s="149"/>
      <c r="D35" s="1868" t="s">
        <v>1388</v>
      </c>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row>
    <row r="36" spans="1:38">
      <c r="A36" s="149"/>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row>
    <row r="37" spans="1:38">
      <c r="A37" s="149"/>
      <c r="D37" s="250"/>
      <c r="E37" s="1875" t="s">
        <v>1096</v>
      </c>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row>
    <row r="38" spans="1:38">
      <c r="A38" s="149"/>
      <c r="D38" s="250"/>
      <c r="E38" s="1875" t="s">
        <v>1399</v>
      </c>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9" customFormat="1" ht="13.15" customHeight="1">
      <c r="A42" s="149"/>
      <c r="B42"/>
      <c r="C42" s="5"/>
      <c r="D42" s="149"/>
      <c r="E42" s="149" t="s">
        <v>690</v>
      </c>
      <c r="F42" s="1869" t="s">
        <v>1362</v>
      </c>
    </row>
    <row r="43" spans="1:38" s="1869" customFormat="1" ht="13.15" customHeight="1">
      <c r="A43" s="149"/>
      <c r="B43" s="718"/>
      <c r="C43" s="5"/>
      <c r="D43" s="149"/>
      <c r="E43" s="149"/>
    </row>
    <row r="44" spans="1:38">
      <c r="A44" s="149"/>
      <c r="C44" s="5"/>
      <c r="D44" s="149"/>
      <c r="E44" s="149"/>
      <c r="F44" s="151" t="s">
        <v>725</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80" t="s">
        <v>1482</v>
      </c>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row>
    <row r="46" spans="1:38" s="771" customFormat="1">
      <c r="A46" s="149"/>
      <c r="B46" s="718"/>
      <c r="C46" s="5"/>
      <c r="D46" s="149"/>
      <c r="E46" s="149"/>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row>
    <row r="47" spans="1:38" s="771" customFormat="1" ht="13.15" customHeight="1">
      <c r="A47" s="149"/>
      <c r="B47" s="718"/>
      <c r="C47" s="5"/>
      <c r="D47" s="149"/>
      <c r="E47" s="149"/>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69" t="s">
        <v>1483</v>
      </c>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row>
    <row r="51" spans="1:38">
      <c r="A51" s="149"/>
      <c r="C51" s="5"/>
      <c r="D51" s="149"/>
      <c r="E51" s="14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row>
    <row r="52" spans="1:38">
      <c r="A52" s="149"/>
      <c r="C52" s="5"/>
      <c r="D52" s="14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725</v>
      </c>
      <c r="G56" s="1871" t="s">
        <v>1402</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71" t="s">
        <v>610</v>
      </c>
      <c r="H58" s="1871"/>
      <c r="I58" s="187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542</v>
      </c>
      <c r="G59" s="1879" t="s">
        <v>1484</v>
      </c>
      <c r="H59" s="1879"/>
      <c r="I59" s="1879"/>
      <c r="J59" s="1879"/>
      <c r="K59" s="1879"/>
      <c r="L59" s="1879"/>
      <c r="M59" s="1879"/>
      <c r="N59" s="1879"/>
      <c r="O59" s="1879"/>
      <c r="P59" s="1879"/>
      <c r="Q59" s="1879"/>
      <c r="R59" s="1879"/>
      <c r="S59" s="1879"/>
      <c r="T59" s="1879"/>
      <c r="U59" s="1879"/>
      <c r="V59" s="1879"/>
      <c r="W59" s="1879"/>
      <c r="X59" s="1879"/>
      <c r="Y59" s="1879"/>
      <c r="Z59" s="1879"/>
      <c r="AA59" s="1879"/>
      <c r="AB59" s="1879"/>
      <c r="AC59" s="1879"/>
      <c r="AD59" s="1879"/>
      <c r="AE59" s="1879"/>
      <c r="AF59" s="1879"/>
      <c r="AG59" s="1879"/>
      <c r="AH59" s="1879"/>
      <c r="AI59" s="1879"/>
      <c r="AJ59" s="1879"/>
      <c r="AK59" s="1879"/>
      <c r="AL59" s="1879"/>
    </row>
    <row r="60" spans="1:38" s="2" customFormat="1">
      <c r="A60" s="328"/>
      <c r="B60" s="326"/>
      <c r="C60" s="327"/>
      <c r="D60" s="327"/>
      <c r="E60" s="328"/>
      <c r="F60" s="332"/>
      <c r="G60" s="1879"/>
      <c r="H60" s="1879"/>
      <c r="I60" s="1879"/>
      <c r="J60" s="1879"/>
      <c r="K60" s="1879"/>
      <c r="L60" s="1879"/>
      <c r="M60" s="1879"/>
      <c r="N60" s="1879"/>
      <c r="O60" s="1879"/>
      <c r="P60" s="1879"/>
      <c r="Q60" s="1879"/>
      <c r="R60" s="1879"/>
      <c r="S60" s="1879"/>
      <c r="T60" s="1879"/>
      <c r="U60" s="1879"/>
      <c r="V60" s="1879"/>
      <c r="W60" s="1879"/>
      <c r="X60" s="1879"/>
      <c r="Y60" s="1879"/>
      <c r="Z60" s="1879"/>
      <c r="AA60" s="1879"/>
      <c r="AB60" s="1879"/>
      <c r="AC60" s="1879"/>
      <c r="AD60" s="1879"/>
      <c r="AE60" s="1879"/>
      <c r="AF60" s="1879"/>
      <c r="AG60" s="1879"/>
      <c r="AH60" s="1879"/>
      <c r="AI60" s="1879"/>
      <c r="AJ60" s="1879"/>
      <c r="AK60" s="1879"/>
      <c r="AL60" s="1879"/>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9" t="s">
        <v>1364</v>
      </c>
      <c r="H66" s="1869"/>
      <c r="I66" s="1869"/>
      <c r="J66" s="1869"/>
      <c r="K66" s="1869"/>
      <c r="L66" s="1869"/>
      <c r="M66" s="1869"/>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69"/>
      <c r="AK66" s="1869"/>
    </row>
    <row r="67" spans="1:37">
      <c r="A67" s="149"/>
      <c r="C67" s="5"/>
      <c r="D67" s="149"/>
      <c r="E67" s="149"/>
      <c r="F67" s="9"/>
      <c r="G67" s="1869"/>
      <c r="H67" s="1869"/>
      <c r="I67" s="1869"/>
      <c r="J67" s="1869"/>
      <c r="K67" s="1869"/>
      <c r="L67" s="1869"/>
      <c r="M67" s="1869"/>
      <c r="N67" s="1869"/>
      <c r="O67" s="1869"/>
      <c r="P67" s="1869"/>
      <c r="Q67" s="1869"/>
      <c r="R67" s="1869"/>
      <c r="S67" s="1869"/>
      <c r="T67" s="1869"/>
      <c r="U67" s="1869"/>
      <c r="V67" s="1869"/>
      <c r="W67" s="1869"/>
      <c r="X67" s="1869"/>
      <c r="Y67" s="1869"/>
      <c r="Z67" s="1869"/>
      <c r="AA67" s="1869"/>
      <c r="AB67" s="1869"/>
      <c r="AC67" s="1869"/>
      <c r="AD67" s="1869"/>
      <c r="AE67" s="1869"/>
      <c r="AF67" s="1869"/>
      <c r="AG67" s="1869"/>
      <c r="AH67" s="1869"/>
      <c r="AI67" s="1869"/>
      <c r="AJ67" s="1869"/>
      <c r="AK67" s="1869"/>
    </row>
    <row r="68" spans="1:37">
      <c r="A68" s="149"/>
      <c r="C68" s="5"/>
      <c r="D68" s="149"/>
      <c r="E68" s="149"/>
      <c r="F68" s="9"/>
      <c r="G68" s="1869"/>
      <c r="H68" s="1869"/>
      <c r="I68" s="1869"/>
      <c r="J68" s="1869"/>
      <c r="K68" s="1869"/>
      <c r="L68" s="1869"/>
      <c r="M68" s="1869"/>
      <c r="N68" s="1869"/>
      <c r="O68" s="1869"/>
      <c r="P68" s="1869"/>
      <c r="Q68" s="1869"/>
      <c r="R68" s="1869"/>
      <c r="S68" s="1869"/>
      <c r="T68" s="1869"/>
      <c r="U68" s="1869"/>
      <c r="V68" s="1869"/>
      <c r="W68" s="1869"/>
      <c r="X68" s="1869"/>
      <c r="Y68" s="1869"/>
      <c r="Z68" s="1869"/>
      <c r="AA68" s="1869"/>
      <c r="AB68" s="1869"/>
      <c r="AC68" s="1869"/>
      <c r="AD68" s="1869"/>
      <c r="AE68" s="1869"/>
      <c r="AF68" s="1869"/>
      <c r="AG68" s="1869"/>
      <c r="AH68" s="1869"/>
      <c r="AI68" s="1869"/>
      <c r="AJ68" s="1869"/>
      <c r="AK68" s="1869"/>
    </row>
    <row r="69" spans="1:37" ht="13.15" customHeight="1">
      <c r="A69" s="149"/>
      <c r="C69" s="5"/>
      <c r="D69" s="149"/>
      <c r="E69" s="149"/>
      <c r="F69" s="9" t="s">
        <v>542</v>
      </c>
      <c r="G69" s="1869" t="s">
        <v>1365</v>
      </c>
      <c r="H69" s="1869"/>
      <c r="I69" s="1869"/>
      <c r="J69" s="1869"/>
      <c r="K69" s="1869"/>
      <c r="L69" s="1869"/>
      <c r="M69" s="1869"/>
      <c r="N69" s="1869"/>
      <c r="O69" s="1869"/>
      <c r="P69" s="1869"/>
      <c r="Q69" s="1869"/>
      <c r="R69" s="1869"/>
      <c r="S69" s="1869"/>
      <c r="T69" s="1869"/>
      <c r="U69" s="1869"/>
      <c r="V69" s="1869"/>
      <c r="W69" s="1869"/>
      <c r="X69" s="1869"/>
      <c r="Y69" s="1869"/>
      <c r="Z69" s="1869"/>
      <c r="AA69" s="1869"/>
      <c r="AB69" s="1869"/>
      <c r="AC69" s="1869"/>
      <c r="AD69" s="1869"/>
      <c r="AE69" s="1869"/>
      <c r="AF69" s="1869"/>
      <c r="AG69" s="1869"/>
      <c r="AH69" s="1869"/>
      <c r="AI69" s="1869"/>
      <c r="AJ69" s="1869"/>
      <c r="AK69" s="1869"/>
    </row>
    <row r="70" spans="1:37">
      <c r="A70" s="149"/>
      <c r="C70" s="5"/>
      <c r="D70" s="149"/>
      <c r="E70" s="149"/>
      <c r="F70" s="380"/>
      <c r="G70" s="1869"/>
      <c r="H70" s="1869"/>
      <c r="I70" s="1869"/>
      <c r="J70" s="1869"/>
      <c r="K70" s="1869"/>
      <c r="L70" s="1869"/>
      <c r="M70" s="1869"/>
      <c r="N70" s="1869"/>
      <c r="O70" s="1869"/>
      <c r="P70" s="1869"/>
      <c r="Q70" s="1869"/>
      <c r="R70" s="1869"/>
      <c r="S70" s="1869"/>
      <c r="T70" s="1869"/>
      <c r="U70" s="1869"/>
      <c r="V70" s="1869"/>
      <c r="W70" s="1869"/>
      <c r="X70" s="1869"/>
      <c r="Y70" s="1869"/>
      <c r="Z70" s="1869"/>
      <c r="AA70" s="1869"/>
      <c r="AB70" s="1869"/>
      <c r="AC70" s="1869"/>
      <c r="AD70" s="1869"/>
      <c r="AE70" s="1869"/>
      <c r="AF70" s="1869"/>
      <c r="AG70" s="1869"/>
      <c r="AH70" s="1869"/>
      <c r="AI70" s="1869"/>
      <c r="AJ70" s="1869"/>
      <c r="AK70" s="1869"/>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69" t="s">
        <v>1366</v>
      </c>
      <c r="H72" s="1869"/>
      <c r="I72" s="1869"/>
      <c r="J72" s="1869"/>
      <c r="K72" s="1869"/>
      <c r="L72" s="1869"/>
      <c r="M72" s="1869"/>
      <c r="N72" s="1869"/>
      <c r="O72" s="1869"/>
      <c r="P72" s="1869"/>
      <c r="Q72" s="1869"/>
      <c r="R72" s="1869"/>
      <c r="S72" s="1869"/>
      <c r="T72" s="1869"/>
      <c r="U72" s="1869"/>
      <c r="V72" s="1869"/>
      <c r="W72" s="1869"/>
      <c r="X72" s="1869"/>
      <c r="Y72" s="1869"/>
      <c r="Z72" s="1869"/>
      <c r="AA72" s="1869"/>
      <c r="AB72" s="1869"/>
      <c r="AC72" s="1869"/>
      <c r="AD72" s="1869"/>
      <c r="AE72" s="1869"/>
      <c r="AF72" s="1869"/>
      <c r="AG72" s="1869"/>
      <c r="AH72" s="1869"/>
      <c r="AI72" s="1869"/>
      <c r="AJ72" s="1869"/>
      <c r="AK72" s="1869"/>
    </row>
    <row r="73" spans="1:37">
      <c r="A73" s="149"/>
      <c r="C73" s="5"/>
      <c r="D73" s="149"/>
      <c r="E73" s="149"/>
      <c r="F73" s="249"/>
      <c r="G73" s="1869"/>
      <c r="H73" s="1869"/>
      <c r="I73" s="1869"/>
      <c r="J73" s="1869"/>
      <c r="K73" s="1869"/>
      <c r="L73" s="1869"/>
      <c r="M73" s="1869"/>
      <c r="N73" s="1869"/>
      <c r="O73" s="1869"/>
      <c r="P73" s="1869"/>
      <c r="Q73" s="1869"/>
      <c r="R73" s="1869"/>
      <c r="S73" s="1869"/>
      <c r="T73" s="1869"/>
      <c r="U73" s="1869"/>
      <c r="V73" s="1869"/>
      <c r="W73" s="1869"/>
      <c r="X73" s="1869"/>
      <c r="Y73" s="1869"/>
      <c r="Z73" s="1869"/>
      <c r="AA73" s="1869"/>
      <c r="AB73" s="1869"/>
      <c r="AC73" s="1869"/>
      <c r="AD73" s="1869"/>
      <c r="AE73" s="1869"/>
      <c r="AF73" s="1869"/>
      <c r="AG73" s="1869"/>
      <c r="AH73" s="1869"/>
      <c r="AI73" s="1869"/>
      <c r="AJ73" s="1869"/>
      <c r="AK73" s="1869"/>
    </row>
    <row r="74" spans="1:37">
      <c r="A74" s="149"/>
      <c r="C74" s="5"/>
      <c r="D74" s="149"/>
      <c r="E74" s="149"/>
      <c r="F74" s="249" t="s">
        <v>542</v>
      </c>
      <c r="G74" s="1869" t="s">
        <v>1367</v>
      </c>
      <c r="H74" s="1869"/>
      <c r="I74" s="1869"/>
      <c r="J74" s="1869"/>
      <c r="K74" s="1869"/>
      <c r="L74" s="1869"/>
      <c r="M74" s="1869"/>
      <c r="N74" s="1869"/>
      <c r="O74" s="1869"/>
      <c r="P74" s="1869"/>
      <c r="Q74" s="1869"/>
      <c r="R74" s="1869"/>
      <c r="S74" s="1869"/>
      <c r="T74" s="1869"/>
      <c r="U74" s="1869"/>
      <c r="V74" s="1869"/>
      <c r="W74" s="1869"/>
      <c r="X74" s="1869"/>
      <c r="Y74" s="1869"/>
      <c r="Z74" s="1869"/>
      <c r="AA74" s="1869"/>
      <c r="AB74" s="1869"/>
      <c r="AC74" s="1869"/>
      <c r="AD74" s="1869"/>
      <c r="AE74" s="1869"/>
      <c r="AF74" s="1869"/>
      <c r="AG74" s="1869"/>
      <c r="AH74" s="1869"/>
      <c r="AI74" s="1869"/>
      <c r="AJ74" s="1869"/>
      <c r="AK74" s="1869"/>
    </row>
    <row r="75" spans="1:37">
      <c r="A75" s="149"/>
      <c r="C75" s="5"/>
      <c r="D75" s="149"/>
      <c r="E75" s="149"/>
      <c r="F75" s="249"/>
      <c r="G75" s="1869"/>
      <c r="H75" s="1869"/>
      <c r="I75" s="1869"/>
      <c r="J75" s="1869"/>
      <c r="K75" s="1869"/>
      <c r="L75" s="1869"/>
      <c r="M75" s="1869"/>
      <c r="N75" s="1869"/>
      <c r="O75" s="1869"/>
      <c r="P75" s="1869"/>
      <c r="Q75" s="1869"/>
      <c r="R75" s="1869"/>
      <c r="S75" s="1869"/>
      <c r="T75" s="1869"/>
      <c r="U75" s="1869"/>
      <c r="V75" s="1869"/>
      <c r="W75" s="1869"/>
      <c r="X75" s="1869"/>
      <c r="Y75" s="1869"/>
      <c r="Z75" s="1869"/>
      <c r="AA75" s="1869"/>
      <c r="AB75" s="1869"/>
      <c r="AC75" s="1869"/>
      <c r="AD75" s="1869"/>
      <c r="AE75" s="1869"/>
      <c r="AF75" s="1869"/>
      <c r="AG75" s="1869"/>
      <c r="AH75" s="1869"/>
      <c r="AI75" s="1869"/>
      <c r="AJ75" s="1869"/>
      <c r="AK75" s="1869"/>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9" t="s">
        <v>1368</v>
      </c>
      <c r="H82" s="1869"/>
      <c r="I82" s="1869"/>
      <c r="J82" s="1869"/>
      <c r="K82" s="1869"/>
      <c r="L82" s="1869"/>
      <c r="M82" s="1869"/>
      <c r="N82" s="1869"/>
      <c r="O82" s="1869"/>
      <c r="P82" s="1869"/>
      <c r="Q82" s="1869"/>
      <c r="R82" s="1869"/>
      <c r="S82" s="1869"/>
      <c r="T82" s="1869"/>
      <c r="U82" s="1869"/>
      <c r="V82" s="1869"/>
      <c r="W82" s="1869"/>
      <c r="X82" s="1869"/>
      <c r="Y82" s="1869"/>
      <c r="Z82" s="1869"/>
      <c r="AA82" s="1869"/>
      <c r="AB82" s="1869"/>
      <c r="AC82" s="1869"/>
      <c r="AD82" s="1869"/>
      <c r="AE82" s="1869"/>
      <c r="AF82" s="1869"/>
      <c r="AG82" s="1869"/>
      <c r="AH82" s="1869"/>
      <c r="AI82" s="1869"/>
      <c r="AJ82" s="1869"/>
      <c r="AK82" s="1869"/>
    </row>
    <row r="83" spans="1:37">
      <c r="A83" s="149"/>
      <c r="C83" s="5"/>
      <c r="D83" s="149"/>
      <c r="E83" s="149"/>
      <c r="F83" s="149"/>
      <c r="G83" s="1869"/>
      <c r="H83" s="1869"/>
      <c r="I83" s="1869"/>
      <c r="J83" s="1869"/>
      <c r="K83" s="1869"/>
      <c r="L83" s="1869"/>
      <c r="M83" s="1869"/>
      <c r="N83" s="1869"/>
      <c r="O83" s="1869"/>
      <c r="P83" s="1869"/>
      <c r="Q83" s="1869"/>
      <c r="R83" s="1869"/>
      <c r="S83" s="1869"/>
      <c r="T83" s="1869"/>
      <c r="U83" s="1869"/>
      <c r="V83" s="1869"/>
      <c r="W83" s="1869"/>
      <c r="X83" s="1869"/>
      <c r="Y83" s="1869"/>
      <c r="Z83" s="1869"/>
      <c r="AA83" s="1869"/>
      <c r="AB83" s="1869"/>
      <c r="AC83" s="1869"/>
      <c r="AD83" s="1869"/>
      <c r="AE83" s="1869"/>
      <c r="AF83" s="1869"/>
      <c r="AG83" s="1869"/>
      <c r="AH83" s="1869"/>
      <c r="AI83" s="1869"/>
      <c r="AJ83" s="1869"/>
      <c r="AK83" s="1869"/>
    </row>
    <row r="84" spans="1:37" s="718" customFormat="1">
      <c r="A84" s="149"/>
      <c r="C84" s="5"/>
      <c r="D84" s="149"/>
      <c r="E84" s="149"/>
      <c r="F84" s="149"/>
      <c r="G84" s="1869"/>
      <c r="H84" s="1869"/>
      <c r="I84" s="1869"/>
      <c r="J84" s="1869"/>
      <c r="K84" s="1869"/>
      <c r="L84" s="1869"/>
      <c r="M84" s="1869"/>
      <c r="N84" s="1869"/>
      <c r="O84" s="1869"/>
      <c r="P84" s="1869"/>
      <c r="Q84" s="1869"/>
      <c r="R84" s="1869"/>
      <c r="S84" s="1869"/>
      <c r="T84" s="1869"/>
      <c r="U84" s="1869"/>
      <c r="V84" s="1869"/>
      <c r="W84" s="1869"/>
      <c r="X84" s="1869"/>
      <c r="Y84" s="1869"/>
      <c r="Z84" s="1869"/>
      <c r="AA84" s="1869"/>
      <c r="AB84" s="1869"/>
      <c r="AC84" s="1869"/>
      <c r="AD84" s="1869"/>
      <c r="AE84" s="1869"/>
      <c r="AF84" s="1869"/>
      <c r="AG84" s="1869"/>
      <c r="AH84" s="1869"/>
      <c r="AI84" s="1869"/>
      <c r="AJ84" s="1869"/>
      <c r="AK84" s="186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9" t="s">
        <v>1369</v>
      </c>
      <c r="H86" s="1869"/>
      <c r="I86" s="1869"/>
      <c r="J86" s="1869"/>
      <c r="K86" s="1869"/>
      <c r="L86" s="1869"/>
      <c r="M86" s="1869"/>
      <c r="N86" s="1869"/>
      <c r="O86" s="1869"/>
      <c r="P86" s="1869"/>
      <c r="Q86" s="1869"/>
      <c r="R86" s="1869"/>
      <c r="S86" s="1869"/>
      <c r="T86" s="1869"/>
      <c r="U86" s="1869"/>
      <c r="V86" s="1869"/>
      <c r="W86" s="1869"/>
      <c r="X86" s="1869"/>
      <c r="Y86" s="1869"/>
      <c r="Z86" s="1869"/>
      <c r="AA86" s="1869"/>
      <c r="AB86" s="1869"/>
      <c r="AC86" s="1869"/>
      <c r="AD86" s="1869"/>
      <c r="AE86" s="1869"/>
      <c r="AF86" s="1869"/>
      <c r="AG86" s="1869"/>
      <c r="AH86" s="1869"/>
      <c r="AI86" s="1869"/>
      <c r="AJ86" s="1869"/>
      <c r="AK86" s="1869"/>
    </row>
    <row r="87" spans="1:37">
      <c r="A87" s="149"/>
      <c r="C87" s="5"/>
      <c r="D87" s="149"/>
      <c r="E87" s="149"/>
      <c r="F87" s="149"/>
      <c r="G87" s="1869"/>
      <c r="H87" s="1869"/>
      <c r="I87" s="1869"/>
      <c r="J87" s="1869"/>
      <c r="K87" s="1869"/>
      <c r="L87" s="1869"/>
      <c r="M87" s="1869"/>
      <c r="N87" s="1869"/>
      <c r="O87" s="1869"/>
      <c r="P87" s="1869"/>
      <c r="Q87" s="1869"/>
      <c r="R87" s="1869"/>
      <c r="S87" s="1869"/>
      <c r="T87" s="1869"/>
      <c r="U87" s="1869"/>
      <c r="V87" s="1869"/>
      <c r="W87" s="1869"/>
      <c r="X87" s="1869"/>
      <c r="Y87" s="1869"/>
      <c r="Z87" s="1869"/>
      <c r="AA87" s="1869"/>
      <c r="AB87" s="1869"/>
      <c r="AC87" s="1869"/>
      <c r="AD87" s="1869"/>
      <c r="AE87" s="1869"/>
      <c r="AF87" s="1869"/>
      <c r="AG87" s="1869"/>
      <c r="AH87" s="1869"/>
      <c r="AI87" s="1869"/>
      <c r="AJ87" s="1869"/>
      <c r="AK87" s="1869"/>
    </row>
    <row r="88" spans="1:37">
      <c r="A88" s="149"/>
      <c r="C88" s="5"/>
      <c r="D88" s="149"/>
      <c r="E88" s="149"/>
      <c r="G88" s="1869"/>
      <c r="H88" s="1869"/>
      <c r="I88" s="1869"/>
      <c r="J88" s="1869"/>
      <c r="K88" s="1869"/>
      <c r="L88" s="1869"/>
      <c r="M88" s="1869"/>
      <c r="N88" s="1869"/>
      <c r="O88" s="1869"/>
      <c r="P88" s="1869"/>
      <c r="Q88" s="1869"/>
      <c r="R88" s="1869"/>
      <c r="S88" s="1869"/>
      <c r="T88" s="1869"/>
      <c r="U88" s="1869"/>
      <c r="V88" s="1869"/>
      <c r="W88" s="1869"/>
      <c r="X88" s="1869"/>
      <c r="Y88" s="1869"/>
      <c r="Z88" s="1869"/>
      <c r="AA88" s="1869"/>
      <c r="AB88" s="1869"/>
      <c r="AC88" s="1869"/>
      <c r="AD88" s="1869"/>
      <c r="AE88" s="1869"/>
      <c r="AF88" s="1869"/>
      <c r="AG88" s="1869"/>
      <c r="AH88" s="1869"/>
      <c r="AI88" s="1869"/>
      <c r="AJ88" s="1869"/>
      <c r="AK88" s="1869"/>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77" t="s">
        <v>1370</v>
      </c>
      <c r="H90" s="1877"/>
      <c r="I90" s="1877"/>
      <c r="J90" s="1877"/>
      <c r="K90" s="1877"/>
      <c r="L90" s="1877"/>
      <c r="M90" s="1877"/>
      <c r="N90" s="1877"/>
      <c r="O90" s="1877"/>
      <c r="P90" s="1877"/>
      <c r="Q90" s="1877"/>
      <c r="R90" s="1877"/>
      <c r="S90" s="1877"/>
      <c r="T90" s="1877"/>
      <c r="U90" s="1877"/>
      <c r="V90" s="1877"/>
      <c r="W90" s="1877"/>
      <c r="X90" s="1877"/>
      <c r="Y90" s="1877"/>
      <c r="Z90" s="1877"/>
      <c r="AA90" s="1877"/>
      <c r="AB90" s="1877"/>
      <c r="AC90" s="1877"/>
      <c r="AD90" s="1877"/>
      <c r="AE90" s="1877"/>
      <c r="AF90" s="1877"/>
      <c r="AG90" s="1877"/>
      <c r="AH90" s="1877"/>
      <c r="AI90" s="1877"/>
      <c r="AJ90" s="1877"/>
      <c r="AK90" s="1877"/>
    </row>
    <row r="91" spans="1:37" s="718" customFormat="1">
      <c r="A91" s="149"/>
      <c r="C91" s="5"/>
      <c r="D91" s="149"/>
      <c r="E91" s="149"/>
      <c r="G91" s="1877"/>
      <c r="H91" s="1877"/>
      <c r="I91" s="1877"/>
      <c r="J91" s="1877"/>
      <c r="K91" s="1877"/>
      <c r="L91" s="1877"/>
      <c r="M91" s="1877"/>
      <c r="N91" s="1877"/>
      <c r="O91" s="1877"/>
      <c r="P91" s="1877"/>
      <c r="Q91" s="1877"/>
      <c r="R91" s="1877"/>
      <c r="S91" s="1877"/>
      <c r="T91" s="1877"/>
      <c r="U91" s="1877"/>
      <c r="V91" s="1877"/>
      <c r="W91" s="1877"/>
      <c r="X91" s="1877"/>
      <c r="Y91" s="1877"/>
      <c r="Z91" s="1877"/>
      <c r="AA91" s="1877"/>
      <c r="AB91" s="1877"/>
      <c r="AC91" s="1877"/>
      <c r="AD91" s="1877"/>
      <c r="AE91" s="1877"/>
      <c r="AF91" s="1877"/>
      <c r="AG91" s="1877"/>
      <c r="AH91" s="1877"/>
      <c r="AI91" s="1877"/>
      <c r="AJ91" s="1877"/>
      <c r="AK91" s="1877"/>
    </row>
    <row r="92" spans="1:37">
      <c r="A92" s="149"/>
      <c r="C92" s="5"/>
      <c r="D92" s="149"/>
      <c r="E92" s="149"/>
      <c r="G92" s="1877"/>
      <c r="H92" s="1877"/>
      <c r="I92" s="1877"/>
      <c r="J92" s="1877"/>
      <c r="K92" s="1877"/>
      <c r="L92" s="1877"/>
      <c r="M92" s="1877"/>
      <c r="N92" s="1877"/>
      <c r="O92" s="1877"/>
      <c r="P92" s="1877"/>
      <c r="Q92" s="1877"/>
      <c r="R92" s="1877"/>
      <c r="S92" s="1877"/>
      <c r="T92" s="1877"/>
      <c r="U92" s="1877"/>
      <c r="V92" s="1877"/>
      <c r="W92" s="1877"/>
      <c r="X92" s="1877"/>
      <c r="Y92" s="1877"/>
      <c r="Z92" s="1877"/>
      <c r="AA92" s="1877"/>
      <c r="AB92" s="1877"/>
      <c r="AC92" s="1877"/>
      <c r="AD92" s="1877"/>
      <c r="AE92" s="1877"/>
      <c r="AF92" s="1877"/>
      <c r="AG92" s="1877"/>
      <c r="AH92" s="1877"/>
      <c r="AI92" s="1877"/>
      <c r="AJ92" s="1877"/>
      <c r="AK92" s="1877"/>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9" t="s">
        <v>1371</v>
      </c>
      <c r="H94" s="1869"/>
      <c r="I94" s="1869"/>
      <c r="J94" s="1869"/>
      <c r="K94" s="1869"/>
      <c r="L94" s="1869"/>
      <c r="M94" s="1869"/>
      <c r="N94" s="1869"/>
      <c r="O94" s="1869"/>
      <c r="P94" s="1869"/>
      <c r="Q94" s="1869"/>
      <c r="R94" s="1869"/>
      <c r="S94" s="1869"/>
      <c r="T94" s="1869"/>
      <c r="U94" s="1869"/>
      <c r="V94" s="1869"/>
      <c r="W94" s="1869"/>
      <c r="X94" s="1869"/>
      <c r="Y94" s="1869"/>
      <c r="Z94" s="1869"/>
      <c r="AA94" s="1869"/>
      <c r="AB94" s="1869"/>
      <c r="AC94" s="1869"/>
      <c r="AD94" s="1869"/>
      <c r="AE94" s="1869"/>
      <c r="AF94" s="1869"/>
      <c r="AG94" s="1869"/>
      <c r="AH94" s="1869"/>
      <c r="AI94" s="1869"/>
      <c r="AJ94" s="1869"/>
      <c r="AK94" s="1869"/>
    </row>
    <row r="95" spans="1:37">
      <c r="A95" s="149"/>
      <c r="C95" s="5"/>
      <c r="D95" s="149"/>
      <c r="E95" s="149"/>
      <c r="G95" s="1869"/>
      <c r="H95" s="1869"/>
      <c r="I95" s="1869"/>
      <c r="J95" s="1869"/>
      <c r="K95" s="1869"/>
      <c r="L95" s="1869"/>
      <c r="M95" s="1869"/>
      <c r="N95" s="1869"/>
      <c r="O95" s="1869"/>
      <c r="P95" s="1869"/>
      <c r="Q95" s="1869"/>
      <c r="R95" s="1869"/>
      <c r="S95" s="1869"/>
      <c r="T95" s="1869"/>
      <c r="U95" s="1869"/>
      <c r="V95" s="1869"/>
      <c r="W95" s="1869"/>
      <c r="X95" s="1869"/>
      <c r="Y95" s="1869"/>
      <c r="Z95" s="1869"/>
      <c r="AA95" s="1869"/>
      <c r="AB95" s="1869"/>
      <c r="AC95" s="1869"/>
      <c r="AD95" s="1869"/>
      <c r="AE95" s="1869"/>
      <c r="AF95" s="1869"/>
      <c r="AG95" s="1869"/>
      <c r="AH95" s="1869"/>
      <c r="AI95" s="1869"/>
      <c r="AJ95" s="1869"/>
      <c r="AK95" s="1869"/>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69" t="s">
        <v>1372</v>
      </c>
      <c r="H97" s="1869"/>
      <c r="I97" s="1869"/>
      <c r="J97" s="1869"/>
      <c r="K97" s="1869"/>
      <c r="L97" s="1869"/>
      <c r="M97" s="1869"/>
      <c r="N97" s="1869"/>
      <c r="O97" s="1869"/>
      <c r="P97" s="1869"/>
      <c r="Q97" s="1869"/>
      <c r="R97" s="1869"/>
      <c r="S97" s="1869"/>
      <c r="T97" s="1869"/>
      <c r="U97" s="1869"/>
      <c r="V97" s="1869"/>
      <c r="W97" s="1869"/>
      <c r="X97" s="1869"/>
      <c r="Y97" s="1869"/>
      <c r="Z97" s="1869"/>
      <c r="AA97" s="1869"/>
      <c r="AB97" s="1869"/>
      <c r="AC97" s="1869"/>
      <c r="AD97" s="1869"/>
      <c r="AE97" s="1869"/>
      <c r="AF97" s="1869"/>
      <c r="AG97" s="1869"/>
      <c r="AH97" s="1869"/>
      <c r="AI97" s="1869"/>
      <c r="AJ97" s="1869"/>
      <c r="AK97" s="1869"/>
    </row>
    <row r="98" spans="1:38">
      <c r="A98" s="149"/>
      <c r="C98" s="183"/>
      <c r="D98" s="182"/>
      <c r="E98" s="182"/>
      <c r="F98" s="2"/>
      <c r="G98" s="1869"/>
      <c r="H98" s="1869"/>
      <c r="I98" s="1869"/>
      <c r="J98" s="1869"/>
      <c r="K98" s="1869"/>
      <c r="L98" s="1869"/>
      <c r="M98" s="1869"/>
      <c r="N98" s="1869"/>
      <c r="O98" s="1869"/>
      <c r="P98" s="1869"/>
      <c r="Q98" s="1869"/>
      <c r="R98" s="1869"/>
      <c r="S98" s="1869"/>
      <c r="T98" s="1869"/>
      <c r="U98" s="1869"/>
      <c r="V98" s="1869"/>
      <c r="W98" s="1869"/>
      <c r="X98" s="1869"/>
      <c r="Y98" s="1869"/>
      <c r="Z98" s="1869"/>
      <c r="AA98" s="1869"/>
      <c r="AB98" s="1869"/>
      <c r="AC98" s="1869"/>
      <c r="AD98" s="1869"/>
      <c r="AE98" s="1869"/>
      <c r="AF98" s="1869"/>
      <c r="AG98" s="1869"/>
      <c r="AH98" s="1869"/>
      <c r="AI98" s="1869"/>
      <c r="AJ98" s="1869"/>
      <c r="AK98" s="1869"/>
      <c r="AL98" s="2"/>
    </row>
    <row r="99" spans="1:38">
      <c r="A99" s="149"/>
      <c r="C99" s="183"/>
      <c r="D99" s="182"/>
      <c r="E99" s="182"/>
      <c r="F99" s="2"/>
      <c r="G99" s="1869"/>
      <c r="H99" s="1869"/>
      <c r="I99" s="1869"/>
      <c r="J99" s="1869"/>
      <c r="K99" s="1869"/>
      <c r="L99" s="1869"/>
      <c r="M99" s="1869"/>
      <c r="N99" s="1869"/>
      <c r="O99" s="1869"/>
      <c r="P99" s="1869"/>
      <c r="Q99" s="1869"/>
      <c r="R99" s="1869"/>
      <c r="S99" s="1869"/>
      <c r="T99" s="1869"/>
      <c r="U99" s="1869"/>
      <c r="V99" s="1869"/>
      <c r="W99" s="1869"/>
      <c r="X99" s="1869"/>
      <c r="Y99" s="1869"/>
      <c r="Z99" s="1869"/>
      <c r="AA99" s="1869"/>
      <c r="AB99" s="1869"/>
      <c r="AC99" s="1869"/>
      <c r="AD99" s="1869"/>
      <c r="AE99" s="1869"/>
      <c r="AF99" s="1869"/>
      <c r="AG99" s="1869"/>
      <c r="AH99" s="1869"/>
      <c r="AI99" s="1869"/>
      <c r="AJ99" s="1869"/>
      <c r="AK99" s="1869"/>
      <c r="AL99" s="2"/>
    </row>
    <row r="100" spans="1:38">
      <c r="A100" s="149"/>
      <c r="C100" s="2"/>
      <c r="D100" s="492"/>
      <c r="E100" s="1878" t="s">
        <v>1373</v>
      </c>
      <c r="F100" s="1878"/>
      <c r="G100" s="1878"/>
      <c r="H100" s="1878"/>
      <c r="I100" s="1878"/>
      <c r="J100" s="1878"/>
      <c r="K100" s="1878"/>
      <c r="L100" s="1878"/>
      <c r="M100" s="1878"/>
      <c r="N100" s="1878"/>
      <c r="O100" s="1878"/>
      <c r="P100" s="1878"/>
      <c r="Q100" s="1878"/>
      <c r="R100" s="1878"/>
      <c r="S100" s="1878"/>
      <c r="T100" s="1878"/>
      <c r="U100" s="1878"/>
      <c r="V100" s="1878"/>
      <c r="W100" s="1878"/>
      <c r="X100" s="1878"/>
      <c r="Y100" s="1878"/>
      <c r="Z100" s="1878"/>
      <c r="AA100" s="1878"/>
      <c r="AB100" s="1878"/>
      <c r="AC100" s="1878"/>
      <c r="AD100" s="1878"/>
      <c r="AE100" s="1878"/>
      <c r="AF100" s="1878"/>
      <c r="AG100" s="1878"/>
      <c r="AH100" s="1878"/>
      <c r="AI100" s="1878"/>
      <c r="AJ100" s="1878"/>
      <c r="AK100" s="1878"/>
      <c r="AL100" s="2"/>
    </row>
    <row r="101" spans="1:38">
      <c r="A101" s="149"/>
      <c r="D101" s="153"/>
      <c r="E101" s="1878"/>
      <c r="F101" s="1878"/>
      <c r="G101" s="1878"/>
      <c r="H101" s="1878"/>
      <c r="I101" s="1878"/>
      <c r="J101" s="1878"/>
      <c r="K101" s="1878"/>
      <c r="L101" s="1878"/>
      <c r="M101" s="1878"/>
      <c r="N101" s="1878"/>
      <c r="O101" s="1878"/>
      <c r="P101" s="1878"/>
      <c r="Q101" s="1878"/>
      <c r="R101" s="1878"/>
      <c r="S101" s="1878"/>
      <c r="T101" s="1878"/>
      <c r="U101" s="1878"/>
      <c r="V101" s="1878"/>
      <c r="W101" s="1878"/>
      <c r="X101" s="1878"/>
      <c r="Y101" s="1878"/>
      <c r="Z101" s="1878"/>
      <c r="AA101" s="1878"/>
      <c r="AB101" s="1878"/>
      <c r="AC101" s="1878"/>
      <c r="AD101" s="1878"/>
      <c r="AE101" s="1878"/>
      <c r="AF101" s="1878"/>
      <c r="AG101" s="1878"/>
      <c r="AH101" s="1878"/>
      <c r="AI101" s="1878"/>
      <c r="AJ101" s="1878"/>
      <c r="AK101" s="187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1125</v>
      </c>
      <c r="G119" s="149"/>
    </row>
    <row r="120" spans="1:38">
      <c r="F120" s="153" t="s">
        <v>1391</v>
      </c>
      <c r="G120" s="153"/>
    </row>
    <row r="121" spans="1:38">
      <c r="G121" s="153"/>
    </row>
    <row r="122" spans="1:38">
      <c r="E122" s="149" t="s">
        <v>823</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1429</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752</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1126</v>
      </c>
      <c r="G193" s="149"/>
      <c r="H193" s="149"/>
      <c r="I193" s="149"/>
    </row>
    <row r="194" spans="2:37">
      <c r="B194" s="149"/>
      <c r="C194" s="5"/>
      <c r="F194" s="149" t="s">
        <v>690</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69" t="s">
        <v>1374</v>
      </c>
      <c r="H207" s="1869"/>
      <c r="I207" s="1869"/>
      <c r="J207" s="1869"/>
      <c r="K207" s="1869"/>
      <c r="L207" s="1869"/>
      <c r="M207" s="1869"/>
      <c r="N207" s="1869"/>
      <c r="O207" s="1869"/>
      <c r="P207" s="1869"/>
      <c r="Q207" s="1869"/>
      <c r="R207" s="1869"/>
      <c r="S207" s="1869"/>
      <c r="T207" s="1869"/>
      <c r="U207" s="1869"/>
      <c r="V207" s="1869"/>
      <c r="W207" s="1869"/>
      <c r="X207" s="1869"/>
      <c r="Y207" s="1869"/>
      <c r="Z207" s="1869"/>
      <c r="AA207" s="1869"/>
      <c r="AB207" s="1869"/>
      <c r="AC207" s="1869"/>
      <c r="AD207" s="1869"/>
      <c r="AE207" s="1869"/>
      <c r="AF207" s="1869"/>
      <c r="AG207" s="1869"/>
      <c r="AH207" s="1869"/>
      <c r="AI207" s="1869"/>
      <c r="AJ207" s="1869"/>
      <c r="AK207" s="1869"/>
    </row>
    <row r="208" spans="2:37">
      <c r="B208" s="149"/>
      <c r="C208" s="149"/>
      <c r="D208" s="5"/>
      <c r="G208" s="1869"/>
      <c r="H208" s="1869"/>
      <c r="I208" s="1869"/>
      <c r="J208" s="1869"/>
      <c r="K208" s="1869"/>
      <c r="L208" s="1869"/>
      <c r="M208" s="1869"/>
      <c r="N208" s="1869"/>
      <c r="O208" s="1869"/>
      <c r="P208" s="1869"/>
      <c r="Q208" s="1869"/>
      <c r="R208" s="1869"/>
      <c r="S208" s="1869"/>
      <c r="T208" s="1869"/>
      <c r="U208" s="1869"/>
      <c r="V208" s="1869"/>
      <c r="W208" s="1869"/>
      <c r="X208" s="1869"/>
      <c r="Y208" s="1869"/>
      <c r="Z208" s="1869"/>
      <c r="AA208" s="1869"/>
      <c r="AB208" s="1869"/>
      <c r="AC208" s="1869"/>
      <c r="AD208" s="1869"/>
      <c r="AE208" s="1869"/>
      <c r="AF208" s="1869"/>
      <c r="AG208" s="1869"/>
      <c r="AH208" s="1869"/>
      <c r="AI208" s="1869"/>
      <c r="AJ208" s="1869"/>
      <c r="AK208" s="1869"/>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69" t="s">
        <v>1349</v>
      </c>
      <c r="G338" s="1869"/>
      <c r="H338" s="1869"/>
      <c r="I338" s="1869"/>
      <c r="J338" s="1869"/>
      <c r="K338" s="1869"/>
      <c r="L338" s="1869"/>
      <c r="M338" s="1869"/>
      <c r="N338" s="1869"/>
      <c r="O338" s="1869"/>
      <c r="P338" s="1869"/>
      <c r="Q338" s="1869"/>
      <c r="R338" s="1869"/>
      <c r="S338" s="1869"/>
      <c r="T338" s="1869"/>
      <c r="U338" s="1869"/>
      <c r="V338" s="1869"/>
      <c r="W338" s="1869"/>
      <c r="X338" s="1869"/>
      <c r="Y338" s="1869"/>
      <c r="Z338" s="1869"/>
      <c r="AA338" s="1869"/>
      <c r="AB338" s="1869"/>
      <c r="AC338" s="1869"/>
      <c r="AD338" s="1869"/>
      <c r="AE338" s="1869"/>
      <c r="AF338" s="1869"/>
      <c r="AG338" s="1869"/>
      <c r="AH338" s="1869"/>
      <c r="AI338" s="1869"/>
      <c r="AJ338" s="1869"/>
      <c r="AK338" s="1869"/>
    </row>
    <row r="339" spans="2:37">
      <c r="B339" s="5"/>
      <c r="E339" s="149"/>
      <c r="F339" s="1869"/>
      <c r="G339" s="1869"/>
      <c r="H339" s="1869"/>
      <c r="I339" s="1869"/>
      <c r="J339" s="1869"/>
      <c r="K339" s="1869"/>
      <c r="L339" s="1869"/>
      <c r="M339" s="1869"/>
      <c r="N339" s="1869"/>
      <c r="O339" s="1869"/>
      <c r="P339" s="1869"/>
      <c r="Q339" s="1869"/>
      <c r="R339" s="1869"/>
      <c r="S339" s="1869"/>
      <c r="T339" s="1869"/>
      <c r="U339" s="1869"/>
      <c r="V339" s="1869"/>
      <c r="W339" s="1869"/>
      <c r="X339" s="1869"/>
      <c r="Y339" s="1869"/>
      <c r="Z339" s="1869"/>
      <c r="AA339" s="1869"/>
      <c r="AB339" s="1869"/>
      <c r="AC339" s="1869"/>
      <c r="AD339" s="1869"/>
      <c r="AE339" s="1869"/>
      <c r="AF339" s="1869"/>
      <c r="AG339" s="1869"/>
      <c r="AH339" s="1869"/>
      <c r="AI339" s="1869"/>
      <c r="AJ339" s="1869"/>
      <c r="AK339" s="1869"/>
    </row>
    <row r="340" spans="2:37">
      <c r="B340" s="5"/>
      <c r="E340" s="149"/>
      <c r="F340" s="1869"/>
      <c r="G340" s="1869"/>
      <c r="H340" s="1869"/>
      <c r="I340" s="1869"/>
      <c r="J340" s="1869"/>
      <c r="K340" s="1869"/>
      <c r="L340" s="1869"/>
      <c r="M340" s="1869"/>
      <c r="N340" s="1869"/>
      <c r="O340" s="1869"/>
      <c r="P340" s="1869"/>
      <c r="Q340" s="1869"/>
      <c r="R340" s="1869"/>
      <c r="S340" s="1869"/>
      <c r="T340" s="1869"/>
      <c r="U340" s="1869"/>
      <c r="V340" s="1869"/>
      <c r="W340" s="1869"/>
      <c r="X340" s="1869"/>
      <c r="Y340" s="1869"/>
      <c r="Z340" s="1869"/>
      <c r="AA340" s="1869"/>
      <c r="AB340" s="1869"/>
      <c r="AC340" s="1869"/>
      <c r="AD340" s="1869"/>
      <c r="AE340" s="1869"/>
      <c r="AF340" s="1869"/>
      <c r="AG340" s="1869"/>
      <c r="AH340" s="1869"/>
      <c r="AI340" s="1869"/>
      <c r="AJ340" s="1869"/>
      <c r="AK340" s="1869"/>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15" customHeight="1">
      <c r="B343" s="5"/>
      <c r="E343" s="1871" t="s">
        <v>1456</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8"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8"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8"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8"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8" customFormat="1">
      <c r="B348" s="5"/>
      <c r="E348" s="6" t="s">
        <v>117</v>
      </c>
      <c r="F348" s="1869" t="s">
        <v>1458</v>
      </c>
      <c r="G348" s="1869"/>
      <c r="H348" s="1869"/>
      <c r="I348" s="1869"/>
      <c r="J348" s="1869"/>
      <c r="K348" s="1869"/>
      <c r="L348" s="1869"/>
      <c r="M348" s="1869"/>
      <c r="N348" s="1869"/>
      <c r="O348" s="1869"/>
      <c r="P348" s="1869"/>
      <c r="Q348" s="1869"/>
      <c r="R348" s="1869"/>
      <c r="S348" s="1869"/>
      <c r="T348" s="1869"/>
      <c r="U348" s="1869"/>
      <c r="V348" s="1869"/>
      <c r="W348" s="1869"/>
      <c r="X348" s="1869"/>
      <c r="Y348" s="1869"/>
      <c r="Z348" s="1869"/>
      <c r="AA348" s="1869"/>
      <c r="AB348" s="1869"/>
      <c r="AC348" s="1869"/>
      <c r="AD348" s="1869"/>
      <c r="AE348" s="1869"/>
      <c r="AF348" s="1869"/>
      <c r="AG348" s="1869"/>
      <c r="AH348" s="1869"/>
      <c r="AI348" s="1869"/>
      <c r="AJ348" s="1869"/>
      <c r="AK348" s="1869"/>
    </row>
    <row r="349" spans="2:37" s="718" customFormat="1">
      <c r="B349" s="5"/>
      <c r="E349" s="6"/>
      <c r="F349" s="1869"/>
      <c r="G349" s="1869"/>
      <c r="H349" s="1869"/>
      <c r="I349" s="1869"/>
      <c r="J349" s="1869"/>
      <c r="K349" s="1869"/>
      <c r="L349" s="1869"/>
      <c r="M349" s="1869"/>
      <c r="N349" s="1869"/>
      <c r="O349" s="1869"/>
      <c r="P349" s="1869"/>
      <c r="Q349" s="1869"/>
      <c r="R349" s="1869"/>
      <c r="S349" s="1869"/>
      <c r="T349" s="1869"/>
      <c r="U349" s="1869"/>
      <c r="V349" s="1869"/>
      <c r="W349" s="1869"/>
      <c r="X349" s="1869"/>
      <c r="Y349" s="1869"/>
      <c r="Z349" s="1869"/>
      <c r="AA349" s="1869"/>
      <c r="AB349" s="1869"/>
      <c r="AC349" s="1869"/>
      <c r="AD349" s="1869"/>
      <c r="AE349" s="1869"/>
      <c r="AF349" s="1869"/>
      <c r="AG349" s="1869"/>
      <c r="AH349" s="1869"/>
      <c r="AI349" s="1869"/>
      <c r="AJ349" s="1869"/>
      <c r="AK349" s="1869"/>
    </row>
    <row r="350" spans="2:37" s="718" customFormat="1">
      <c r="B350" s="5"/>
      <c r="E350" s="6"/>
      <c r="F350" s="1869"/>
      <c r="G350" s="1869"/>
      <c r="H350" s="1869"/>
      <c r="I350" s="1869"/>
      <c r="J350" s="1869"/>
      <c r="K350" s="1869"/>
      <c r="L350" s="1869"/>
      <c r="M350" s="1869"/>
      <c r="N350" s="1869"/>
      <c r="O350" s="1869"/>
      <c r="P350" s="1869"/>
      <c r="Q350" s="1869"/>
      <c r="R350" s="1869"/>
      <c r="S350" s="1869"/>
      <c r="T350" s="1869"/>
      <c r="U350" s="1869"/>
      <c r="V350" s="1869"/>
      <c r="W350" s="1869"/>
      <c r="X350" s="1869"/>
      <c r="Y350" s="1869"/>
      <c r="Z350" s="1869"/>
      <c r="AA350" s="1869"/>
      <c r="AB350" s="1869"/>
      <c r="AC350" s="1869"/>
      <c r="AD350" s="1869"/>
      <c r="AE350" s="1869"/>
      <c r="AF350" s="1869"/>
      <c r="AG350" s="1869"/>
      <c r="AH350" s="1869"/>
      <c r="AI350" s="1869"/>
      <c r="AJ350" s="1869"/>
      <c r="AK350" s="1869"/>
    </row>
    <row r="351" spans="2:37" s="718" customFormat="1">
      <c r="B351" s="5"/>
      <c r="E351" s="6"/>
      <c r="F351" s="1869"/>
      <c r="G351" s="1869"/>
      <c r="H351" s="1869"/>
      <c r="I351" s="1869"/>
      <c r="J351" s="1869"/>
      <c r="K351" s="1869"/>
      <c r="L351" s="1869"/>
      <c r="M351" s="1869"/>
      <c r="N351" s="1869"/>
      <c r="O351" s="1869"/>
      <c r="P351" s="1869"/>
      <c r="Q351" s="1869"/>
      <c r="R351" s="1869"/>
      <c r="S351" s="1869"/>
      <c r="T351" s="1869"/>
      <c r="U351" s="1869"/>
      <c r="V351" s="1869"/>
      <c r="W351" s="1869"/>
      <c r="X351" s="1869"/>
      <c r="Y351" s="1869"/>
      <c r="Z351" s="1869"/>
      <c r="AA351" s="1869"/>
      <c r="AB351" s="1869"/>
      <c r="AC351" s="1869"/>
      <c r="AD351" s="1869"/>
      <c r="AE351" s="1869"/>
      <c r="AF351" s="1869"/>
      <c r="AG351" s="1869"/>
      <c r="AH351" s="1869"/>
      <c r="AI351" s="1869"/>
      <c r="AJ351" s="1869"/>
      <c r="AK351" s="1869"/>
    </row>
    <row r="352" spans="2:37" s="718" customFormat="1">
      <c r="B352" s="5"/>
      <c r="E352" s="6" t="s">
        <v>118</v>
      </c>
      <c r="F352" s="1869" t="s">
        <v>1457</v>
      </c>
      <c r="G352" s="1869"/>
      <c r="H352" s="1869"/>
      <c r="I352" s="1869"/>
      <c r="J352" s="1869"/>
      <c r="K352" s="1869"/>
      <c r="L352" s="1869"/>
      <c r="M352" s="1869"/>
      <c r="N352" s="1869"/>
      <c r="O352" s="1869"/>
      <c r="P352" s="1869"/>
      <c r="Q352" s="1869"/>
      <c r="R352" s="1869"/>
      <c r="S352" s="1869"/>
      <c r="T352" s="1869"/>
      <c r="U352" s="1869"/>
      <c r="V352" s="1869"/>
      <c r="W352" s="1869"/>
      <c r="X352" s="1869"/>
      <c r="Y352" s="1869"/>
      <c r="Z352" s="1869"/>
      <c r="AA352" s="1869"/>
      <c r="AB352" s="1869"/>
      <c r="AC352" s="1869"/>
      <c r="AD352" s="1869"/>
      <c r="AE352" s="1869"/>
      <c r="AF352" s="1869"/>
      <c r="AG352" s="1869"/>
      <c r="AH352" s="1869"/>
      <c r="AI352" s="1869"/>
      <c r="AJ352" s="1869"/>
      <c r="AK352" s="1869"/>
    </row>
    <row r="353" spans="1:38" s="718" customFormat="1">
      <c r="B353" s="5"/>
      <c r="F353" s="1869"/>
      <c r="G353" s="1869"/>
      <c r="H353" s="1869"/>
      <c r="I353" s="1869"/>
      <c r="J353" s="1869"/>
      <c r="K353" s="1869"/>
      <c r="L353" s="1869"/>
      <c r="M353" s="1869"/>
      <c r="N353" s="1869"/>
      <c r="O353" s="1869"/>
      <c r="P353" s="1869"/>
      <c r="Q353" s="1869"/>
      <c r="R353" s="1869"/>
      <c r="S353" s="1869"/>
      <c r="T353" s="1869"/>
      <c r="U353" s="1869"/>
      <c r="V353" s="1869"/>
      <c r="W353" s="1869"/>
      <c r="X353" s="1869"/>
      <c r="Y353" s="1869"/>
      <c r="Z353" s="1869"/>
      <c r="AA353" s="1869"/>
      <c r="AB353" s="1869"/>
      <c r="AC353" s="1869"/>
      <c r="AD353" s="1869"/>
      <c r="AE353" s="1869"/>
      <c r="AF353" s="1869"/>
      <c r="AG353" s="1869"/>
      <c r="AH353" s="1869"/>
      <c r="AI353" s="1869"/>
      <c r="AJ353" s="1869"/>
      <c r="AK353" s="1869"/>
    </row>
    <row r="354" spans="1:38" s="718" customFormat="1">
      <c r="B354" s="5"/>
      <c r="F354" s="1869"/>
      <c r="G354" s="1869"/>
      <c r="H354" s="1869"/>
      <c r="I354" s="1869"/>
      <c r="J354" s="1869"/>
      <c r="K354" s="1869"/>
      <c r="L354" s="1869"/>
      <c r="M354" s="1869"/>
      <c r="N354" s="1869"/>
      <c r="O354" s="1869"/>
      <c r="P354" s="1869"/>
      <c r="Q354" s="1869"/>
      <c r="R354" s="1869"/>
      <c r="S354" s="1869"/>
      <c r="T354" s="1869"/>
      <c r="U354" s="1869"/>
      <c r="V354" s="1869"/>
      <c r="W354" s="1869"/>
      <c r="X354" s="1869"/>
      <c r="Y354" s="1869"/>
      <c r="Z354" s="1869"/>
      <c r="AA354" s="1869"/>
      <c r="AB354" s="1869"/>
      <c r="AC354" s="1869"/>
      <c r="AD354" s="1869"/>
      <c r="AE354" s="1869"/>
      <c r="AF354" s="1869"/>
      <c r="AG354" s="1869"/>
      <c r="AH354" s="1869"/>
      <c r="AI354" s="1869"/>
      <c r="AJ354" s="1869"/>
      <c r="AK354" s="1869"/>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72" t="s">
        <v>1447</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8" customFormat="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c r="A369"/>
      <c r="B369" s="5"/>
      <c r="C369"/>
      <c r="D369"/>
      <c r="E369" s="1873" t="s">
        <v>1498</v>
      </c>
    </row>
    <row r="370" spans="1:38" s="1874"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70" t="s">
        <v>1510</v>
      </c>
      <c r="G388" s="1870"/>
      <c r="H388" s="1870"/>
      <c r="I388" s="1870"/>
      <c r="J388" s="1870"/>
      <c r="K388" s="1870"/>
      <c r="L388" s="1870"/>
      <c r="M388" s="1870"/>
      <c r="N388" s="1870"/>
      <c r="O388" s="1870"/>
      <c r="P388" s="1870"/>
      <c r="Q388" s="1870"/>
      <c r="R388" s="1870"/>
      <c r="S388" s="1870"/>
      <c r="T388" s="1870"/>
      <c r="U388" s="1870"/>
      <c r="V388" s="1870"/>
      <c r="W388" s="1870"/>
      <c r="X388" s="1870"/>
      <c r="Y388" s="1870"/>
      <c r="Z388" s="1870"/>
      <c r="AA388" s="1870"/>
      <c r="AB388" s="1870"/>
      <c r="AC388" s="1870"/>
      <c r="AD388" s="1870"/>
      <c r="AE388" s="1870"/>
      <c r="AF388" s="1870"/>
      <c r="AG388" s="1870"/>
      <c r="AH388" s="1870"/>
      <c r="AI388" s="1870"/>
      <c r="AJ388" s="1870"/>
      <c r="AK388" s="1870"/>
      <c r="AL388" s="678"/>
    </row>
    <row r="389" spans="1:38" s="718" customFormat="1">
      <c r="A389" s="678"/>
      <c r="B389" s="183"/>
      <c r="C389" s="678"/>
      <c r="D389" s="678"/>
      <c r="E389" s="679"/>
      <c r="F389" s="1870"/>
      <c r="G389" s="1870"/>
      <c r="H389" s="1870"/>
      <c r="I389" s="1870"/>
      <c r="J389" s="1870"/>
      <c r="K389" s="1870"/>
      <c r="L389" s="1870"/>
      <c r="M389" s="1870"/>
      <c r="N389" s="1870"/>
      <c r="O389" s="1870"/>
      <c r="P389" s="1870"/>
      <c r="Q389" s="1870"/>
      <c r="R389" s="1870"/>
      <c r="S389" s="1870"/>
      <c r="T389" s="1870"/>
      <c r="U389" s="1870"/>
      <c r="V389" s="1870"/>
      <c r="W389" s="1870"/>
      <c r="X389" s="1870"/>
      <c r="Y389" s="1870"/>
      <c r="Z389" s="1870"/>
      <c r="AA389" s="1870"/>
      <c r="AB389" s="1870"/>
      <c r="AC389" s="1870"/>
      <c r="AD389" s="1870"/>
      <c r="AE389" s="1870"/>
      <c r="AF389" s="1870"/>
      <c r="AG389" s="1870"/>
      <c r="AH389" s="1870"/>
      <c r="AI389" s="1870"/>
      <c r="AJ389" s="1870"/>
      <c r="AK389" s="1870"/>
      <c r="AL389" s="678"/>
    </row>
    <row r="390" spans="1:38" s="718" customFormat="1">
      <c r="A390" s="678"/>
      <c r="B390" s="183"/>
      <c r="C390" s="678"/>
      <c r="D390" s="678"/>
      <c r="E390" s="679"/>
      <c r="F390" s="1870"/>
      <c r="G390" s="1870"/>
      <c r="H390" s="1870"/>
      <c r="I390" s="1870"/>
      <c r="J390" s="1870"/>
      <c r="K390" s="1870"/>
      <c r="L390" s="1870"/>
      <c r="M390" s="1870"/>
      <c r="N390" s="1870"/>
      <c r="O390" s="1870"/>
      <c r="P390" s="1870"/>
      <c r="Q390" s="1870"/>
      <c r="R390" s="1870"/>
      <c r="S390" s="1870"/>
      <c r="T390" s="1870"/>
      <c r="U390" s="1870"/>
      <c r="V390" s="1870"/>
      <c r="W390" s="1870"/>
      <c r="X390" s="1870"/>
      <c r="Y390" s="1870"/>
      <c r="Z390" s="1870"/>
      <c r="AA390" s="1870"/>
      <c r="AB390" s="1870"/>
      <c r="AC390" s="1870"/>
      <c r="AD390" s="1870"/>
      <c r="AE390" s="1870"/>
      <c r="AF390" s="1870"/>
      <c r="AG390" s="1870"/>
      <c r="AH390" s="1870"/>
      <c r="AI390" s="1870"/>
      <c r="AJ390" s="1870"/>
      <c r="AK390" s="187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38" sqref="I3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75" t="s">
        <v>1891</v>
      </c>
      <c r="B1" s="3275"/>
      <c r="C1" s="3275"/>
      <c r="D1" s="3275"/>
      <c r="E1" s="3275"/>
      <c r="F1" s="3275"/>
      <c r="G1" s="3275"/>
      <c r="H1" s="3275"/>
      <c r="I1" s="3275"/>
    </row>
    <row r="2" spans="1:11" ht="15">
      <c r="A2" s="1338"/>
      <c r="B2" s="1338"/>
      <c r="E2" s="1339"/>
      <c r="I2" s="1341"/>
      <c r="K2" s="1342"/>
    </row>
    <row r="3" spans="1:11">
      <c r="A3" s="1343" t="s">
        <v>1598</v>
      </c>
      <c r="B3" s="1343"/>
      <c r="C3" s="1336" t="s">
        <v>2193</v>
      </c>
      <c r="E3" s="1844">
        <f>ROUND(Application!AM564+'Basis &amp; Credits'!AB77,0)</f>
        <v>38432734</v>
      </c>
      <c r="F3" s="1344"/>
      <c r="K3" s="1415"/>
    </row>
    <row r="4" spans="1:11" s="1345" customFormat="1" ht="15" customHeight="1">
      <c r="C4" s="1345" t="s">
        <v>1892</v>
      </c>
      <c r="E4" s="1421">
        <f>Application!AD1037</f>
        <v>0.21608040201005024</v>
      </c>
      <c r="F4" s="1346"/>
      <c r="H4" s="1347"/>
      <c r="K4" s="1634"/>
    </row>
    <row r="5" spans="1:11" s="1348" customFormat="1" ht="15" customHeight="1">
      <c r="A5" s="3276"/>
      <c r="B5" s="3276"/>
      <c r="D5" s="1348" t="s">
        <v>2194</v>
      </c>
      <c r="E5" s="1349">
        <f>IF('CDLAC Points System'!C274="Yes",0.2,0)</f>
        <v>0</v>
      </c>
      <c r="F5" s="1346"/>
      <c r="H5" s="1347"/>
      <c r="K5" s="1635"/>
    </row>
    <row r="6" spans="1:11" s="1348" customFormat="1" ht="15" customHeight="1">
      <c r="A6" s="1498"/>
      <c r="B6" s="1498"/>
      <c r="D6" s="1348" t="s">
        <v>2195</v>
      </c>
      <c r="E6" s="1349" t="str">
        <f>IF(AND((Application!W464&gt;=(0.5*Application!G753)),Application!D210="Special Needs",(OR(Application!M354="Yes",Application!M355="Yes"))),0.2," ")</f>
        <v xml:space="preserve"> </v>
      </c>
      <c r="F6" s="1346"/>
      <c r="H6" s="1347"/>
      <c r="K6" s="1635"/>
    </row>
    <row r="7" spans="1:11" ht="15">
      <c r="A7" s="1338"/>
      <c r="B7" s="1338"/>
      <c r="C7" s="1336" t="s">
        <v>2197</v>
      </c>
      <c r="E7" s="1419">
        <f>E3-(E3*(E4+(MAX(E5,E6))))</f>
        <v>30128173.386934675</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0</v>
      </c>
      <c r="G11" s="1363">
        <v>0.9</v>
      </c>
      <c r="H11" s="1364"/>
      <c r="I11" s="1365">
        <f>E11*G11</f>
        <v>0</v>
      </c>
      <c r="J11" s="1356"/>
      <c r="K11" s="1360"/>
    </row>
    <row r="12" spans="1:11" ht="15">
      <c r="A12" s="1338"/>
      <c r="B12" s="1338"/>
      <c r="C12" s="1356" t="s">
        <v>1900</v>
      </c>
      <c r="D12" s="1356"/>
      <c r="E12" s="1416">
        <f>Application!BS635+Application!BS644+Application!CX658</f>
        <v>96</v>
      </c>
      <c r="G12" s="1363">
        <v>1</v>
      </c>
      <c r="H12" s="1364"/>
      <c r="I12" s="1365">
        <f>E12*G12</f>
        <v>96</v>
      </c>
      <c r="J12" s="1356"/>
    </row>
    <row r="13" spans="1:11" ht="15">
      <c r="A13" s="1338"/>
      <c r="B13" s="1338"/>
      <c r="C13" s="1356" t="s">
        <v>1901</v>
      </c>
      <c r="D13" s="1356"/>
      <c r="E13" s="1416">
        <f>Application!BX635+Application!BX644+Application!DC658</f>
        <v>48</v>
      </c>
      <c r="G13" s="1363">
        <v>1.25</v>
      </c>
      <c r="H13" s="1364"/>
      <c r="I13" s="1365">
        <f>E13*G13</f>
        <v>60</v>
      </c>
      <c r="J13" s="1356"/>
    </row>
    <row r="14" spans="1:11" ht="15">
      <c r="A14" s="1338"/>
      <c r="B14" s="1338"/>
      <c r="C14" s="1356" t="s">
        <v>1902</v>
      </c>
      <c r="D14" s="1356"/>
      <c r="E14" s="1416">
        <f>Application!CC635+Application!CC644+Application!DH658</f>
        <v>50</v>
      </c>
      <c r="G14" s="1363">
        <f>1.5+0.25*0</f>
        <v>1.5</v>
      </c>
      <c r="H14" s="1364"/>
      <c r="I14" s="1365">
        <f>IF(E14/E16&lt;=30%,E14*G14,TRUNC(0.3*E16)*G14+(E14-TRUNC(0.3*E16))*G13)</f>
        <v>75</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194</v>
      </c>
      <c r="G16" s="1339"/>
      <c r="I16" s="1420">
        <f>SUM(I11:I15)</f>
        <v>231</v>
      </c>
    </row>
    <row r="17" spans="1:9" ht="15">
      <c r="A17" s="1338"/>
      <c r="B17" s="1338"/>
      <c r="E17" s="1339"/>
      <c r="I17" s="1367"/>
    </row>
    <row r="18" spans="1:9" ht="15">
      <c r="A18" s="1343" t="s">
        <v>1603</v>
      </c>
      <c r="B18" s="1343"/>
      <c r="C18" s="1368" t="s">
        <v>1904</v>
      </c>
      <c r="D18" s="1340"/>
      <c r="E18" s="1369">
        <f>E7/I16</f>
        <v>130424.99301703322</v>
      </c>
      <c r="F18" s="1370"/>
      <c r="G18" s="1371"/>
      <c r="H18" s="1372"/>
      <c r="I18" s="1367"/>
    </row>
    <row r="21" spans="1:9" ht="14.25" customHeight="1">
      <c r="A21" s="3277" t="s">
        <v>2192</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6" t="s">
        <v>2196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Normal="100" zoomScaleSheetLayoutView="100" workbookViewId="0">
      <selection activeCell="AB59" sqref="AB59:AF59"/>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34" t="s">
        <v>1532</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9"/>
      <c r="U8" s="3309"/>
      <c r="V8" s="3309"/>
      <c r="W8" s="3309"/>
      <c r="X8" s="3309"/>
      <c r="Y8" s="3309"/>
      <c r="Z8" s="3309"/>
      <c r="AA8" s="3309"/>
      <c r="AB8" s="3309"/>
      <c r="AC8" s="3309"/>
      <c r="AD8" s="3309"/>
      <c r="AE8" s="3309"/>
      <c r="AF8" s="3309"/>
      <c r="AG8" s="3309"/>
      <c r="AH8" s="3309"/>
      <c r="AI8" s="3309"/>
      <c r="AJ8" s="3309"/>
      <c r="AK8" s="3309"/>
      <c r="AL8" s="3309"/>
      <c r="AM8" s="330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9"/>
      <c r="U9" s="3309"/>
      <c r="V9" s="3309"/>
      <c r="W9" s="3309"/>
      <c r="X9" s="3309"/>
      <c r="Y9" s="3309"/>
      <c r="Z9" s="3309"/>
      <c r="AA9" s="3309"/>
      <c r="AB9" s="3309"/>
      <c r="AC9" s="3309"/>
      <c r="AD9" s="3309"/>
      <c r="AE9" s="3309"/>
      <c r="AF9" s="3309"/>
      <c r="AG9" s="3309"/>
      <c r="AH9" s="3309"/>
      <c r="AI9" s="3309"/>
      <c r="AJ9" s="3309"/>
      <c r="AK9" s="3309"/>
      <c r="AL9" s="3309"/>
      <c r="AM9" s="330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91" t="s">
        <v>394</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57750781</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40" t="s">
        <v>530</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43" t="s">
        <v>531</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43" t="s">
        <v>532</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43" t="s">
        <v>533</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43" t="s">
        <v>866</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43" t="s">
        <v>534</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38" t="s">
        <v>1041</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38" t="s">
        <v>1041</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91" t="s">
        <v>535</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91" t="s">
        <v>1503</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91" t="s">
        <v>536</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47" t="s">
        <v>537</v>
      </c>
      <c r="C23" s="3348"/>
      <c r="D23" s="3348"/>
      <c r="E23" s="3348"/>
      <c r="F23" s="3348"/>
      <c r="G23" s="3348"/>
      <c r="H23" s="3348"/>
      <c r="I23" s="3348"/>
      <c r="J23" s="3348"/>
      <c r="K23" s="3348"/>
      <c r="L23" s="3348"/>
      <c r="M23" s="3348"/>
      <c r="N23" s="3348"/>
      <c r="O23" s="3348"/>
      <c r="P23" s="3348"/>
      <c r="Q23" s="3348"/>
      <c r="R23" s="3348"/>
      <c r="S23" s="3349"/>
      <c r="T23" s="3308">
        <f>T11+T22</f>
        <v>57750781</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91" t="s">
        <v>1042</v>
      </c>
      <c r="C24" s="3292"/>
      <c r="D24" s="3292"/>
      <c r="E24" s="3292"/>
      <c r="F24" s="3292"/>
      <c r="G24" s="3292"/>
      <c r="H24" s="3292"/>
      <c r="I24" s="3292"/>
      <c r="J24" s="3292"/>
      <c r="K24" s="3292"/>
      <c r="L24" s="3292"/>
      <c r="M24" s="3292"/>
      <c r="N24" s="3292"/>
      <c r="O24" s="3292"/>
      <c r="P24" s="3292"/>
      <c r="Q24" s="3292"/>
      <c r="R24" s="3292"/>
      <c r="S24" s="3293"/>
      <c r="T24" s="3306">
        <f>Application!AJ1032</f>
        <v>96435747.200000003</v>
      </c>
      <c r="U24" s="3307"/>
      <c r="V24" s="3307"/>
      <c r="W24" s="3307"/>
      <c r="X24" s="3307"/>
      <c r="Y24" s="3307"/>
      <c r="Z24" s="3307"/>
      <c r="AA24" s="3307"/>
      <c r="AB24" s="3307"/>
      <c r="AC24" s="3307"/>
      <c r="AD24" s="3307"/>
      <c r="AE24" s="3307"/>
      <c r="AF24" s="3307"/>
      <c r="AG24" s="3307"/>
      <c r="AH24" s="3307"/>
      <c r="AI24" s="3307"/>
      <c r="AJ24" s="3307"/>
      <c r="AK24" s="3307"/>
      <c r="AL24" s="3307"/>
      <c r="AM24" s="330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50" t="s">
        <v>1504</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91" t="s">
        <v>538</v>
      </c>
      <c r="C26" s="3292"/>
      <c r="D26" s="3292"/>
      <c r="E26" s="3292"/>
      <c r="F26" s="3292"/>
      <c r="G26" s="3292"/>
      <c r="H26" s="3292"/>
      <c r="I26" s="3292"/>
      <c r="J26" s="3292"/>
      <c r="K26" s="3292"/>
      <c r="L26" s="3292"/>
      <c r="M26" s="3292"/>
      <c r="N26" s="3292"/>
      <c r="O26" s="3292"/>
      <c r="P26" s="3292"/>
      <c r="Q26" s="3292"/>
      <c r="R26" s="3292"/>
      <c r="S26" s="3293"/>
      <c r="T26" s="3327">
        <f>T23*T25</f>
        <v>75076015.299999997</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53" t="s">
        <v>448</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91" t="s">
        <v>539</v>
      </c>
      <c r="C28" s="3292"/>
      <c r="D28" s="3292"/>
      <c r="E28" s="3292"/>
      <c r="F28" s="3292"/>
      <c r="G28" s="3292"/>
      <c r="H28" s="3292"/>
      <c r="I28" s="3292"/>
      <c r="J28" s="3292"/>
      <c r="K28" s="3292"/>
      <c r="L28" s="3292"/>
      <c r="M28" s="3292"/>
      <c r="N28" s="3292"/>
      <c r="O28" s="3292"/>
      <c r="P28" s="3292"/>
      <c r="Q28" s="3292"/>
      <c r="R28" s="3292"/>
      <c r="S28" s="3293"/>
      <c r="T28" s="3320">
        <f>IF(ISERROR((T26*T27)),0,(T26*T27))</f>
        <v>75076015.299999997</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91" t="s">
        <v>556</v>
      </c>
      <c r="C29" s="3292"/>
      <c r="D29" s="3292"/>
      <c r="E29" s="3292"/>
      <c r="F29" s="3292"/>
      <c r="G29" s="3292"/>
      <c r="H29" s="3292"/>
      <c r="I29" s="3292"/>
      <c r="J29" s="3292"/>
      <c r="K29" s="3292"/>
      <c r="L29" s="3292"/>
      <c r="M29" s="3292"/>
      <c r="N29" s="3292"/>
      <c r="O29" s="3292"/>
      <c r="P29" s="3292"/>
      <c r="Q29" s="3292"/>
      <c r="R29" s="3292"/>
      <c r="S29" s="3293"/>
      <c r="T29" s="3306">
        <f>T28+Y28+AD28+AI28</f>
        <v>75076015.299999997</v>
      </c>
      <c r="U29" s="3307"/>
      <c r="V29" s="3307"/>
      <c r="W29" s="3307"/>
      <c r="X29" s="3307"/>
      <c r="Y29" s="3307"/>
      <c r="Z29" s="3307"/>
      <c r="AA29" s="3307"/>
      <c r="AB29" s="3307"/>
      <c r="AC29" s="3307"/>
      <c r="AD29" s="3307"/>
      <c r="AE29" s="3307"/>
      <c r="AF29" s="3307"/>
      <c r="AG29" s="3307"/>
      <c r="AH29" s="3307"/>
      <c r="AI29" s="3307"/>
      <c r="AJ29" s="3307"/>
      <c r="AK29" s="3307"/>
      <c r="AL29" s="3307"/>
      <c r="AM29" s="330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13" t="s">
        <v>1506</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13" t="s">
        <v>1505</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9" t="s">
        <v>1348</v>
      </c>
      <c r="Z35" s="3309"/>
      <c r="AA35" s="3309"/>
      <c r="AB35" s="3309"/>
      <c r="AC35" s="3309"/>
      <c r="AD35" s="3310" t="s">
        <v>381</v>
      </c>
      <c r="AE35" s="3310"/>
      <c r="AF35" s="3310"/>
      <c r="AG35" s="3310"/>
      <c r="AH35" s="331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9"/>
      <c r="Z36" s="3309"/>
      <c r="AA36" s="3309"/>
      <c r="AB36" s="3309"/>
      <c r="AC36" s="3309"/>
      <c r="AD36" s="3310"/>
      <c r="AE36" s="3310"/>
      <c r="AF36" s="3310"/>
      <c r="AG36" s="3310"/>
      <c r="AH36" s="331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9"/>
      <c r="Z37" s="3309"/>
      <c r="AA37" s="3309"/>
      <c r="AB37" s="3309"/>
      <c r="AC37" s="3309"/>
      <c r="AD37" s="3310"/>
      <c r="AE37" s="3310"/>
      <c r="AF37" s="3310"/>
      <c r="AG37" s="3310"/>
      <c r="AH37" s="331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75076015.299999997</v>
      </c>
      <c r="Z38" s="3311"/>
      <c r="AA38" s="3311"/>
      <c r="AB38" s="3311"/>
      <c r="AC38" s="3311"/>
      <c r="AD38" s="3311">
        <f>IF(T24&gt;=(T23+Y23+AD23+AI23),AD28+AI28,0)</f>
        <v>0</v>
      </c>
      <c r="AE38" s="3311"/>
      <c r="AF38" s="3311"/>
      <c r="AG38" s="3311"/>
      <c r="AH38" s="331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91" t="s">
        <v>2191</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3003041</v>
      </c>
      <c r="Z40" s="3311"/>
      <c r="AA40" s="3311"/>
      <c r="AB40" s="3311"/>
      <c r="AC40" s="3311"/>
      <c r="AD40" s="3308">
        <f>ROUND(AD38*AD39,0)</f>
        <v>0</v>
      </c>
      <c r="AE40" s="3311"/>
      <c r="AF40" s="3311"/>
      <c r="AG40" s="3311"/>
      <c r="AH40" s="331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3003041</v>
      </c>
      <c r="Z41" s="3357"/>
      <c r="AA41" s="3357"/>
      <c r="AB41" s="3357"/>
      <c r="AC41" s="3357"/>
      <c r="AD41" s="3357"/>
      <c r="AE41" s="3357"/>
      <c r="AF41" s="3357"/>
      <c r="AG41" s="3357"/>
      <c r="AH41" s="335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305" t="s">
        <v>1520</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9">
        <f>'Sources and Uses Budget'!B105-'Sources and Uses Budget'!B15</f>
        <v>62430666</v>
      </c>
      <c r="AC47" s="3300"/>
      <c r="AD47" s="3300"/>
      <c r="AE47" s="3300"/>
      <c r="AF47" s="330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9">
        <f>Application!AO649-MIN('Sources and Uses Budget'!B15,Application!AG394)</f>
        <v>30381379</v>
      </c>
      <c r="AC48" s="3300"/>
      <c r="AD48" s="3300"/>
      <c r="AE48" s="3300"/>
      <c r="AF48" s="330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9">
        <f>AB47-AB48</f>
        <v>32049287</v>
      </c>
      <c r="AC49" s="3300"/>
      <c r="AD49" s="3300"/>
      <c r="AE49" s="3300"/>
      <c r="AF49" s="330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87">
        <v>0.88</v>
      </c>
      <c r="AC50" s="3288"/>
      <c r="AD50" s="3288"/>
      <c r="AE50" s="3288"/>
      <c r="AF50" s="328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98" t="s">
        <v>2438</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9">
        <f>ROUND(IF(ISERROR((AB49/AB50)),0,(AB49/AB50)),0)</f>
        <v>36419644</v>
      </c>
      <c r="AC54" s="3300"/>
      <c r="AD54" s="3300"/>
      <c r="AE54" s="3300"/>
      <c r="AF54" s="330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9">
        <f>(AB54/10)</f>
        <v>3641964.4</v>
      </c>
      <c r="AC55" s="3300"/>
      <c r="AD55" s="3300"/>
      <c r="AE55" s="3300"/>
      <c r="AF55" s="330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02">
        <f>(IF((Y41&lt;AB55),Y41,AB55))</f>
        <v>3003041</v>
      </c>
      <c r="AC56" s="3303"/>
      <c r="AD56" s="3303"/>
      <c r="AE56" s="3303"/>
      <c r="AF56" s="330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9">
        <f>ROUND((10*AB56*AB50),0)</f>
        <v>26426761</v>
      </c>
      <c r="AC57" s="3300"/>
      <c r="AD57" s="3300"/>
      <c r="AE57" s="3300"/>
      <c r="AF57" s="330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83">
        <f>AB49-AB57</f>
        <v>5622526</v>
      </c>
      <c r="AC59" s="3283"/>
      <c r="AD59" s="3283"/>
      <c r="AE59" s="3283"/>
      <c r="AF59" s="328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624</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94" t="s">
        <v>1070</v>
      </c>
      <c r="Z63" s="3294"/>
      <c r="AA63" s="3294"/>
      <c r="AB63" s="3294"/>
      <c r="AC63" s="3294"/>
      <c r="AD63" s="3294" t="s">
        <v>381</v>
      </c>
      <c r="AE63" s="3294"/>
      <c r="AF63" s="3294"/>
      <c r="AG63" s="3294"/>
      <c r="AH63" s="329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95">
        <f>IF(Application!Z204="(select)",0,((T23*T27)+Y28))</f>
        <v>57750781</v>
      </c>
      <c r="Z64" s="3296"/>
      <c r="AA64" s="3296"/>
      <c r="AB64" s="3296"/>
      <c r="AC64" s="3297"/>
      <c r="AD64" s="3295">
        <f>IF(AND(Application!AP204="yes",Application!M357="yes"),AD28+AI28,0)</f>
        <v>0</v>
      </c>
      <c r="AE64" s="3296"/>
      <c r="AF64" s="3296"/>
      <c r="AG64" s="3296"/>
      <c r="AH64" s="329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2434</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2435</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85">
        <f>ROUND(Y64*Y67,0)</f>
        <v>17325234</v>
      </c>
      <c r="Z68" s="3286"/>
      <c r="AA68" s="3286"/>
      <c r="AB68" s="3286"/>
      <c r="AC68" s="3286"/>
      <c r="AD68" s="3285" t="str">
        <f>IF(Application!D210="At-Risk",AD64*AD67,"$0")</f>
        <v>$0</v>
      </c>
      <c r="AE68" s="3286"/>
      <c r="AF68" s="3286"/>
      <c r="AG68" s="3286"/>
      <c r="AH68" s="328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87">
        <v>0.75</v>
      </c>
      <c r="AC71" s="3288"/>
      <c r="AD71" s="3288"/>
      <c r="AE71" s="3288"/>
      <c r="AF71" s="328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90" t="s">
        <v>1491</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78">
        <f>ROUND(IF(ISERROR((AB59/AB71)),0,(AB59/AB71)),0)</f>
        <v>7496701</v>
      </c>
      <c r="AC76" s="3278"/>
      <c r="AD76" s="3278"/>
      <c r="AE76" s="3278"/>
      <c r="AF76" s="327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79">
        <f>IF((Y68+AD68&lt;AB76),Y68+AD68,AB76)</f>
        <v>7496701</v>
      </c>
      <c r="AC77" s="3280"/>
      <c r="AD77" s="3280"/>
      <c r="AE77" s="3280"/>
      <c r="AF77" s="328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82">
        <f>AB77*AB71</f>
        <v>5622525.75</v>
      </c>
      <c r="AC78" s="3282"/>
      <c r="AD78" s="3282"/>
      <c r="AE78" s="3282"/>
      <c r="AF78" s="328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83">
        <f>AB49-(AB57+AB78)</f>
        <v>0.25</v>
      </c>
      <c r="AC80" s="3283"/>
      <c r="AD80" s="3283"/>
      <c r="AE80" s="3283"/>
      <c r="AF80" s="328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5" thickTop="1"/>
    <row r="85" spans="1:98" ht="12.75">
      <c r="A85" s="795"/>
      <c r="C85" s="335"/>
      <c r="Z85" s="620"/>
      <c r="AA85" s="620"/>
      <c r="AB85" s="620"/>
      <c r="AC85" s="620"/>
      <c r="AD85" s="620"/>
      <c r="AE85" s="620"/>
      <c r="AF85" s="620"/>
      <c r="AG85" s="620"/>
      <c r="AH85" s="620"/>
    </row>
    <row r="86" spans="1:98" ht="12.75">
      <c r="D86" s="335"/>
      <c r="Z86" s="620"/>
      <c r="AA86" s="620"/>
      <c r="AB86" s="3346"/>
      <c r="AC86" s="3346"/>
      <c r="AD86" s="3346"/>
      <c r="AE86" s="3346"/>
      <c r="AF86" s="3346"/>
      <c r="AG86" s="620"/>
      <c r="AH86" s="620"/>
    </row>
    <row r="87" spans="1:98" ht="13.5" thickBot="1">
      <c r="D87" s="335"/>
      <c r="Z87" s="620"/>
      <c r="AA87" s="620"/>
      <c r="AB87" s="3345"/>
      <c r="AC87" s="3345"/>
      <c r="AD87" s="3345"/>
      <c r="AE87" s="3345"/>
      <c r="AF87" s="334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C38" sqref="C3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61" t="s">
        <v>1949</v>
      </c>
      <c r="B1" s="3361"/>
      <c r="C1" s="3361"/>
      <c r="D1" s="3361"/>
      <c r="E1" s="3361"/>
      <c r="F1" s="3361"/>
      <c r="G1" s="3361"/>
      <c r="H1" s="3361"/>
      <c r="I1" s="3361"/>
      <c r="J1" s="3361"/>
      <c r="K1" s="336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61"/>
      <c r="B2" s="3361"/>
      <c r="C2" s="3361"/>
      <c r="D2" s="3361"/>
      <c r="E2" s="3361"/>
      <c r="F2" s="3361"/>
      <c r="G2" s="3361"/>
      <c r="H2" s="3361"/>
      <c r="I2" s="3361"/>
      <c r="J2" s="3361"/>
      <c r="K2" s="336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62" t="s">
        <v>1950</v>
      </c>
      <c r="D4" s="3362"/>
      <c r="E4" s="3362"/>
      <c r="F4" s="3362"/>
      <c r="G4" s="3362"/>
      <c r="H4" s="3362"/>
      <c r="I4" s="3362"/>
      <c r="J4" s="3362"/>
    </row>
    <row r="5" spans="1:33">
      <c r="C5" s="3362"/>
      <c r="D5" s="3362"/>
      <c r="E5" s="3362"/>
      <c r="F5" s="3362"/>
      <c r="G5" s="3362"/>
      <c r="H5" s="3362"/>
      <c r="I5" s="3362"/>
      <c r="J5" s="3362"/>
    </row>
    <row r="6" spans="1:33">
      <c r="C6" s="1428"/>
      <c r="D6" s="1428"/>
      <c r="E6" s="1428"/>
      <c r="F6" s="1428"/>
      <c r="G6" s="1428"/>
      <c r="H6" s="1428"/>
      <c r="I6" s="1428"/>
      <c r="J6" s="1428"/>
    </row>
    <row r="7" spans="1:33">
      <c r="C7" s="1429" t="s">
        <v>1951</v>
      </c>
      <c r="D7" s="1428"/>
      <c r="E7" s="3363" t="str">
        <f>Application!H16</f>
        <v>Anton DevCo, Inc.</v>
      </c>
      <c r="F7" s="3363"/>
      <c r="G7" s="3363"/>
      <c r="H7" s="1428"/>
      <c r="I7" s="1429" t="s">
        <v>1952</v>
      </c>
      <c r="J7" s="1430">
        <f>Application!AG437+Application!AG439</f>
        <v>192</v>
      </c>
    </row>
    <row r="8" spans="1:33">
      <c r="C8" s="1429" t="s">
        <v>1953</v>
      </c>
      <c r="D8" s="1428"/>
      <c r="E8" s="3363" t="str">
        <f>Application!H18</f>
        <v>Anton Power Inn</v>
      </c>
      <c r="F8" s="3363"/>
      <c r="G8" s="3363"/>
      <c r="H8" s="1428"/>
      <c r="I8" s="1429" t="s">
        <v>1954</v>
      </c>
      <c r="J8" s="1431">
        <f>Application!CS663</f>
        <v>336</v>
      </c>
    </row>
    <row r="9" spans="1:33" ht="14.25" customHeight="1">
      <c r="C9" s="1429" t="s">
        <v>1955</v>
      </c>
      <c r="D9" s="1428"/>
      <c r="E9" s="3364" t="str">
        <f>Application!D210</f>
        <v>Large Family</v>
      </c>
      <c r="F9" s="3364"/>
      <c r="G9" s="3364"/>
      <c r="H9" s="1428"/>
      <c r="I9" s="1429" t="s">
        <v>1956</v>
      </c>
      <c r="J9" s="1432"/>
      <c r="N9" s="1433"/>
    </row>
    <row r="10" spans="1:33" ht="26.85" customHeight="1">
      <c r="C10" s="3362" t="s">
        <v>1957</v>
      </c>
      <c r="D10" s="3362"/>
      <c r="E10" s="3365" t="str">
        <f>Application!D213</f>
        <v>N/A</v>
      </c>
      <c r="F10" s="3365"/>
      <c r="G10" s="3365"/>
      <c r="H10" s="1428"/>
      <c r="I10" s="1434" t="s">
        <v>1958</v>
      </c>
      <c r="J10" s="1435">
        <f>IF(J9&gt;0,J8-J9,J8)</f>
        <v>336</v>
      </c>
      <c r="N10" s="1433"/>
    </row>
    <row r="11" spans="1:33">
      <c r="C11" s="1436"/>
      <c r="N11" s="1433"/>
    </row>
    <row r="12" spans="1:33" ht="15" customHeight="1">
      <c r="C12" s="3366" t="s">
        <v>1959</v>
      </c>
      <c r="D12" s="3367"/>
      <c r="E12" s="3368"/>
      <c r="F12" s="3359" t="s">
        <v>1960</v>
      </c>
      <c r="G12" s="3359" t="s">
        <v>1961</v>
      </c>
      <c r="H12" s="3372" t="s">
        <v>2173</v>
      </c>
      <c r="I12" s="3359" t="s">
        <v>2172</v>
      </c>
      <c r="J12" s="3359" t="s">
        <v>1962</v>
      </c>
      <c r="N12" s="1433"/>
    </row>
    <row r="13" spans="1:33" ht="68.25" customHeight="1">
      <c r="C13" s="3369"/>
      <c r="D13" s="3370"/>
      <c r="E13" s="3371"/>
      <c r="F13" s="3360"/>
      <c r="G13" s="3360"/>
      <c r="H13" s="3373"/>
      <c r="I13" s="3360"/>
      <c r="J13" s="3360"/>
    </row>
    <row r="14" spans="1:33" ht="15" customHeight="1">
      <c r="C14" s="1437" t="s">
        <v>1963</v>
      </c>
      <c r="D14" s="1438"/>
      <c r="E14" s="1438"/>
      <c r="F14" s="1439"/>
      <c r="G14" s="1439"/>
      <c r="H14" s="1440"/>
      <c r="I14" s="1440"/>
      <c r="J14" s="1440"/>
    </row>
    <row r="15" spans="1:33">
      <c r="C15" s="1441" t="s">
        <v>1964</v>
      </c>
      <c r="D15" s="1426" t="s">
        <v>1965</v>
      </c>
      <c r="F15" s="1442">
        <v>156</v>
      </c>
      <c r="G15" s="1443">
        <v>2683.2</v>
      </c>
      <c r="H15" s="1444"/>
      <c r="I15" s="1444" t="s">
        <v>2583</v>
      </c>
      <c r="J15" s="1444" t="s">
        <v>2584</v>
      </c>
    </row>
    <row r="16" spans="1:33">
      <c r="C16" s="1441" t="s">
        <v>1966</v>
      </c>
      <c r="D16" s="1426" t="s">
        <v>1967</v>
      </c>
      <c r="F16" s="1442"/>
      <c r="G16" s="1445"/>
      <c r="H16" s="1444"/>
      <c r="I16" s="1444"/>
      <c r="J16" s="1444"/>
    </row>
    <row r="17" spans="3:10">
      <c r="C17" s="1441" t="s">
        <v>1849</v>
      </c>
      <c r="D17" s="1426" t="s">
        <v>1968</v>
      </c>
      <c r="F17" s="1442">
        <v>104</v>
      </c>
      <c r="G17" s="1445">
        <v>1788.8</v>
      </c>
      <c r="H17" s="1444"/>
      <c r="I17" s="1444" t="s">
        <v>2583</v>
      </c>
      <c r="J17" s="1444" t="s">
        <v>2584</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v>520</v>
      </c>
      <c r="G20" s="1445">
        <v>8944</v>
      </c>
      <c r="H20" s="1444"/>
      <c r="I20" s="1444" t="s">
        <v>2583</v>
      </c>
      <c r="J20" s="1444" t="s">
        <v>2584</v>
      </c>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t="s">
        <v>2594</v>
      </c>
      <c r="E31" s="1461"/>
      <c r="F31" s="1442"/>
      <c r="G31" s="1445">
        <v>6000</v>
      </c>
      <c r="H31" s="1444"/>
      <c r="I31" s="1444" t="s">
        <v>2583</v>
      </c>
      <c r="J31" s="1444" t="s">
        <v>2584</v>
      </c>
    </row>
    <row r="32" spans="3:10">
      <c r="C32" s="1441"/>
      <c r="D32" s="1461" t="s">
        <v>2595</v>
      </c>
      <c r="E32" s="1461"/>
      <c r="F32" s="1442"/>
      <c r="G32" s="1445">
        <v>600</v>
      </c>
      <c r="H32" s="1444"/>
      <c r="I32" s="1444" t="s">
        <v>2583</v>
      </c>
      <c r="J32" s="1444" t="s">
        <v>2584</v>
      </c>
    </row>
    <row r="33" spans="3:10">
      <c r="C33" s="1441"/>
      <c r="D33" s="1462"/>
      <c r="E33" s="1461"/>
      <c r="F33" s="1442"/>
      <c r="G33" s="1445"/>
      <c r="H33" s="1444"/>
      <c r="I33" s="1444"/>
      <c r="J33" s="1444"/>
    </row>
    <row r="34" spans="3:10">
      <c r="C34" s="1441"/>
      <c r="F34" s="1463"/>
      <c r="G34" s="1463"/>
      <c r="H34" s="1463"/>
      <c r="I34" s="1463"/>
      <c r="J34" s="1463"/>
    </row>
    <row r="35" spans="3:10" ht="15">
      <c r="C35" s="1464" t="s">
        <v>970</v>
      </c>
      <c r="D35" s="1465"/>
      <c r="E35" s="1465"/>
      <c r="F35" s="1466"/>
      <c r="G35" s="1467">
        <f>SUM(G15:G33)</f>
        <v>20016</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54" sqref="A54"/>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25">
      <c r="A4" s="355" t="s">
        <v>902</v>
      </c>
      <c r="C4" s="375">
        <v>1.0249999999999999</v>
      </c>
      <c r="E4" s="355">
        <f>Application!Y799</f>
        <v>2434488</v>
      </c>
      <c r="G4" s="355">
        <f>E4*$C$4</f>
        <v>2495350.1999999997</v>
      </c>
      <c r="I4" s="355">
        <f>G4*$C$4</f>
        <v>2557733.9549999996</v>
      </c>
      <c r="K4" s="355">
        <f>I4*$C$4</f>
        <v>2621677.3038749993</v>
      </c>
      <c r="M4" s="355">
        <f>K4*$C$4</f>
        <v>2687219.2364718742</v>
      </c>
      <c r="O4" s="355">
        <f>M4*$C$4</f>
        <v>2754399.7173836706</v>
      </c>
      <c r="Q4" s="355">
        <f>O4*$C$4</f>
        <v>2823259.7103182622</v>
      </c>
      <c r="S4" s="355">
        <f>Q4*$C$4</f>
        <v>2893841.2030762187</v>
      </c>
      <c r="U4" s="355">
        <f>S4*$C$4</f>
        <v>2966187.2331531239</v>
      </c>
      <c r="W4" s="355">
        <f>U4*$C$4</f>
        <v>3040341.9139819518</v>
      </c>
      <c r="Y4" s="355">
        <f>W4*$C$4</f>
        <v>3116350.4618315003</v>
      </c>
      <c r="AA4" s="355">
        <f>Y4*$C$4</f>
        <v>3194259.2233772874</v>
      </c>
      <c r="AC4" s="355">
        <f>AA4*$C$4</f>
        <v>3274115.7039617193</v>
      </c>
      <c r="AE4" s="355">
        <f>AC4*$C$4</f>
        <v>3355968.5965607618</v>
      </c>
      <c r="AG4" s="355">
        <f>AE4*$C$4</f>
        <v>3439867.8114747806</v>
      </c>
    </row>
    <row r="5" spans="1:34" s="340" customFormat="1" ht="14.25">
      <c r="B5" s="340" t="s">
        <v>903</v>
      </c>
      <c r="C5" s="376">
        <f>IF(Application!$D$210="Special Needs",0.1,0.05)</f>
        <v>0.05</v>
      </c>
      <c r="E5" s="357">
        <f>-E4*$C$5</f>
        <v>-121724.40000000001</v>
      </c>
      <c r="F5" s="357"/>
      <c r="G5" s="357">
        <f>-G4*$C$5</f>
        <v>-124767.51</v>
      </c>
      <c r="H5" s="357"/>
      <c r="I5" s="357">
        <f>-I4*$C$5</f>
        <v>-127886.69774999999</v>
      </c>
      <c r="J5" s="357"/>
      <c r="K5" s="357">
        <f>-K4*$C$5</f>
        <v>-131083.86519374998</v>
      </c>
      <c r="L5" s="357"/>
      <c r="M5" s="357">
        <f>-M4*$C$5</f>
        <v>-134360.96182359371</v>
      </c>
      <c r="N5" s="357"/>
      <c r="O5" s="357">
        <f>-O4*$C$5</f>
        <v>-137719.98586918353</v>
      </c>
      <c r="P5" s="357"/>
      <c r="Q5" s="357">
        <f>-Q4*$C$5</f>
        <v>-141162.98551591311</v>
      </c>
      <c r="R5" s="357"/>
      <c r="S5" s="357">
        <f>-S4*$C$5</f>
        <v>-144692.06015381095</v>
      </c>
      <c r="T5" s="357"/>
      <c r="U5" s="357">
        <f>-U4*$C$5</f>
        <v>-148309.36165765621</v>
      </c>
      <c r="V5" s="357"/>
      <c r="W5" s="357">
        <f>-W4*$C$5</f>
        <v>-152017.09569909758</v>
      </c>
      <c r="X5" s="357"/>
      <c r="Y5" s="357">
        <f>-Y4*$C$5</f>
        <v>-155817.52309157501</v>
      </c>
      <c r="Z5" s="357"/>
      <c r="AA5" s="357">
        <f>-AA4*$C$5</f>
        <v>-159712.96116886439</v>
      </c>
      <c r="AB5" s="357"/>
      <c r="AC5" s="357">
        <f>-AC4*$C$5</f>
        <v>-163705.78519808597</v>
      </c>
      <c r="AD5" s="357"/>
      <c r="AE5" s="357">
        <f>-AE4*$C$5</f>
        <v>-167798.42982803809</v>
      </c>
      <c r="AF5" s="357"/>
      <c r="AG5" s="357">
        <f>-AG4*$C$5</f>
        <v>-171993.39057373905</v>
      </c>
    </row>
    <row r="6" spans="1:34" s="340" customFormat="1" ht="14.25">
      <c r="A6" s="340" t="s">
        <v>901</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903</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297</v>
      </c>
      <c r="C8" s="375">
        <v>1.0249999999999999</v>
      </c>
      <c r="E8" s="358">
        <f>Application!Z815</f>
        <v>64776</v>
      </c>
      <c r="F8" s="358"/>
      <c r="G8" s="358">
        <f>E8*$C$8</f>
        <v>66395.399999999994</v>
      </c>
      <c r="H8" s="358"/>
      <c r="I8" s="358">
        <f>G8*$C$8</f>
        <v>68055.284999999989</v>
      </c>
      <c r="J8" s="358"/>
      <c r="K8" s="358">
        <f>I8*$C$8</f>
        <v>69756.667124999978</v>
      </c>
      <c r="L8" s="358"/>
      <c r="M8" s="358">
        <f>K8*$C$8</f>
        <v>71500.583803124973</v>
      </c>
      <c r="N8" s="358"/>
      <c r="O8" s="358">
        <f>M8*$C$8</f>
        <v>73288.098398203088</v>
      </c>
      <c r="P8" s="358"/>
      <c r="Q8" s="358">
        <f>O8*$C$8</f>
        <v>75120.300858158153</v>
      </c>
      <c r="R8" s="358"/>
      <c r="S8" s="358">
        <f>Q8*$C$8</f>
        <v>76998.308379612106</v>
      </c>
      <c r="T8" s="358"/>
      <c r="U8" s="358">
        <f>S8*$C$8</f>
        <v>78923.266089102399</v>
      </c>
      <c r="V8" s="358"/>
      <c r="W8" s="358">
        <f>U8*$C$8</f>
        <v>80896.347741329955</v>
      </c>
      <c r="X8" s="358"/>
      <c r="Y8" s="358">
        <f>W8*$C$8</f>
        <v>82918.7564348632</v>
      </c>
      <c r="Z8" s="358"/>
      <c r="AA8" s="358">
        <f>Y8*$C$8</f>
        <v>84991.725345734769</v>
      </c>
      <c r="AB8" s="358"/>
      <c r="AC8" s="358">
        <f>AA8*$C$8</f>
        <v>87116.518479378137</v>
      </c>
      <c r="AD8" s="358"/>
      <c r="AE8" s="358">
        <f>AC8*$C$8</f>
        <v>89294.431441362583</v>
      </c>
      <c r="AF8" s="358"/>
      <c r="AG8" s="358">
        <f>AE8*$C$8</f>
        <v>91526.79222739664</v>
      </c>
    </row>
    <row r="9" spans="1:34" s="340" customFormat="1" ht="14.25">
      <c r="B9" s="340" t="s">
        <v>903</v>
      </c>
      <c r="C9" s="376">
        <f>IF(Application!$D$210="Special Needs",0.1,0.05)</f>
        <v>0.05</v>
      </c>
      <c r="E9" s="374">
        <f>-E8*$C$9</f>
        <v>-3238.8</v>
      </c>
      <c r="F9" s="357"/>
      <c r="G9" s="374">
        <f>-G8*$C$9</f>
        <v>-3319.77</v>
      </c>
      <c r="H9" s="357"/>
      <c r="I9" s="374">
        <f>-I8*$C$9</f>
        <v>-3402.7642499999997</v>
      </c>
      <c r="J9" s="357"/>
      <c r="K9" s="374">
        <f>-K8*$C$9</f>
        <v>-3487.8333562499993</v>
      </c>
      <c r="L9" s="357"/>
      <c r="M9" s="374">
        <f>-M8*$C$9</f>
        <v>-3575.0291901562487</v>
      </c>
      <c r="N9" s="357"/>
      <c r="O9" s="374">
        <f>-O8*$C$9</f>
        <v>-3664.4049199101546</v>
      </c>
      <c r="P9" s="357"/>
      <c r="Q9" s="374">
        <f>-Q8*$C$9</f>
        <v>-3756.0150429079076</v>
      </c>
      <c r="R9" s="357"/>
      <c r="S9" s="374">
        <f>-S8*$C$9</f>
        <v>-3849.9154189806054</v>
      </c>
      <c r="T9" s="357"/>
      <c r="U9" s="374">
        <f>-U8*$C$9</f>
        <v>-3946.1633044551199</v>
      </c>
      <c r="V9" s="357"/>
      <c r="W9" s="374">
        <f>-W8*$C$9</f>
        <v>-4044.8173870664978</v>
      </c>
      <c r="X9" s="357"/>
      <c r="Y9" s="374">
        <f>-Y8*$C$9</f>
        <v>-4145.9378217431604</v>
      </c>
      <c r="Z9" s="357"/>
      <c r="AA9" s="374">
        <f>-AA8*$C$9</f>
        <v>-4249.5862672867388</v>
      </c>
      <c r="AB9" s="357"/>
      <c r="AC9" s="374">
        <f>-AC8*$C$9</f>
        <v>-4355.8259239689069</v>
      </c>
      <c r="AD9" s="357"/>
      <c r="AE9" s="374">
        <f>-AE8*$C$9</f>
        <v>-4464.7215720681297</v>
      </c>
      <c r="AF9" s="357"/>
      <c r="AG9" s="374">
        <f>-AG8*$C$9</f>
        <v>-4576.3396113698318</v>
      </c>
    </row>
    <row r="10" spans="1:34" s="359" customFormat="1" ht="15">
      <c r="A10" s="359" t="s">
        <v>924</v>
      </c>
      <c r="C10" s="350"/>
      <c r="E10" s="359">
        <f>SUM(E4:E9)</f>
        <v>2374300.8000000003</v>
      </c>
      <c r="G10" s="359">
        <f>SUM(G4:G9)</f>
        <v>2433658.3199999998</v>
      </c>
      <c r="I10" s="359">
        <f>SUM(I4:I9)</f>
        <v>2494499.7779999999</v>
      </c>
      <c r="K10" s="359">
        <f>SUM(K4:K9)</f>
        <v>2556862.2724499996</v>
      </c>
      <c r="M10" s="359">
        <f>SUM(M4:M9)</f>
        <v>2620783.8292612494</v>
      </c>
      <c r="O10" s="359">
        <f>SUM(O4:O9)</f>
        <v>2686303.4249927797</v>
      </c>
      <c r="Q10" s="359">
        <f>SUM(Q4:Q9)</f>
        <v>2753461.0106175994</v>
      </c>
      <c r="S10" s="359">
        <f>SUM(S4:S9)</f>
        <v>2822297.5358830392</v>
      </c>
      <c r="U10" s="359">
        <f>SUM(U4:U9)</f>
        <v>2892854.9742801148</v>
      </c>
      <c r="W10" s="359">
        <f>SUM(W4:W9)</f>
        <v>2965176.348637118</v>
      </c>
      <c r="Y10" s="359">
        <f>SUM(Y4:Y9)</f>
        <v>3039305.757353045</v>
      </c>
      <c r="AA10" s="359">
        <f>SUM(AA4:AA9)</f>
        <v>3115288.4012868712</v>
      </c>
      <c r="AC10" s="359">
        <f>SUM(AC4:AC9)</f>
        <v>3193170.6113190423</v>
      </c>
      <c r="AE10" s="359">
        <f>SUM(AE4:AE9)</f>
        <v>3272999.8766020183</v>
      </c>
      <c r="AG10" s="359">
        <f>SUM(AG4:AG9)</f>
        <v>3354824.8735170686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63328</v>
      </c>
      <c r="G14" s="355">
        <f>E14*$C$13</f>
        <v>65544.479999999996</v>
      </c>
      <c r="I14" s="355">
        <f>G14*$C$13</f>
        <v>67838.536799999987</v>
      </c>
      <c r="K14" s="355">
        <f>I14*$C$13</f>
        <v>70212.885587999976</v>
      </c>
      <c r="M14" s="355">
        <f>K14*$C$13</f>
        <v>72670.336583579963</v>
      </c>
      <c r="O14" s="355">
        <f>M14*$C$13</f>
        <v>75213.798364005255</v>
      </c>
      <c r="Q14" s="355">
        <f>O14*$C$13</f>
        <v>77846.281306745426</v>
      </c>
      <c r="S14" s="355">
        <f>Q14*$C$13</f>
        <v>80570.901152481514</v>
      </c>
      <c r="U14" s="355">
        <f>S14*$C$13</f>
        <v>83390.882692818355</v>
      </c>
      <c r="W14" s="355">
        <f>U14*$C$13</f>
        <v>86309.563587066994</v>
      </c>
      <c r="Y14" s="355">
        <f>W14*$C$13</f>
        <v>89330.398312614328</v>
      </c>
      <c r="AA14" s="355">
        <f>Y14*$C$13</f>
        <v>92456.962253555816</v>
      </c>
      <c r="AC14" s="355">
        <f>AA14*$C$13</f>
        <v>95692.955932430268</v>
      </c>
      <c r="AE14" s="355">
        <f>AC14*$C$13</f>
        <v>99042.209390065313</v>
      </c>
      <c r="AG14" s="355">
        <f>AE14*$C$13</f>
        <v>102508.6867187176</v>
      </c>
    </row>
    <row r="15" spans="1:34" s="340" customFormat="1" ht="14.25">
      <c r="A15" s="340" t="s">
        <v>355</v>
      </c>
      <c r="C15" s="369"/>
      <c r="E15" s="358">
        <f>Application!W847</f>
        <v>125021</v>
      </c>
      <c r="F15" s="358"/>
      <c r="G15" s="358">
        <f t="shared" ref="G15:AG20" si="0">E15*$C$13</f>
        <v>129396.73499999999</v>
      </c>
      <c r="H15" s="358"/>
      <c r="I15" s="358">
        <f t="shared" si="0"/>
        <v>133925.62072499999</v>
      </c>
      <c r="J15" s="358"/>
      <c r="K15" s="358">
        <f t="shared" si="0"/>
        <v>138613.01745037499</v>
      </c>
      <c r="L15" s="358"/>
      <c r="M15" s="358">
        <f t="shared" si="0"/>
        <v>143464.47306113809</v>
      </c>
      <c r="N15" s="358"/>
      <c r="O15" s="358">
        <f t="shared" si="0"/>
        <v>148485.72961827792</v>
      </c>
      <c r="P15" s="358"/>
      <c r="Q15" s="358">
        <f t="shared" si="0"/>
        <v>153682.73015491763</v>
      </c>
      <c r="R15" s="358"/>
      <c r="S15" s="358">
        <f t="shared" si="0"/>
        <v>159061.62571033975</v>
      </c>
      <c r="T15" s="358"/>
      <c r="U15" s="358">
        <f t="shared" si="0"/>
        <v>164628.78261020163</v>
      </c>
      <c r="V15" s="358"/>
      <c r="W15" s="358">
        <f t="shared" si="0"/>
        <v>170390.79000155866</v>
      </c>
      <c r="X15" s="358"/>
      <c r="Y15" s="358">
        <f t="shared" si="0"/>
        <v>176354.4676516132</v>
      </c>
      <c r="Z15" s="358"/>
      <c r="AA15" s="358">
        <f t="shared" si="0"/>
        <v>182526.87401941966</v>
      </c>
      <c r="AB15" s="358"/>
      <c r="AC15" s="358">
        <f t="shared" si="0"/>
        <v>188915.31461009933</v>
      </c>
      <c r="AD15" s="358"/>
      <c r="AE15" s="358">
        <f t="shared" si="0"/>
        <v>195527.35062145279</v>
      </c>
      <c r="AF15" s="358"/>
      <c r="AG15" s="358">
        <f t="shared" si="0"/>
        <v>202370.80789320363</v>
      </c>
    </row>
    <row r="16" spans="1:34" s="340" customFormat="1" ht="14.25">
      <c r="A16" s="340" t="s">
        <v>594</v>
      </c>
      <c r="C16" s="369"/>
      <c r="E16" s="358">
        <f>Application!W853</f>
        <v>245830</v>
      </c>
      <c r="F16" s="358"/>
      <c r="G16" s="358">
        <f t="shared" si="0"/>
        <v>254434.05</v>
      </c>
      <c r="H16" s="358"/>
      <c r="I16" s="358">
        <f t="shared" si="0"/>
        <v>263339.24174999999</v>
      </c>
      <c r="J16" s="358"/>
      <c r="K16" s="358">
        <f t="shared" si="0"/>
        <v>272556.11521124997</v>
      </c>
      <c r="L16" s="358"/>
      <c r="M16" s="358">
        <f t="shared" si="0"/>
        <v>282095.57924364367</v>
      </c>
      <c r="N16" s="358"/>
      <c r="O16" s="358">
        <f t="shared" si="0"/>
        <v>291968.92451717117</v>
      </c>
      <c r="P16" s="358"/>
      <c r="Q16" s="358">
        <f t="shared" si="0"/>
        <v>302187.83687527216</v>
      </c>
      <c r="R16" s="358"/>
      <c r="S16" s="358">
        <f t="shared" si="0"/>
        <v>312764.41116590664</v>
      </c>
      <c r="T16" s="358"/>
      <c r="U16" s="358">
        <f t="shared" si="0"/>
        <v>323711.16555671336</v>
      </c>
      <c r="V16" s="358"/>
      <c r="W16" s="358">
        <f t="shared" si="0"/>
        <v>335041.05635119829</v>
      </c>
      <c r="X16" s="358"/>
      <c r="Y16" s="358">
        <f t="shared" si="0"/>
        <v>346767.4933234902</v>
      </c>
      <c r="Z16" s="358"/>
      <c r="AA16" s="358">
        <f t="shared" si="0"/>
        <v>358904.35558981233</v>
      </c>
      <c r="AB16" s="358"/>
      <c r="AC16" s="358">
        <f t="shared" si="0"/>
        <v>371466.00803545571</v>
      </c>
      <c r="AD16" s="358"/>
      <c r="AE16" s="358">
        <f t="shared" si="0"/>
        <v>384467.31831669662</v>
      </c>
      <c r="AF16" s="358"/>
      <c r="AG16" s="358">
        <f t="shared" si="0"/>
        <v>397923.67445778096</v>
      </c>
    </row>
    <row r="17" spans="1:33" s="340" customFormat="1" ht="14.25">
      <c r="A17" s="340" t="s">
        <v>907</v>
      </c>
      <c r="C17" s="369"/>
      <c r="E17" s="358">
        <f>Application!W860</f>
        <v>247219</v>
      </c>
      <c r="F17" s="358"/>
      <c r="G17" s="358">
        <f t="shared" si="0"/>
        <v>255871.66499999998</v>
      </c>
      <c r="H17" s="358"/>
      <c r="I17" s="358">
        <f t="shared" si="0"/>
        <v>264827.17327499995</v>
      </c>
      <c r="J17" s="358"/>
      <c r="K17" s="358">
        <f t="shared" si="0"/>
        <v>274096.12433962495</v>
      </c>
      <c r="L17" s="358"/>
      <c r="M17" s="358">
        <f t="shared" si="0"/>
        <v>283689.4886915118</v>
      </c>
      <c r="N17" s="358"/>
      <c r="O17" s="358">
        <f t="shared" si="0"/>
        <v>293618.62079571467</v>
      </c>
      <c r="P17" s="358"/>
      <c r="Q17" s="358">
        <f t="shared" si="0"/>
        <v>303895.27252356464</v>
      </c>
      <c r="R17" s="358"/>
      <c r="S17" s="358">
        <f t="shared" si="0"/>
        <v>314531.60706188937</v>
      </c>
      <c r="T17" s="358"/>
      <c r="U17" s="358">
        <f t="shared" si="0"/>
        <v>325540.21330905549</v>
      </c>
      <c r="V17" s="358"/>
      <c r="W17" s="358">
        <f t="shared" si="0"/>
        <v>336934.12077487243</v>
      </c>
      <c r="X17" s="358"/>
      <c r="Y17" s="358">
        <f t="shared" si="0"/>
        <v>348726.81500199292</v>
      </c>
      <c r="Z17" s="358"/>
      <c r="AA17" s="358">
        <f t="shared" si="0"/>
        <v>360932.25352706265</v>
      </c>
      <c r="AB17" s="358"/>
      <c r="AC17" s="358">
        <f t="shared" si="0"/>
        <v>373564.88240050984</v>
      </c>
      <c r="AD17" s="358"/>
      <c r="AE17" s="358">
        <f t="shared" si="0"/>
        <v>386639.65328452765</v>
      </c>
      <c r="AF17" s="358"/>
      <c r="AG17" s="358">
        <f t="shared" si="0"/>
        <v>400172.04114948609</v>
      </c>
    </row>
    <row r="18" spans="1:33" s="340" customFormat="1" ht="14.2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25">
      <c r="A19" s="340" t="s">
        <v>410</v>
      </c>
      <c r="C19" s="369"/>
      <c r="E19" s="358">
        <f>Application!W870</f>
        <v>91651</v>
      </c>
      <c r="F19" s="358"/>
      <c r="G19" s="358">
        <f t="shared" si="0"/>
        <v>94858.784999999989</v>
      </c>
      <c r="H19" s="358"/>
      <c r="I19" s="358">
        <f t="shared" si="0"/>
        <v>98178.842474999983</v>
      </c>
      <c r="J19" s="358"/>
      <c r="K19" s="358">
        <f t="shared" si="0"/>
        <v>101615.10196162497</v>
      </c>
      <c r="L19" s="358"/>
      <c r="M19" s="358">
        <f t="shared" si="0"/>
        <v>105171.63053028184</v>
      </c>
      <c r="N19" s="358"/>
      <c r="O19" s="358">
        <f t="shared" si="0"/>
        <v>108852.6375988417</v>
      </c>
      <c r="P19" s="358"/>
      <c r="Q19" s="358">
        <f t="shared" si="0"/>
        <v>112662.47991480115</v>
      </c>
      <c r="R19" s="358"/>
      <c r="S19" s="358">
        <f t="shared" si="0"/>
        <v>116605.66671181918</v>
      </c>
      <c r="T19" s="358"/>
      <c r="U19" s="358">
        <f t="shared" si="0"/>
        <v>120686.86504673284</v>
      </c>
      <c r="V19" s="358"/>
      <c r="W19" s="358">
        <f t="shared" si="0"/>
        <v>124910.90532336848</v>
      </c>
      <c r="X19" s="358"/>
      <c r="Y19" s="358">
        <f t="shared" si="0"/>
        <v>129282.78700968636</v>
      </c>
      <c r="Z19" s="358"/>
      <c r="AA19" s="358">
        <f t="shared" si="0"/>
        <v>133807.68455502536</v>
      </c>
      <c r="AB19" s="358"/>
      <c r="AC19" s="358">
        <f t="shared" si="0"/>
        <v>138490.95351445125</v>
      </c>
      <c r="AD19" s="358"/>
      <c r="AE19" s="358">
        <f t="shared" si="0"/>
        <v>143338.13688745702</v>
      </c>
      <c r="AF19" s="358"/>
      <c r="AG19" s="358">
        <f t="shared" si="0"/>
        <v>148354.97167851799</v>
      </c>
    </row>
    <row r="20" spans="1:33" s="340" customFormat="1" ht="14.25">
      <c r="A20" s="362" t="s">
        <v>1043</v>
      </c>
      <c r="B20" s="362"/>
      <c r="C20" s="369"/>
      <c r="E20" s="368">
        <f>Application!W877</f>
        <v>127437</v>
      </c>
      <c r="F20" s="358"/>
      <c r="G20" s="368">
        <f t="shared" si="0"/>
        <v>131897.29499999998</v>
      </c>
      <c r="H20" s="358"/>
      <c r="I20" s="368">
        <f t="shared" si="0"/>
        <v>136513.70032499998</v>
      </c>
      <c r="J20" s="358"/>
      <c r="K20" s="368">
        <f t="shared" si="0"/>
        <v>141291.67983637497</v>
      </c>
      <c r="L20" s="358"/>
      <c r="M20" s="368">
        <f t="shared" si="0"/>
        <v>146236.88863064809</v>
      </c>
      <c r="N20" s="358"/>
      <c r="O20" s="368">
        <f t="shared" si="0"/>
        <v>151355.17973272075</v>
      </c>
      <c r="P20" s="358"/>
      <c r="Q20" s="368">
        <f t="shared" si="0"/>
        <v>156652.61102336596</v>
      </c>
      <c r="R20" s="358"/>
      <c r="S20" s="368">
        <f t="shared" si="0"/>
        <v>162135.45240918375</v>
      </c>
      <c r="T20" s="358"/>
      <c r="U20" s="368">
        <f t="shared" si="0"/>
        <v>167810.19324350517</v>
      </c>
      <c r="V20" s="358"/>
      <c r="W20" s="368">
        <f t="shared" si="0"/>
        <v>173683.55000702784</v>
      </c>
      <c r="X20" s="358"/>
      <c r="Y20" s="368">
        <f t="shared" si="0"/>
        <v>179762.4742572738</v>
      </c>
      <c r="Z20" s="358"/>
      <c r="AA20" s="368">
        <f t="shared" si="0"/>
        <v>186054.16085627838</v>
      </c>
      <c r="AB20" s="358"/>
      <c r="AC20" s="368">
        <f t="shared" si="0"/>
        <v>192566.0564862481</v>
      </c>
      <c r="AD20" s="358"/>
      <c r="AE20" s="368">
        <f t="shared" si="0"/>
        <v>199305.86846326676</v>
      </c>
      <c r="AF20" s="358"/>
      <c r="AG20" s="368">
        <f t="shared" si="0"/>
        <v>206281.57385948108</v>
      </c>
    </row>
    <row r="21" spans="1:33" s="359" customFormat="1" ht="15">
      <c r="A21" s="359" t="s">
        <v>908</v>
      </c>
      <c r="C21" s="369"/>
      <c r="E21" s="359">
        <f>SUM(E14:E20)</f>
        <v>900486</v>
      </c>
      <c r="G21" s="359">
        <f>SUM(G14:G20)</f>
        <v>932003.01</v>
      </c>
      <c r="I21" s="359">
        <f>SUM(I14:I20)</f>
        <v>964623.11534999986</v>
      </c>
      <c r="K21" s="359">
        <f>SUM(K14:K20)</f>
        <v>998384.92438724975</v>
      </c>
      <c r="M21" s="359">
        <f>SUM(M14:M20)</f>
        <v>1033328.3967408035</v>
      </c>
      <c r="O21" s="359">
        <f>SUM(O14:O20)</f>
        <v>1069494.8906267316</v>
      </c>
      <c r="Q21" s="359">
        <f>SUM(Q14:Q20)</f>
        <v>1106927.211798667</v>
      </c>
      <c r="S21" s="359">
        <f>SUM(S14:S20)</f>
        <v>1145669.6642116203</v>
      </c>
      <c r="U21" s="359">
        <f>SUM(U14:U20)</f>
        <v>1185768.1024590267</v>
      </c>
      <c r="W21" s="359">
        <f>SUM(W14:W20)</f>
        <v>1227269.9860450926</v>
      </c>
      <c r="Y21" s="359">
        <f>SUM(Y14:Y20)</f>
        <v>1270224.4355566709</v>
      </c>
      <c r="AA21" s="359">
        <f>SUM(AA14:AA20)</f>
        <v>1314682.2908011542</v>
      </c>
      <c r="AC21" s="359">
        <f>SUM(AC14:AC20)</f>
        <v>1360696.1709791943</v>
      </c>
      <c r="AE21" s="359">
        <f>SUM(AE14:AE20)</f>
        <v>1408320.5369634661</v>
      </c>
      <c r="AG21" s="359">
        <f>SUM(AG14:AG20)</f>
        <v>1457611.7557571875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2171</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20016</v>
      </c>
      <c r="F26" s="358"/>
      <c r="G26" s="358">
        <f>E26*$C$26</f>
        <v>20716.559999999998</v>
      </c>
      <c r="H26" s="358"/>
      <c r="I26" s="358">
        <f>G26*$C$26</f>
        <v>21441.639599999995</v>
      </c>
      <c r="J26" s="358"/>
      <c r="K26" s="358">
        <f>I26*$C$26</f>
        <v>22192.096985999993</v>
      </c>
      <c r="L26" s="358"/>
      <c r="M26" s="358">
        <f>K26*$C$26</f>
        <v>22968.820380509991</v>
      </c>
      <c r="N26" s="358"/>
      <c r="O26" s="358">
        <f>M26*$C$26</f>
        <v>23772.729093827838</v>
      </c>
      <c r="P26" s="358"/>
      <c r="Q26" s="358">
        <f>O26*$C$26</f>
        <v>24604.774612111811</v>
      </c>
      <c r="R26" s="358"/>
      <c r="S26" s="358">
        <f>Q26*$C$26</f>
        <v>25465.941723535721</v>
      </c>
      <c r="T26" s="358"/>
      <c r="U26" s="358">
        <f>S26*$C$26</f>
        <v>26357.249683859471</v>
      </c>
      <c r="V26" s="358"/>
      <c r="W26" s="358">
        <f>U26*$C$26</f>
        <v>27279.753422794551</v>
      </c>
      <c r="X26" s="358"/>
      <c r="Y26" s="358">
        <f>W26*$C$26</f>
        <v>28234.544792592358</v>
      </c>
      <c r="Z26" s="358"/>
      <c r="AA26" s="358">
        <f>Y26*$C$26</f>
        <v>29222.753860333087</v>
      </c>
      <c r="AB26" s="358"/>
      <c r="AC26" s="358">
        <f>AA26*$C$26</f>
        <v>30245.550245444741</v>
      </c>
      <c r="AD26" s="358"/>
      <c r="AE26" s="358">
        <f>AC26*$C$26</f>
        <v>31304.144504035306</v>
      </c>
      <c r="AF26" s="358"/>
      <c r="AG26" s="358">
        <f>AE26*$C$26</f>
        <v>32399.789561676538</v>
      </c>
    </row>
    <row r="27" spans="1:33" s="340" customFormat="1" ht="14.25">
      <c r="A27" s="340" t="s">
        <v>911</v>
      </c>
      <c r="C27" s="377"/>
      <c r="E27" s="358">
        <f>Application!AC887</f>
        <v>48500</v>
      </c>
      <c r="F27" s="358"/>
      <c r="G27" s="358">
        <f>$E$27</f>
        <v>48500</v>
      </c>
      <c r="H27" s="358"/>
      <c r="I27" s="358">
        <f>$E$27</f>
        <v>48500</v>
      </c>
      <c r="J27" s="358"/>
      <c r="K27" s="358">
        <f>$E$27</f>
        <v>48500</v>
      </c>
      <c r="L27" s="358"/>
      <c r="M27" s="358">
        <f>$E$27</f>
        <v>48500</v>
      </c>
      <c r="N27" s="358"/>
      <c r="O27" s="358">
        <f>$E$27</f>
        <v>48500</v>
      </c>
      <c r="P27" s="358"/>
      <c r="Q27" s="358">
        <f>$E$27</f>
        <v>48500</v>
      </c>
      <c r="R27" s="358"/>
      <c r="S27" s="358">
        <f>$E$27</f>
        <v>48500</v>
      </c>
      <c r="T27" s="358"/>
      <c r="U27" s="358">
        <f>$E$27</f>
        <v>48500</v>
      </c>
      <c r="V27" s="358"/>
      <c r="W27" s="358">
        <f>$E$27</f>
        <v>48500</v>
      </c>
      <c r="X27" s="358"/>
      <c r="Y27" s="358">
        <f>$E$27</f>
        <v>48500</v>
      </c>
      <c r="Z27" s="358"/>
      <c r="AA27" s="358">
        <f>$E$27</f>
        <v>48500</v>
      </c>
      <c r="AB27" s="358"/>
      <c r="AC27" s="358">
        <f>$E$27</f>
        <v>48500</v>
      </c>
      <c r="AD27" s="358"/>
      <c r="AE27" s="358">
        <f>$E$27</f>
        <v>48500</v>
      </c>
      <c r="AF27" s="358"/>
      <c r="AG27" s="358">
        <f>$E$27</f>
        <v>48500</v>
      </c>
    </row>
    <row r="28" spans="1:33" s="340" customFormat="1" ht="14.25">
      <c r="A28" s="340" t="s">
        <v>2169</v>
      </c>
      <c r="C28" s="375"/>
      <c r="E28" s="358">
        <f>Application!AC888</f>
        <v>12725</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909</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2170</v>
      </c>
      <c r="C30" s="375">
        <v>1.02</v>
      </c>
      <c r="E30" s="358">
        <f>Application!AC890</f>
        <v>148985</v>
      </c>
      <c r="F30" s="358"/>
      <c r="G30" s="358">
        <f>E30*$C$30</f>
        <v>151964.70000000001</v>
      </c>
      <c r="H30" s="358"/>
      <c r="I30" s="358">
        <f>G30*$C$30</f>
        <v>155003.99400000001</v>
      </c>
      <c r="J30" s="358"/>
      <c r="K30" s="358">
        <f>I30*$C$30</f>
        <v>158104.07388000001</v>
      </c>
      <c r="L30" s="358"/>
      <c r="M30" s="358">
        <f>K30*$C$30</f>
        <v>161266.15535760002</v>
      </c>
      <c r="N30" s="358"/>
      <c r="O30" s="358">
        <f>M30*$C$30</f>
        <v>164491.47846475203</v>
      </c>
      <c r="P30" s="358"/>
      <c r="Q30" s="358">
        <f>O30*$C$30</f>
        <v>167781.30803404708</v>
      </c>
      <c r="R30" s="358"/>
      <c r="S30" s="358">
        <f>Q30*$C$30</f>
        <v>171136.93419472803</v>
      </c>
      <c r="T30" s="358"/>
      <c r="U30" s="358">
        <f>S30*$C$30</f>
        <v>174559.6728786226</v>
      </c>
      <c r="V30" s="358"/>
      <c r="W30" s="358">
        <f>U30*$C$30</f>
        <v>178050.86633619506</v>
      </c>
      <c r="X30" s="358"/>
      <c r="Y30" s="358">
        <f>W30*$C$30</f>
        <v>181611.88366291896</v>
      </c>
      <c r="Z30" s="358"/>
      <c r="AA30" s="358">
        <f>Y30*$C$30</f>
        <v>185244.12133617734</v>
      </c>
      <c r="AB30" s="358"/>
      <c r="AC30" s="358">
        <f>AA30*$C$30</f>
        <v>188949.00376290089</v>
      </c>
      <c r="AD30" s="358"/>
      <c r="AE30" s="358">
        <f>AC30*$C$30</f>
        <v>192727.98383815892</v>
      </c>
      <c r="AF30" s="358"/>
      <c r="AG30" s="358">
        <f>AE30*$C$30</f>
        <v>196582.54351492212</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1130712</v>
      </c>
      <c r="G34" s="359">
        <f>SUM(G21:G32)</f>
        <v>1153184.27</v>
      </c>
      <c r="I34" s="359">
        <f>SUM(I21:I32)</f>
        <v>1189568.7489499999</v>
      </c>
      <c r="K34" s="359">
        <f>SUM(K21:K32)</f>
        <v>1227181.0952532496</v>
      </c>
      <c r="M34" s="359">
        <f>SUM(M21:M32)</f>
        <v>1266063.3724789135</v>
      </c>
      <c r="O34" s="359">
        <f>SUM(O21:O32)</f>
        <v>1306259.0981853113</v>
      </c>
      <c r="Q34" s="359">
        <f>SUM(Q21:Q32)</f>
        <v>1347813.2944448257</v>
      </c>
      <c r="S34" s="359">
        <f>SUM(S21:S32)</f>
        <v>1390772.5401298841</v>
      </c>
      <c r="U34" s="359">
        <f>SUM(U21:U32)</f>
        <v>1435185.0250215088</v>
      </c>
      <c r="W34" s="359">
        <f>SUM(W21:W32)</f>
        <v>1481100.6058040822</v>
      </c>
      <c r="Y34" s="359">
        <f>SUM(Y21:Y32)</f>
        <v>1528570.8640121822</v>
      </c>
      <c r="AA34" s="359">
        <f>SUM(AA21:AA32)</f>
        <v>1577649.1659976644</v>
      </c>
      <c r="AC34" s="359">
        <f>SUM(AC21:AC32)</f>
        <v>1628390.7249875399</v>
      </c>
      <c r="AE34" s="359">
        <f>SUM(AE21:AE32)</f>
        <v>1680852.6653056603</v>
      </c>
      <c r="AG34" s="359">
        <f>SUM(AG21:AG32)</f>
        <v>1735094.0888337861</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1243588.8000000003</v>
      </c>
      <c r="G36" s="359">
        <f>G10-G34</f>
        <v>1280474.0499999998</v>
      </c>
      <c r="I36" s="359">
        <f>I10-I34</f>
        <v>1304931.02905</v>
      </c>
      <c r="K36" s="359">
        <f>K10-K34</f>
        <v>1329681.17719675</v>
      </c>
      <c r="M36" s="359">
        <f>M10-M34</f>
        <v>1354720.4567823359</v>
      </c>
      <c r="O36" s="359">
        <f>O10-O34</f>
        <v>1380044.3268074684</v>
      </c>
      <c r="Q36" s="359">
        <f>Q10-Q34</f>
        <v>1405647.7161727736</v>
      </c>
      <c r="S36" s="359">
        <f>S10-S34</f>
        <v>1431524.9957531551</v>
      </c>
      <c r="U36" s="359">
        <f>U10-U34</f>
        <v>1457669.9492586059</v>
      </c>
      <c r="W36" s="359">
        <f>W10-W34</f>
        <v>1484075.7428330358</v>
      </c>
      <c r="Y36" s="359">
        <f>Y10-Y34</f>
        <v>1510734.8933408628</v>
      </c>
      <c r="AA36" s="359">
        <f>AA10-AA34</f>
        <v>1537639.2352892067</v>
      </c>
      <c r="AC36" s="359">
        <f>AC10-AC34</f>
        <v>1564779.8863315023</v>
      </c>
      <c r="AE36" s="359">
        <f>AE10-AE34</f>
        <v>1592147.2112963579</v>
      </c>
      <c r="AG36" s="359">
        <f>AG10-AG34</f>
        <v>1619730.7846832825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Align Finance - Series A1 New Bonds</v>
      </c>
      <c r="B39" s="362"/>
      <c r="C39" s="356"/>
      <c r="E39" s="358">
        <f>Application!AF637</f>
        <v>1081625</v>
      </c>
      <c r="F39" s="358"/>
      <c r="G39" s="358">
        <f>$E$39</f>
        <v>1081625</v>
      </c>
      <c r="H39" s="358"/>
      <c r="I39" s="358">
        <f>$E$39</f>
        <v>1081625</v>
      </c>
      <c r="J39" s="358"/>
      <c r="K39" s="358">
        <f>$E$39</f>
        <v>1081625</v>
      </c>
      <c r="L39" s="358"/>
      <c r="M39" s="358">
        <f>$E$39</f>
        <v>1081625</v>
      </c>
      <c r="N39" s="358"/>
      <c r="O39" s="358">
        <f>$E$39</f>
        <v>1081625</v>
      </c>
      <c r="P39" s="358"/>
      <c r="Q39" s="358">
        <f>$E$39</f>
        <v>1081625</v>
      </c>
      <c r="R39" s="358"/>
      <c r="S39" s="358">
        <f>$E$39</f>
        <v>1081625</v>
      </c>
      <c r="T39" s="358"/>
      <c r="U39" s="358">
        <f>$E$39</f>
        <v>1081625</v>
      </c>
      <c r="V39" s="358"/>
      <c r="W39" s="358">
        <f>$E$39</f>
        <v>1081625</v>
      </c>
      <c r="X39" s="358"/>
      <c r="Y39" s="358">
        <f>$E$39</f>
        <v>1081625</v>
      </c>
      <c r="Z39" s="358"/>
      <c r="AA39" s="358">
        <f>$E$39</f>
        <v>1081625</v>
      </c>
      <c r="AB39" s="358"/>
      <c r="AC39" s="358">
        <f>$E$39</f>
        <v>1081625</v>
      </c>
      <c r="AD39" s="358"/>
      <c r="AE39" s="358">
        <f>$E$39</f>
        <v>1081625</v>
      </c>
      <c r="AF39" s="358"/>
      <c r="AG39" s="358">
        <f>$E$39</f>
        <v>1081625</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913</v>
      </c>
      <c r="C42" s="360"/>
      <c r="E42" s="359">
        <f>SUM(E39:E41)</f>
        <v>1081625</v>
      </c>
      <c r="G42" s="359">
        <f>SUM(G39:G41)</f>
        <v>1081625</v>
      </c>
      <c r="I42" s="359">
        <f>SUM(I39:I41)</f>
        <v>1081625</v>
      </c>
      <c r="K42" s="359">
        <f>SUM(K39:K41)</f>
        <v>1081625</v>
      </c>
      <c r="M42" s="359">
        <f>SUM(M39:M41)</f>
        <v>1081625</v>
      </c>
      <c r="O42" s="359">
        <f>SUM(O39:O41)</f>
        <v>1081625</v>
      </c>
      <c r="Q42" s="359">
        <f>SUM(Q39:Q41)</f>
        <v>1081625</v>
      </c>
      <c r="S42" s="359">
        <f>SUM(S39:S41)</f>
        <v>1081625</v>
      </c>
      <c r="U42" s="359">
        <f>SUM(U39:U41)</f>
        <v>1081625</v>
      </c>
      <c r="W42" s="359">
        <f>SUM(W39:W41)</f>
        <v>1081625</v>
      </c>
      <c r="Y42" s="359">
        <f>SUM(Y39:Y41)</f>
        <v>1081625</v>
      </c>
      <c r="AA42" s="359">
        <f>SUM(AA39:AA41)</f>
        <v>1081625</v>
      </c>
      <c r="AC42" s="359">
        <f>SUM(AC39:AC41)</f>
        <v>1081625</v>
      </c>
      <c r="AE42" s="359">
        <f>SUM(AE39:AE41)</f>
        <v>1081625</v>
      </c>
      <c r="AG42" s="359">
        <f>SUM(AG39:AG41)</f>
        <v>1081625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161963.80000000028</v>
      </c>
      <c r="G44" s="359">
        <f>G36-G42</f>
        <v>198849.04999999981</v>
      </c>
      <c r="I44" s="359">
        <f>I36-I42</f>
        <v>223306.02905000001</v>
      </c>
      <c r="K44" s="359">
        <f>K36-K42</f>
        <v>248056.17719674995</v>
      </c>
      <c r="M44" s="359">
        <f>M36-M42</f>
        <v>273095.45678233588</v>
      </c>
      <c r="O44" s="359">
        <f>O36-O42</f>
        <v>298419.32680746843</v>
      </c>
      <c r="Q44" s="359">
        <f>Q36-Q42</f>
        <v>324022.71617277362</v>
      </c>
      <c r="S44" s="359">
        <f>S36-S42</f>
        <v>349899.99575315509</v>
      </c>
      <c r="U44" s="359">
        <f>U36-U42</f>
        <v>376044.94925860595</v>
      </c>
      <c r="W44" s="359">
        <f>W36-W42</f>
        <v>402450.74283303577</v>
      </c>
      <c r="Y44" s="359">
        <f>Y36-Y42</f>
        <v>429109.89334086282</v>
      </c>
      <c r="AA44" s="359">
        <f>AA36-AA42</f>
        <v>456014.23528920673</v>
      </c>
      <c r="AC44" s="359">
        <f>AC36-AC42</f>
        <v>483154.88633150235</v>
      </c>
      <c r="AE44" s="359">
        <f>AE36-AE42</f>
        <v>510522.21129635791</v>
      </c>
      <c r="AG44" s="359">
        <f>AG36-AG42</f>
        <v>538105.78468328249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6.4804598473790789E-2</v>
      </c>
      <c r="G46" s="363">
        <f>G44/(G4+G6+G8)</f>
        <v>7.7622481326795237E-2</v>
      </c>
      <c r="I46" s="363">
        <f>I44/(I4+I6+I8)</f>
        <v>8.5043394057780525E-2</v>
      </c>
      <c r="K46" s="363">
        <f>K44/(K4+K6+K8)</f>
        <v>9.2165061402039505E-2</v>
      </c>
      <c r="M46" s="363">
        <f>M44/(M4+M6+M8)</f>
        <v>9.8993545765409668E-2</v>
      </c>
      <c r="O46" s="363">
        <f>O44/(O4+O6+O8)</f>
        <v>0.10553475003214016</v>
      </c>
      <c r="Q46" s="363">
        <f>Q44/(Q4+Q6+Q8)</f>
        <v>0.11179442133995962</v>
      </c>
      <c r="S46" s="363">
        <f>S44/(S4+S6+S8)</f>
        <v>0.1177781547619481</v>
      </c>
      <c r="U46" s="363">
        <f>U44/(U4+U6+U8)</f>
        <v>0.12349139689748025</v>
      </c>
      <c r="W46" s="363">
        <f>W44/(W4+W6+W8)</f>
        <v>0.12893944937444049</v>
      </c>
      <c r="Y46" s="363">
        <f>Y44/(Y4+Y6+Y8)</f>
        <v>0.13412747226486652</v>
      </c>
      <c r="AA46" s="363">
        <f>AA44/(AA4+AA6+AA8)</f>
        <v>0.13906048741612284</v>
      </c>
      <c r="AC46" s="363">
        <f>AC44/(AC4+AC6+AC8)</f>
        <v>0.14374338169964668</v>
      </c>
      <c r="AE46" s="363">
        <f>AE44/(AE4+AE6+AE8)</f>
        <v>0.14818091017927446</v>
      </c>
      <c r="AG46" s="363">
        <f>AG44/(AG4+AG6+AG8)</f>
        <v>0.1523776992010899</v>
      </c>
    </row>
    <row r="47" spans="1:33" s="363" customFormat="1" ht="14.25">
      <c r="A47" s="363" t="s">
        <v>917</v>
      </c>
      <c r="C47" s="356"/>
      <c r="E47" s="363">
        <f>E44/E42</f>
        <v>0.14974117647058849</v>
      </c>
      <c r="G47" s="363">
        <f>G44/G42</f>
        <v>0.18384287530336282</v>
      </c>
      <c r="I47" s="363">
        <f>I44/I42</f>
        <v>0.20645420459956085</v>
      </c>
      <c r="K47" s="363">
        <f>K44/K42</f>
        <v>0.22933657894071416</v>
      </c>
      <c r="M47" s="363">
        <f>M44/M42</f>
        <v>0.25248626537139568</v>
      </c>
      <c r="O47" s="363">
        <f>O44/O42</f>
        <v>0.27589906557953858</v>
      </c>
      <c r="Q47" s="363">
        <f>Q44/Q42</f>
        <v>0.29957029115707717</v>
      </c>
      <c r="S47" s="363">
        <f>S44/S42</f>
        <v>0.32349473778172205</v>
      </c>
      <c r="U47" s="363">
        <f>U44/U42</f>
        <v>0.34766665827676502</v>
      </c>
      <c r="W47" s="363">
        <f>W44/W42</f>
        <v>0.37207973450413567</v>
      </c>
      <c r="Y47" s="363">
        <f>Y44/Y42</f>
        <v>0.39672704804425085</v>
      </c>
      <c r="AA47" s="363">
        <f>AA44/AA42</f>
        <v>0.42160104961442896</v>
      </c>
      <c r="AC47" s="363">
        <f>AC44/AC42</f>
        <v>0.44669352717577937</v>
      </c>
      <c r="AE47" s="363">
        <f>AE44/AE42</f>
        <v>0.47199557267662812</v>
      </c>
      <c r="AG47" s="363">
        <f>AG44/AG42</f>
        <v>0.49749754737851148</v>
      </c>
    </row>
    <row r="48" spans="1:33" s="364" customFormat="1" ht="14.25">
      <c r="A48" s="364" t="s">
        <v>915</v>
      </c>
      <c r="C48" s="365"/>
      <c r="E48" s="364">
        <f>E36/E42</f>
        <v>1.1497411764705885</v>
      </c>
      <c r="G48" s="364">
        <f>G36/G42</f>
        <v>1.1838428753033627</v>
      </c>
      <c r="I48" s="364">
        <f>I36/I42</f>
        <v>1.2064542045995608</v>
      </c>
      <c r="K48" s="364">
        <f>K36/K42</f>
        <v>1.2293365789407142</v>
      </c>
      <c r="M48" s="364">
        <f>M36/M42</f>
        <v>1.2524862653713957</v>
      </c>
      <c r="O48" s="364">
        <f>O36/O42</f>
        <v>1.2758990655795386</v>
      </c>
      <c r="Q48" s="364">
        <f>Q36/Q42</f>
        <v>1.2995702911570772</v>
      </c>
      <c r="S48" s="364">
        <f>S36/S42</f>
        <v>1.3234947377817221</v>
      </c>
      <c r="U48" s="364">
        <f>U36/U42</f>
        <v>1.3476666582767649</v>
      </c>
      <c r="W48" s="364">
        <f>W36/W42</f>
        <v>1.3720797345041358</v>
      </c>
      <c r="Y48" s="364">
        <f>Y36/Y42</f>
        <v>1.3967270480442509</v>
      </c>
      <c r="AA48" s="364">
        <f>AA36/AA42</f>
        <v>1.4216010496144289</v>
      </c>
      <c r="AC48" s="364">
        <f>AC36/AC42</f>
        <v>1.4466935271757793</v>
      </c>
      <c r="AE48" s="364">
        <f>AE36/AE42</f>
        <v>1.4719955726766281</v>
      </c>
      <c r="AG48" s="364">
        <f>AG36/AG42</f>
        <v>1.4974975473785115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76" t="s">
        <v>2585</v>
      </c>
      <c r="B51" s="3376"/>
      <c r="C51" s="337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c r="E52" s="1682">
        <v>30435</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920</v>
      </c>
      <c r="C53" s="1676"/>
      <c r="E53" s="1683">
        <v>19400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921</v>
      </c>
      <c r="C54" s="1676"/>
      <c r="E54" s="1683">
        <v>7500</v>
      </c>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918</v>
      </c>
      <c r="C57" s="1679"/>
      <c r="E57" s="1678">
        <f>SUM(E52:E56)</f>
        <v>57335</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104628.80000000028</v>
      </c>
      <c r="G59" s="1680">
        <f>G44-G57</f>
        <v>198849.04999999981</v>
      </c>
      <c r="I59" s="1680">
        <f>I44-I57</f>
        <v>223306.02905000001</v>
      </c>
      <c r="K59" s="1680">
        <f>K44-K57</f>
        <v>248056.17719674995</v>
      </c>
      <c r="M59" s="1680">
        <f>M44-M57</f>
        <v>273095.45678233588</v>
      </c>
      <c r="O59" s="1680">
        <f>O44-O57</f>
        <v>298419.32680746843</v>
      </c>
      <c r="Q59" s="1680">
        <f>Q44-Q57</f>
        <v>324022.71617277362</v>
      </c>
      <c r="S59" s="1680">
        <f>S44-S57</f>
        <v>349899.99575315509</v>
      </c>
      <c r="U59" s="1680">
        <f>U44-U57</f>
        <v>376044.94925860595</v>
      </c>
      <c r="W59" s="1680">
        <f>W44-W57</f>
        <v>402450.74283303577</v>
      </c>
      <c r="Y59" s="1680">
        <f>Y44-Y57</f>
        <v>429109.89334086282</v>
      </c>
      <c r="AA59" s="1680">
        <f>AA44-AA57</f>
        <v>456014.23528920673</v>
      </c>
      <c r="AC59" s="1680">
        <f>AC44-AC57</f>
        <v>483154.88633150235</v>
      </c>
      <c r="AE59" s="1680">
        <f>AE44-AE57</f>
        <v>510522.21129635791</v>
      </c>
      <c r="AG59" s="1680">
        <f>AG44-AG57</f>
        <v>538105.78468328249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1</v>
      </c>
      <c r="E61" s="1682">
        <f>E59*$C$61</f>
        <v>104628.80000000028</v>
      </c>
      <c r="G61" s="1688">
        <f>G59*$C$61</f>
        <v>198849.04999999981</v>
      </c>
      <c r="H61" s="1688"/>
      <c r="I61" s="1688">
        <f>I59*$C$61</f>
        <v>223306.02905000001</v>
      </c>
      <c r="J61" s="1688"/>
      <c r="K61" s="1688">
        <f>K59*$C$61</f>
        <v>248056.17719674995</v>
      </c>
      <c r="L61" s="1688"/>
      <c r="M61" s="1688">
        <f>M59*$C$61</f>
        <v>273095.45678233588</v>
      </c>
      <c r="N61" s="1688"/>
      <c r="O61" s="1688">
        <f>O59*$C$61</f>
        <v>298419.32680746843</v>
      </c>
      <c r="P61" s="1688"/>
      <c r="Q61" s="1688">
        <f>Q59*$C$61</f>
        <v>324022.71617277362</v>
      </c>
      <c r="R61" s="1688"/>
      <c r="S61" s="1688">
        <f>S59*$C$61</f>
        <v>349899.99575315509</v>
      </c>
      <c r="T61" s="1688"/>
      <c r="U61" s="1688">
        <f>U59*$C$61</f>
        <v>376044.94925860595</v>
      </c>
      <c r="V61" s="1688"/>
      <c r="W61" s="1688">
        <f>W59*$C$61</f>
        <v>402450.74283303577</v>
      </c>
      <c r="Y61" s="1688">
        <f>Y59*$C$61</f>
        <v>429109.89334086282</v>
      </c>
      <c r="AA61" s="1688">
        <f>AA59*$C$61</f>
        <v>456014.23528920673</v>
      </c>
      <c r="AC61" s="1688">
        <f>AC59*$C$61</f>
        <v>483154.88633150235</v>
      </c>
      <c r="AE61" s="1688">
        <f>AE59*$C$61</f>
        <v>510522.21129635791</v>
      </c>
      <c r="AG61" s="1688">
        <f>AG59*$C$61</f>
        <v>538105.78468328249</v>
      </c>
    </row>
    <row r="62" spans="1:35" s="1688" customFormat="1">
      <c r="A62" s="3376" t="s">
        <v>2585</v>
      </c>
      <c r="B62" s="3376"/>
      <c r="C62" s="337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918</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2234</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2233</v>
      </c>
      <c r="C74" s="353"/>
    </row>
    <row r="75" spans="1:33" s="352" customFormat="1">
      <c r="C75" s="353"/>
    </row>
    <row r="76" spans="1:33" s="371" customFormat="1" ht="30" customHeight="1">
      <c r="A76" s="3374" t="s">
        <v>2232</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3"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77" t="s">
        <v>981</v>
      </c>
      <c r="B1" s="3377"/>
      <c r="C1" s="3377"/>
      <c r="D1" s="3377"/>
      <c r="E1" s="3377"/>
      <c r="F1" s="3377"/>
      <c r="G1" s="3377"/>
      <c r="H1" s="3377"/>
      <c r="I1" s="3377"/>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1 Bedroom</v>
      </c>
      <c r="B4" s="668">
        <f>Application!G728</f>
        <v>10</v>
      </c>
      <c r="C4" s="659">
        <f>Application!O728</f>
        <v>447</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10</v>
      </c>
      <c r="C5" s="659">
        <f>Application!O729</f>
        <v>771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28</v>
      </c>
      <c r="C6" s="659">
        <f>Application!O730</f>
        <v>933</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36</v>
      </c>
      <c r="C7" s="659">
        <f>Application!O731</f>
        <v>933</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12</v>
      </c>
      <c r="C8" s="659">
        <f>Application!O732</f>
        <v>1095</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5</v>
      </c>
      <c r="C9" s="659">
        <f>Application!O733</f>
        <v>538</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5</v>
      </c>
      <c r="C10" s="659">
        <f>Application!O734</f>
        <v>927</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14</v>
      </c>
      <c r="C11" s="659">
        <f>Application!O735</f>
        <v>1121</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1</v>
      </c>
      <c r="C12" s="659">
        <f>Application!O736</f>
        <v>1121</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23</v>
      </c>
      <c r="C13" s="659">
        <f>Application!O737</f>
        <v>1315</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5</v>
      </c>
      <c r="C14" s="659">
        <f>Application!O738</f>
        <v>625</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5</v>
      </c>
      <c r="C15" s="659">
        <f>Application!O739</f>
        <v>1074</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13</v>
      </c>
      <c r="C16" s="659">
        <f>Application!O740</f>
        <v>1299</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1</v>
      </c>
      <c r="C17" s="659">
        <f>Application!O741</f>
        <v>1523</v>
      </c>
      <c r="D17" s="660"/>
      <c r="E17" s="477"/>
      <c r="F17" s="661">
        <f t="shared" si="0"/>
        <v>0</v>
      </c>
      <c r="G17" s="662"/>
      <c r="H17" s="659" t="str">
        <f t="shared" si="1"/>
        <v xml:space="preserve"> </v>
      </c>
      <c r="I17" s="661" t="str">
        <f t="shared" si="2"/>
        <v xml:space="preserve"> </v>
      </c>
      <c r="J17" s="326"/>
      <c r="K17" s="474"/>
    </row>
    <row r="18" spans="1:11">
      <c r="A18" s="659" t="str">
        <f>Application!B742</f>
        <v>3 Bedrooms</v>
      </c>
      <c r="B18" s="668">
        <f>Application!G742</f>
        <v>24</v>
      </c>
      <c r="C18" s="659">
        <f>Application!O742</f>
        <v>1523</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202874</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4"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26" sqref="A26"/>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1175000</v>
      </c>
      <c r="C5" s="422">
        <f>'Sources and Uses Budget'!$C4</f>
        <v>1175000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100000</v>
      </c>
      <c r="C7" s="422">
        <f>'Sources and Uses Budget'!$C6</f>
        <v>100000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1275000</v>
      </c>
      <c r="C9" s="426">
        <f>SUM(C5:C8)</f>
        <v>1275000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1275000</v>
      </c>
      <c r="C13" s="426">
        <f>SUM(C9+C12)</f>
        <v>1275000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100000</v>
      </c>
      <c r="C14" s="422">
        <f>'Sources and Uses Budget'!$C13</f>
        <v>100000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2089244</v>
      </c>
      <c r="C30" s="422">
        <f>'Sources and Uses Budget'!$C29</f>
        <v>2089244</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30000000</v>
      </c>
      <c r="C31" s="422">
        <f>'Sources and Uses Budget'!$C30</f>
        <v>30000000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2423988</v>
      </c>
      <c r="C32" s="422">
        <f>'Sources and Uses Budget'!$C31</f>
        <v>2423988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1224759</v>
      </c>
      <c r="C33" s="422">
        <f>'Sources and Uses Budget'!$C32</f>
        <v>1224759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1000000</v>
      </c>
      <c r="C34" s="422">
        <f>'Sources and Uses Budget'!$C33</f>
        <v>1000000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695033</v>
      </c>
      <c r="C36" s="422">
        <f>'Sources and Uses Budget'!$C35</f>
        <v>695033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37433024</v>
      </c>
      <c r="C39" s="426">
        <f>SUM(C30:C38)</f>
        <v>37433024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1473000</v>
      </c>
      <c r="C41" s="422">
        <f>'Sources and Uses Budget'!$C40</f>
        <v>1473000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1473000</v>
      </c>
      <c r="C43" s="426">
        <f>SUM(C41:C42)</f>
        <v>1473000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3180012</v>
      </c>
      <c r="C46" s="422">
        <f>'Sources and Uses Budget'!$C45</f>
        <v>3180012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530460</v>
      </c>
      <c r="C47" s="422">
        <f>'Sources and Uses Budget'!$C46</f>
        <v>530460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598136</v>
      </c>
      <c r="C50" s="422">
        <f>'Sources and Uses Budget'!$C49</f>
        <v>598136</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989</v>
      </c>
      <c r="C52" s="422">
        <f>'Sources and Uses Budget'!$C51</f>
        <v>989</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133667</v>
      </c>
      <c r="C53" s="422">
        <f>'Sources and Uses Budget'!$C52</f>
        <v>133667</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4523264</v>
      </c>
      <c r="C55" s="429">
        <f>SUM(C46:C54)</f>
        <v>4523264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83000</v>
      </c>
      <c r="C57" s="422">
        <f>'Sources and Uses Budget'!$C56</f>
        <v>83000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103000</v>
      </c>
      <c r="C63" s="426">
        <f>SUM(C57:C62)</f>
        <v>103000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44907288</v>
      </c>
      <c r="C64" s="426">
        <f>SUM(C9+C12+C14+C15+C17+C26+C28+C39+C43+C44+C55+C63)</f>
        <v>44907288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(Corporate Legal)</v>
      </c>
      <c r="B70" s="422">
        <f>'Sources and Uses Budget'!$C69</f>
        <v>131500</v>
      </c>
      <c r="C70" s="422">
        <f>'Sources and Uses Budget'!$C69</f>
        <v>131500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201500</v>
      </c>
      <c r="C71" s="426">
        <f>SUM(C66:C70)</f>
        <v>201500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640</v>
      </c>
      <c r="B76" s="422">
        <f>'Sources and Uses Budget'!$C75</f>
        <v>735826</v>
      </c>
      <c r="C76" s="422">
        <f>'Sources and Uses Budget'!$C75</f>
        <v>735826</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641</v>
      </c>
      <c r="B78" s="426">
        <f>SUM(B73:B77)</f>
        <v>735826</v>
      </c>
      <c r="C78" s="426">
        <f>SUM(C73:C77)</f>
        <v>735826</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1725662</v>
      </c>
      <c r="C80" s="422">
        <f>'Sources and Uses Budget'!$C79</f>
        <v>1725662</v>
      </c>
      <c r="D80" s="426">
        <f t="shared" si="1"/>
        <v>0</v>
      </c>
      <c r="E80" s="424"/>
      <c r="F80" s="423"/>
      <c r="G80" s="554"/>
    </row>
    <row r="81" spans="1:7" s="548" customFormat="1">
      <c r="A81" s="863" t="s">
        <v>61</v>
      </c>
      <c r="B81" s="422">
        <f>'Sources and Uses Budget'!$C80</f>
        <v>507985</v>
      </c>
      <c r="C81" s="422">
        <f>'Sources and Uses Budget'!$C80</f>
        <v>507985</v>
      </c>
      <c r="D81" s="426">
        <f>C81-B81</f>
        <v>0</v>
      </c>
      <c r="E81" s="424"/>
      <c r="F81" s="423"/>
      <c r="G81" s="554"/>
    </row>
    <row r="82" spans="1:7" s="548" customFormat="1">
      <c r="A82" s="427" t="s">
        <v>1425</v>
      </c>
      <c r="B82" s="426">
        <f>SUM(B80:B81)</f>
        <v>2233647</v>
      </c>
      <c r="C82" s="426">
        <f>SUM(C80:C81)</f>
        <v>2233647</v>
      </c>
      <c r="D82" s="426">
        <f t="shared" si="1"/>
        <v>0</v>
      </c>
      <c r="E82" s="424"/>
      <c r="F82" s="423"/>
      <c r="G82" s="554"/>
    </row>
    <row r="83" spans="1:7" s="548" customFormat="1">
      <c r="A83" s="420" t="s">
        <v>825</v>
      </c>
      <c r="B83" s="420"/>
      <c r="C83" s="420"/>
      <c r="D83" s="420"/>
      <c r="E83" s="440"/>
      <c r="F83" s="420"/>
      <c r="G83" s="554"/>
    </row>
    <row r="84" spans="1:7" s="548" customFormat="1" ht="13.7" customHeight="1">
      <c r="A84" s="425" t="s">
        <v>826</v>
      </c>
      <c r="B84" s="422">
        <f>'Sources and Uses Budget'!$C83</f>
        <v>110750</v>
      </c>
      <c r="C84" s="422">
        <f>'Sources and Uses Budget'!$C83</f>
        <v>110750</v>
      </c>
      <c r="D84" s="426">
        <f t="shared" si="1"/>
        <v>0</v>
      </c>
      <c r="E84" s="424"/>
      <c r="F84" s="423"/>
      <c r="G84" s="554"/>
    </row>
    <row r="85" spans="1:7" s="548" customFormat="1">
      <c r="A85" s="425" t="s">
        <v>827</v>
      </c>
      <c r="B85" s="422">
        <f>'Sources and Uses Budget'!$C84</f>
        <v>635875</v>
      </c>
      <c r="C85" s="422">
        <f>'Sources and Uses Budget'!$C84</f>
        <v>635875</v>
      </c>
      <c r="D85" s="426">
        <f t="shared" si="1"/>
        <v>0</v>
      </c>
      <c r="E85" s="424"/>
      <c r="F85" s="423"/>
      <c r="G85" s="554"/>
    </row>
    <row r="86" spans="1:7" s="548" customFormat="1">
      <c r="A86" s="425" t="s">
        <v>828</v>
      </c>
      <c r="B86" s="422">
        <f>'Sources and Uses Budget'!$C85</f>
        <v>4000000</v>
      </c>
      <c r="C86" s="422">
        <f>'Sources and Uses Budget'!$C85</f>
        <v>4000000</v>
      </c>
      <c r="D86" s="426">
        <f t="shared" si="1"/>
        <v>0</v>
      </c>
      <c r="E86" s="424"/>
      <c r="F86" s="423"/>
      <c r="G86" s="554"/>
    </row>
    <row r="87" spans="1:7" s="548" customFormat="1">
      <c r="A87" s="425" t="s">
        <v>829</v>
      </c>
      <c r="B87" s="422">
        <f>'Sources and Uses Budget'!$C86</f>
        <v>1378844</v>
      </c>
      <c r="C87" s="422">
        <f>'Sources and Uses Budget'!$C86</f>
        <v>1378844</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153226</v>
      </c>
      <c r="C89" s="422">
        <f>'Sources and Uses Budget'!$C88</f>
        <v>153226</v>
      </c>
      <c r="D89" s="426">
        <f t="shared" si="1"/>
        <v>0</v>
      </c>
      <c r="E89" s="424"/>
      <c r="F89" s="423"/>
      <c r="G89" s="554"/>
    </row>
    <row r="90" spans="1:7" s="548" customFormat="1">
      <c r="A90" s="425" t="s">
        <v>832</v>
      </c>
      <c r="B90" s="422">
        <f>'Sources and Uses Budget'!$C89</f>
        <v>290000</v>
      </c>
      <c r="C90" s="422">
        <f>'Sources and Uses Budget'!$C89</f>
        <v>290000</v>
      </c>
      <c r="D90" s="426">
        <f t="shared" si="1"/>
        <v>0</v>
      </c>
      <c r="E90" s="424"/>
      <c r="F90" s="423"/>
      <c r="G90" s="554"/>
    </row>
    <row r="91" spans="1:7" s="548" customFormat="1">
      <c r="A91" s="425" t="s">
        <v>833</v>
      </c>
      <c r="B91" s="422">
        <f>'Sources and Uses Budget'!$C90</f>
        <v>11000</v>
      </c>
      <c r="C91" s="422">
        <f>'Sources and Uses Budget'!$C90</f>
        <v>11000</v>
      </c>
      <c r="D91" s="426">
        <f t="shared" si="1"/>
        <v>0</v>
      </c>
      <c r="E91" s="424"/>
      <c r="F91" s="423"/>
      <c r="G91" s="554"/>
    </row>
    <row r="92" spans="1:7" s="548" customFormat="1">
      <c r="A92" s="431" t="s">
        <v>391</v>
      </c>
      <c r="B92" s="422">
        <f>'Sources and Uses Budget'!$C91</f>
        <v>45000</v>
      </c>
      <c r="C92" s="422">
        <f>'Sources and Uses Budget'!$C91</f>
        <v>45000</v>
      </c>
      <c r="D92" s="426">
        <f t="shared" si="1"/>
        <v>0</v>
      </c>
      <c r="E92" s="424"/>
      <c r="F92" s="423"/>
      <c r="G92" s="554"/>
    </row>
    <row r="93" spans="1:7" s="548" customFormat="1">
      <c r="A93" s="862" t="s">
        <v>1427</v>
      </c>
      <c r="B93" s="422">
        <f>'Sources and Uses Budget'!$C92</f>
        <v>8000</v>
      </c>
      <c r="C93" s="422">
        <f>'Sources and Uses Budget'!$C92</f>
        <v>8000</v>
      </c>
      <c r="D93" s="426">
        <f t="shared" si="1"/>
        <v>0</v>
      </c>
      <c r="E93" s="424"/>
      <c r="F93" s="423"/>
      <c r="G93" s="554"/>
    </row>
    <row r="94" spans="1:7" s="548" customFormat="1">
      <c r="A94" s="428" t="s">
        <v>35</v>
      </c>
      <c r="B94" s="422">
        <f>'Sources and Uses Budget'!$C93</f>
        <v>88000</v>
      </c>
      <c r="C94" s="422">
        <f>'Sources and Uses Budget'!$C93</f>
        <v>88000</v>
      </c>
      <c r="D94" s="426">
        <f t="shared" si="1"/>
        <v>0</v>
      </c>
      <c r="E94" s="424"/>
      <c r="F94" s="423"/>
      <c r="G94" s="554"/>
    </row>
    <row r="95" spans="1:7" s="548" customFormat="1">
      <c r="A95" s="428" t="s">
        <v>35</v>
      </c>
      <c r="B95" s="422">
        <f>'Sources and Uses Budget'!$C94</f>
        <v>54000</v>
      </c>
      <c r="C95" s="422">
        <f>'Sources and Uses Budget'!$C94</f>
        <v>54000</v>
      </c>
      <c r="D95" s="426">
        <f t="shared" si="1"/>
        <v>0</v>
      </c>
      <c r="E95" s="424"/>
      <c r="F95" s="423"/>
      <c r="G95" s="554"/>
    </row>
    <row r="96" spans="1:7" s="548" customFormat="1">
      <c r="A96" s="428" t="s">
        <v>35</v>
      </c>
      <c r="B96" s="422">
        <f>'Sources and Uses Budget'!$C95</f>
        <v>45000</v>
      </c>
      <c r="C96" s="422">
        <f>'Sources and Uses Budget'!$C95</f>
        <v>45000</v>
      </c>
      <c r="D96" s="426">
        <f t="shared" si="1"/>
        <v>0</v>
      </c>
      <c r="E96" s="424"/>
      <c r="F96" s="423"/>
      <c r="G96" s="554"/>
    </row>
    <row r="97" spans="1:7" s="548" customFormat="1">
      <c r="A97" s="427" t="s">
        <v>834</v>
      </c>
      <c r="B97" s="426">
        <f>SUM(B84:B96)</f>
        <v>6819695</v>
      </c>
      <c r="C97" s="426">
        <f>SUM(C84:C96)</f>
        <v>6819695</v>
      </c>
      <c r="D97" s="426">
        <f t="shared" si="1"/>
        <v>0</v>
      </c>
      <c r="E97" s="424"/>
      <c r="F97" s="423"/>
      <c r="G97" s="554"/>
    </row>
    <row r="98" spans="1:7" s="548" customFormat="1">
      <c r="A98" s="427" t="s">
        <v>835</v>
      </c>
      <c r="B98" s="426">
        <f>SUM(B64+B71+B78+B82+B97)</f>
        <v>54897956</v>
      </c>
      <c r="C98" s="426">
        <f>SUM(C64+C71+C78+C82+C97)</f>
        <v>54897956</v>
      </c>
      <c r="D98" s="426">
        <f t="shared" si="1"/>
        <v>0</v>
      </c>
      <c r="E98" s="424"/>
      <c r="F98" s="423"/>
      <c r="G98" s="554"/>
    </row>
    <row r="99" spans="1:7" s="548" customFormat="1">
      <c r="A99" s="420" t="s">
        <v>836</v>
      </c>
      <c r="B99" s="420"/>
      <c r="C99" s="420"/>
      <c r="D99" s="420"/>
      <c r="E99" s="440"/>
      <c r="F99" s="420"/>
      <c r="G99" s="554"/>
    </row>
    <row r="100" spans="1:7" s="547" customFormat="1">
      <c r="A100" s="215" t="s">
        <v>837</v>
      </c>
      <c r="B100" s="422">
        <f>'Sources and Uses Budget'!$C99</f>
        <v>7532710</v>
      </c>
      <c r="C100" s="422">
        <f>'Sources and Uses Budget'!$C99</f>
        <v>7532710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7532710</v>
      </c>
      <c r="C105" s="426">
        <f>SUM(C100:C104)</f>
        <v>7532710</v>
      </c>
      <c r="D105" s="426">
        <f t="shared" si="1"/>
        <v>0</v>
      </c>
      <c r="E105" s="424"/>
      <c r="F105" s="423"/>
      <c r="G105" s="552"/>
    </row>
    <row r="106" spans="1:7" s="547" customFormat="1">
      <c r="A106" s="427" t="s">
        <v>840</v>
      </c>
      <c r="B106" s="429">
        <f>SUM(B98+B105)</f>
        <v>62430666</v>
      </c>
      <c r="C106" s="429">
        <f>SUM(C98+C105)</f>
        <v>62430666</v>
      </c>
      <c r="D106" s="426">
        <f t="shared" si="1"/>
        <v>0</v>
      </c>
      <c r="E106" s="424"/>
      <c r="F106" s="423"/>
      <c r="G106" s="552"/>
    </row>
    <row r="107" spans="1:7" s="547" customFormat="1">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9" t="s">
        <v>1160</v>
      </c>
      <c r="B2" s="1919"/>
      <c r="C2" s="1920"/>
      <c r="D2" s="1920"/>
      <c r="E2" s="1920"/>
      <c r="F2" s="1920"/>
      <c r="G2" s="1920"/>
    </row>
    <row r="3" spans="1:9" s="256" customFormat="1">
      <c r="A3" s="1919" t="s">
        <v>1090</v>
      </c>
      <c r="B3" s="1919"/>
      <c r="C3" s="1920"/>
      <c r="D3" s="1920"/>
      <c r="E3" s="1920"/>
      <c r="F3" s="1920"/>
      <c r="G3" s="1920"/>
      <c r="I3" s="678" t="s">
        <v>317</v>
      </c>
    </row>
    <row r="4" spans="1:9">
      <c r="I4" s="679" t="s">
        <v>1161</v>
      </c>
    </row>
    <row r="5" spans="1:9" s="39" customFormat="1">
      <c r="A5" s="1923" t="s">
        <v>1091</v>
      </c>
      <c r="B5" s="1923"/>
      <c r="C5" s="1924"/>
      <c r="D5" s="1924"/>
      <c r="E5" s="1924"/>
      <c r="F5" s="1924"/>
      <c r="G5" s="1924"/>
      <c r="I5" s="679" t="s">
        <v>1162</v>
      </c>
    </row>
    <row r="6" spans="1:9" s="39" customFormat="1">
      <c r="A6" s="1923" t="s">
        <v>882</v>
      </c>
      <c r="B6" s="1923"/>
      <c r="C6" s="1924"/>
      <c r="D6" s="1924"/>
      <c r="E6" s="1924"/>
      <c r="F6" s="1924"/>
      <c r="G6" s="1924"/>
      <c r="I6" s="678" t="s">
        <v>626</v>
      </c>
    </row>
    <row r="7" spans="1:9" ht="11.85" customHeight="1"/>
    <row r="8" spans="1:9" s="39" customFormat="1">
      <c r="A8" s="1921" t="s">
        <v>1257</v>
      </c>
      <c r="B8" s="1921"/>
      <c r="C8" s="1922"/>
      <c r="D8" s="1922"/>
      <c r="E8" s="1922"/>
      <c r="F8" s="1922"/>
      <c r="G8" s="1922"/>
    </row>
    <row r="9" spans="1:9" s="39" customFormat="1">
      <c r="A9" s="1921" t="s">
        <v>1258</v>
      </c>
      <c r="B9" s="1921"/>
      <c r="C9" s="1922"/>
      <c r="D9" s="1922"/>
      <c r="E9" s="1922"/>
      <c r="F9" s="1922"/>
      <c r="G9" s="1922"/>
    </row>
    <row r="10" spans="1:9">
      <c r="A10" s="258"/>
      <c r="B10" s="258"/>
      <c r="C10" s="255"/>
      <c r="D10" s="255"/>
      <c r="E10" s="255"/>
      <c r="F10" s="255"/>
    </row>
    <row r="11" spans="1:9">
      <c r="A11" s="1925" t="s">
        <v>1260</v>
      </c>
      <c r="B11" s="1925"/>
      <c r="C11" s="1925"/>
      <c r="D11" s="1925"/>
      <c r="E11" s="1925"/>
      <c r="F11" s="1925"/>
      <c r="G11" s="1925"/>
    </row>
    <row r="12" spans="1:9">
      <c r="A12" s="255"/>
      <c r="B12" s="674"/>
      <c r="E12" s="50"/>
    </row>
    <row r="13" spans="1:9" ht="13.15" customHeight="1">
      <c r="C13" s="255"/>
      <c r="D13" s="1943" t="s">
        <v>1259</v>
      </c>
      <c r="E13" s="1943"/>
      <c r="F13" s="1943"/>
    </row>
    <row r="14" spans="1:9">
      <c r="C14" s="255"/>
      <c r="D14" s="1943"/>
      <c r="E14" s="1943"/>
      <c r="F14" s="1943"/>
    </row>
    <row r="15" spans="1:9">
      <c r="A15" s="260"/>
      <c r="B15" s="260"/>
      <c r="C15" s="260"/>
      <c r="D15" s="1882" t="s">
        <v>1242</v>
      </c>
      <c r="E15" s="1882"/>
      <c r="F15" s="1882"/>
    </row>
    <row r="16" spans="1:9">
      <c r="A16" s="260"/>
      <c r="B16" s="260"/>
      <c r="C16" s="260"/>
      <c r="D16" s="328"/>
    </row>
    <row r="17" spans="1:7" ht="14.25">
      <c r="A17" s="261"/>
      <c r="B17" s="680" t="s">
        <v>317</v>
      </c>
      <c r="C17" s="314"/>
      <c r="D17" s="1869" t="s">
        <v>1243</v>
      </c>
      <c r="E17" s="1869"/>
      <c r="F17" s="1869"/>
    </row>
    <row r="18" spans="1:7">
      <c r="A18" s="260"/>
      <c r="B18" s="260"/>
      <c r="C18" s="314"/>
      <c r="D18" s="1869"/>
      <c r="E18" s="1869"/>
      <c r="F18" s="1869"/>
    </row>
    <row r="19" spans="1:7">
      <c r="A19" s="260"/>
      <c r="B19" s="260"/>
      <c r="C19" s="314"/>
      <c r="D19" s="1869"/>
      <c r="E19" s="1869"/>
      <c r="F19" s="1869"/>
    </row>
    <row r="20" spans="1:7">
      <c r="A20" s="260"/>
      <c r="B20" s="260"/>
      <c r="C20" s="260"/>
    </row>
    <row r="21" spans="1:7" ht="14.25">
      <c r="A21" s="261"/>
      <c r="B21" s="680" t="s">
        <v>317</v>
      </c>
      <c r="D21" s="1935" t="s">
        <v>1244</v>
      </c>
      <c r="E21" s="1935"/>
      <c r="F21" s="1935"/>
    </row>
    <row r="22" spans="1:7" ht="14.25">
      <c r="A22" s="261"/>
      <c r="B22" s="261"/>
      <c r="D22" s="135"/>
    </row>
    <row r="23" spans="1:7" ht="14.25">
      <c r="A23" s="261"/>
      <c r="B23" s="680" t="s">
        <v>317</v>
      </c>
      <c r="D23" s="1869" t="s">
        <v>1245</v>
      </c>
      <c r="E23" s="1869"/>
      <c r="F23" s="1869"/>
    </row>
    <row r="24" spans="1:7" ht="14.25">
      <c r="A24" s="261"/>
      <c r="B24" s="261"/>
      <c r="D24" s="1869"/>
      <c r="E24" s="1869"/>
      <c r="F24" s="1869"/>
    </row>
    <row r="25" spans="1:7"/>
    <row r="26" spans="1:7" ht="14.25">
      <c r="A26" s="261"/>
      <c r="B26" s="680" t="s">
        <v>317</v>
      </c>
      <c r="D26" s="1904" t="s">
        <v>1246</v>
      </c>
      <c r="E26" s="1904"/>
      <c r="F26" s="1904"/>
    </row>
    <row r="27" spans="1:7">
      <c r="D27" s="1904"/>
      <c r="E27" s="1904"/>
      <c r="F27" s="1904"/>
    </row>
    <row r="28" spans="1:7">
      <c r="D28" s="1904"/>
      <c r="E28" s="1904"/>
      <c r="F28" s="1904"/>
    </row>
    <row r="29" spans="1:7">
      <c r="A29" s="559"/>
      <c r="C29" s="559"/>
      <c r="D29" s="1904"/>
      <c r="E29" s="1904"/>
      <c r="F29" s="1904"/>
    </row>
    <row r="30" spans="1:7">
      <c r="A30" s="559"/>
      <c r="C30" s="559"/>
      <c r="D30" s="1904"/>
      <c r="E30" s="1904"/>
      <c r="F30" s="1904"/>
    </row>
    <row r="31" spans="1:7" s="39" customFormat="1">
      <c r="A31" s="273"/>
      <c r="B31" s="273"/>
      <c r="C31" s="273"/>
      <c r="D31" s="444"/>
      <c r="E31" s="130"/>
      <c r="F31" s="130"/>
      <c r="G31" s="130"/>
    </row>
    <row r="32" spans="1:7" s="39" customFormat="1">
      <c r="A32" s="273"/>
      <c r="B32" s="680" t="s">
        <v>317</v>
      </c>
      <c r="C32" s="273"/>
      <c r="D32" s="1870" t="s">
        <v>1247</v>
      </c>
      <c r="E32" s="1870"/>
      <c r="F32" s="1870"/>
      <c r="G32" s="130"/>
    </row>
    <row r="33" spans="1:7" s="39" customFormat="1">
      <c r="A33" s="273"/>
      <c r="B33" s="273"/>
      <c r="C33" s="273"/>
      <c r="D33" s="1870"/>
      <c r="E33" s="1870"/>
      <c r="F33" s="1870"/>
      <c r="G33" s="130"/>
    </row>
    <row r="34" spans="1:7" ht="14.25">
      <c r="A34" s="261"/>
      <c r="B34" s="261"/>
      <c r="D34" s="405"/>
    </row>
    <row r="35" spans="1:7" ht="14.45" customHeight="1">
      <c r="A35" s="261"/>
      <c r="B35" s="680" t="s">
        <v>317</v>
      </c>
      <c r="C35" s="555"/>
      <c r="D35" s="1870" t="s">
        <v>1248</v>
      </c>
      <c r="E35" s="1870"/>
      <c r="F35" s="1870"/>
    </row>
    <row r="36" spans="1:7" ht="14.25">
      <c r="A36" s="261"/>
      <c r="B36" s="261"/>
      <c r="C36" s="555"/>
      <c r="D36" s="1870"/>
      <c r="E36" s="1870"/>
      <c r="F36" s="1870"/>
    </row>
    <row r="37" spans="1:7" ht="14.25">
      <c r="A37" s="261"/>
      <c r="B37" s="261"/>
      <c r="C37" s="555"/>
      <c r="D37" s="1870"/>
      <c r="E37" s="1870"/>
      <c r="F37" s="1870"/>
    </row>
    <row r="38" spans="1:7" ht="14.25">
      <c r="A38" s="261"/>
      <c r="B38" s="261"/>
      <c r="C38" s="555"/>
      <c r="D38" s="12"/>
    </row>
    <row r="39" spans="1:7" s="683" customFormat="1" ht="14.25">
      <c r="A39" s="261"/>
      <c r="B39" s="680" t="s">
        <v>317</v>
      </c>
      <c r="C39" s="700"/>
      <c r="D39" s="1870" t="s">
        <v>1249</v>
      </c>
      <c r="E39" s="1870"/>
      <c r="F39" s="1870"/>
      <c r="G39" s="7"/>
    </row>
    <row r="40" spans="1:7" s="683" customFormat="1" ht="14.25">
      <c r="A40" s="261"/>
      <c r="B40" s="261"/>
      <c r="C40" s="700"/>
      <c r="D40" s="1870"/>
      <c r="E40" s="1870"/>
      <c r="F40" s="1870"/>
      <c r="G40" s="7"/>
    </row>
    <row r="41" spans="1:7" s="683" customFormat="1" ht="14.25">
      <c r="A41" s="261"/>
      <c r="B41" s="261"/>
      <c r="C41" s="700"/>
      <c r="D41" s="1870"/>
      <c r="E41" s="1870"/>
      <c r="F41" s="1870"/>
      <c r="G41" s="7"/>
    </row>
    <row r="42" spans="1:7" s="683" customFormat="1" ht="14.25">
      <c r="A42" s="261"/>
      <c r="B42" s="261"/>
      <c r="C42" s="700"/>
      <c r="D42" s="1870"/>
      <c r="E42" s="1870"/>
      <c r="F42" s="1870"/>
      <c r="G42" s="7"/>
    </row>
    <row r="43" spans="1:7" s="683" customFormat="1" ht="14.25">
      <c r="A43" s="261"/>
      <c r="B43" s="261"/>
      <c r="C43" s="700"/>
      <c r="D43" s="1870"/>
      <c r="E43" s="1870"/>
      <c r="F43" s="1870"/>
      <c r="G43" s="7"/>
    </row>
    <row r="44" spans="1:7" s="683" customFormat="1" ht="14.25">
      <c r="A44" s="261"/>
      <c r="B44" s="261"/>
      <c r="C44" s="700"/>
      <c r="D44" s="699"/>
      <c r="E44" s="699"/>
      <c r="F44" s="699"/>
      <c r="G44" s="7"/>
    </row>
    <row r="45" spans="1:7" ht="14.25">
      <c r="A45" s="261"/>
      <c r="B45" s="680" t="s">
        <v>317</v>
      </c>
      <c r="C45" s="555"/>
      <c r="D45" s="1870" t="s">
        <v>1250</v>
      </c>
      <c r="E45" s="1870"/>
      <c r="F45" s="1870"/>
    </row>
    <row r="46" spans="1:7" ht="14.25">
      <c r="A46" s="261"/>
      <c r="B46" s="261"/>
      <c r="C46" s="555"/>
      <c r="D46" s="1870"/>
      <c r="E46" s="1870"/>
      <c r="F46" s="1870"/>
    </row>
    <row r="47" spans="1:7" ht="14.25">
      <c r="A47" s="261"/>
      <c r="B47" s="261"/>
      <c r="C47" s="555"/>
      <c r="D47" s="1870"/>
      <c r="E47" s="1870"/>
      <c r="F47" s="1870"/>
    </row>
    <row r="48" spans="1:7" ht="23.25" customHeight="1">
      <c r="A48" s="261"/>
      <c r="B48" s="261"/>
      <c r="C48" s="555"/>
      <c r="D48" s="1870"/>
      <c r="E48" s="1870"/>
      <c r="F48" s="1870"/>
    </row>
    <row r="49" spans="1:7" ht="14.25">
      <c r="A49" s="261"/>
      <c r="B49" s="261"/>
      <c r="D49" s="151"/>
    </row>
    <row r="50" spans="1:7" ht="14.45" customHeight="1">
      <c r="A50" s="261"/>
      <c r="B50" s="680" t="s">
        <v>317</v>
      </c>
      <c r="D50" s="1870" t="s">
        <v>1251</v>
      </c>
      <c r="E50" s="1870"/>
      <c r="F50" s="1870"/>
    </row>
    <row r="51" spans="1:7" ht="14.25">
      <c r="A51" s="261"/>
      <c r="B51" s="261"/>
      <c r="D51" s="1870"/>
      <c r="E51" s="1870"/>
      <c r="F51" s="1870"/>
    </row>
    <row r="52" spans="1:7" ht="14.25">
      <c r="A52" s="261"/>
      <c r="B52" s="261"/>
      <c r="D52" s="1870"/>
      <c r="E52" s="1870"/>
      <c r="F52" s="1870"/>
    </row>
    <row r="53" spans="1:7" s="2" customFormat="1" ht="14.25">
      <c r="A53" s="261"/>
      <c r="B53" s="261"/>
      <c r="C53" s="557"/>
      <c r="D53" s="239"/>
      <c r="E53" s="22"/>
      <c r="F53" s="22"/>
      <c r="G53" s="22"/>
    </row>
    <row r="54" spans="1:7" s="2" customFormat="1" ht="14.25">
      <c r="A54" s="404"/>
      <c r="B54" s="680" t="s">
        <v>317</v>
      </c>
      <c r="C54" s="558"/>
      <c r="D54" s="1870" t="s">
        <v>1252</v>
      </c>
      <c r="E54" s="1870"/>
      <c r="F54" s="1870"/>
      <c r="G54" s="22"/>
    </row>
    <row r="55" spans="1:7" s="2" customFormat="1" ht="14.25">
      <c r="A55" s="404"/>
      <c r="B55" s="404"/>
      <c r="C55" s="558"/>
      <c r="D55" s="1870"/>
      <c r="E55" s="1870"/>
      <c r="F55" s="1870"/>
      <c r="G55" s="22"/>
    </row>
    <row r="56" spans="1:7" s="39" customFormat="1">
      <c r="A56" s="273"/>
      <c r="B56" s="273"/>
      <c r="C56" s="273"/>
      <c r="D56" s="444"/>
      <c r="E56" s="130"/>
      <c r="F56" s="130"/>
      <c r="G56" s="130"/>
    </row>
    <row r="57" spans="1:7" ht="14.25">
      <c r="A57" s="261"/>
      <c r="B57" s="680" t="s">
        <v>317</v>
      </c>
      <c r="D57" s="1870" t="s">
        <v>1253</v>
      </c>
      <c r="E57" s="1870"/>
      <c r="F57" s="1870"/>
    </row>
    <row r="58" spans="1:7">
      <c r="D58" s="1870"/>
      <c r="E58" s="1870"/>
      <c r="F58" s="1870"/>
    </row>
    <row r="59" spans="1:7">
      <c r="D59" s="1870"/>
      <c r="E59" s="1870"/>
      <c r="F59" s="1870"/>
    </row>
    <row r="60" spans="1:7" s="683" customFormat="1">
      <c r="A60" s="700"/>
      <c r="B60" s="700"/>
      <c r="C60" s="700"/>
      <c r="D60" s="679"/>
      <c r="E60" s="7"/>
      <c r="F60" s="7"/>
      <c r="G60" s="7"/>
    </row>
    <row r="61" spans="1:7" ht="14.25">
      <c r="A61" s="261"/>
      <c r="B61" s="680" t="s">
        <v>317</v>
      </c>
      <c r="D61" s="1870" t="s">
        <v>1254</v>
      </c>
      <c r="E61" s="1870"/>
      <c r="F61" s="1870"/>
    </row>
    <row r="62" spans="1:7">
      <c r="D62" s="1870"/>
      <c r="E62" s="1870"/>
      <c r="F62" s="1870"/>
    </row>
    <row r="63" spans="1:7"/>
    <row r="64" spans="1:7" ht="14.25">
      <c r="A64" s="261"/>
      <c r="B64" s="680" t="s">
        <v>317</v>
      </c>
      <c r="D64" s="1870" t="s">
        <v>1255</v>
      </c>
      <c r="E64" s="1870"/>
      <c r="F64" s="1870"/>
    </row>
    <row r="65" spans="1:7">
      <c r="D65" s="1870"/>
      <c r="E65" s="1870"/>
      <c r="F65" s="1870"/>
    </row>
    <row r="66" spans="1:7">
      <c r="A66" s="556"/>
      <c r="C66" s="556"/>
      <c r="D66" s="1870"/>
      <c r="E66" s="1870"/>
      <c r="F66" s="1870"/>
    </row>
    <row r="67" spans="1:7">
      <c r="D67" s="12"/>
    </row>
    <row r="68" spans="1:7" ht="14.25">
      <c r="A68" s="261"/>
      <c r="B68" s="680" t="s">
        <v>317</v>
      </c>
      <c r="D68" s="1869" t="s">
        <v>1256</v>
      </c>
      <c r="E68" s="1869"/>
      <c r="F68" s="1869"/>
    </row>
    <row r="69" spans="1:7">
      <c r="D69" s="1869"/>
      <c r="E69" s="1869"/>
      <c r="F69" s="1869"/>
    </row>
    <row r="70" spans="1:7" ht="14.25">
      <c r="A70" s="261"/>
      <c r="B70" s="261"/>
      <c r="D70" s="135"/>
    </row>
    <row r="71" spans="1:7">
      <c r="A71" s="1889" t="s">
        <v>1163</v>
      </c>
      <c r="B71" s="1889"/>
      <c r="C71" s="1889"/>
      <c r="D71" s="1889"/>
      <c r="E71" s="1889"/>
      <c r="F71" s="1889"/>
      <c r="G71" s="1889"/>
    </row>
    <row r="72" spans="1:7"/>
    <row r="73" spans="1:7">
      <c r="C73" s="262"/>
      <c r="D73" s="1918" t="s">
        <v>1261</v>
      </c>
      <c r="E73" s="1918"/>
      <c r="F73" s="1918"/>
    </row>
    <row r="74" spans="1:7">
      <c r="A74" s="135"/>
      <c r="B74" s="135"/>
      <c r="D74" s="1869" t="s">
        <v>1288</v>
      </c>
      <c r="E74" s="1869"/>
      <c r="F74" s="1869"/>
    </row>
    <row r="75" spans="1:7">
      <c r="A75" s="135"/>
      <c r="B75" s="135"/>
    </row>
    <row r="76" spans="1:7" ht="14.25">
      <c r="A76" s="261"/>
      <c r="B76" s="680" t="s">
        <v>317</v>
      </c>
      <c r="D76" s="1869" t="s">
        <v>1262</v>
      </c>
      <c r="E76" s="1869"/>
      <c r="F76" s="1869"/>
    </row>
    <row r="77" spans="1:7" ht="14.25">
      <c r="A77" s="261"/>
      <c r="B77" s="261"/>
      <c r="D77" s="1869"/>
      <c r="E77" s="1869"/>
      <c r="F77" s="1869"/>
    </row>
    <row r="78" spans="1:7" ht="14.25">
      <c r="A78" s="261"/>
      <c r="B78" s="261"/>
      <c r="D78" s="1869"/>
      <c r="E78" s="1869"/>
      <c r="F78" s="1869"/>
    </row>
    <row r="79" spans="1:7" ht="14.25">
      <c r="A79" s="261"/>
      <c r="B79" s="261"/>
      <c r="D79" s="1869"/>
      <c r="E79" s="1869"/>
      <c r="F79" s="1869"/>
    </row>
    <row r="80" spans="1:7" ht="14.25">
      <c r="A80" s="261"/>
      <c r="B80" s="261"/>
      <c r="D80" s="1869"/>
      <c r="E80" s="1869"/>
      <c r="F80" s="1869"/>
    </row>
    <row r="81" spans="1:7" ht="14.25">
      <c r="A81" s="261"/>
      <c r="B81" s="261"/>
      <c r="D81" s="1869"/>
      <c r="E81" s="1869"/>
      <c r="F81" s="1869"/>
    </row>
    <row r="82" spans="1:7" s="707" customFormat="1" ht="14.25">
      <c r="A82" s="708"/>
      <c r="B82" s="708"/>
      <c r="C82" s="706"/>
      <c r="D82" s="710"/>
      <c r="E82" s="710"/>
      <c r="F82" s="710"/>
      <c r="G82" s="7"/>
    </row>
    <row r="83" spans="1:7" s="707" customFormat="1" ht="14.45" customHeight="1">
      <c r="A83" s="708"/>
      <c r="B83" s="713" t="s">
        <v>317</v>
      </c>
      <c r="C83" s="706"/>
      <c r="D83" s="1898" t="s">
        <v>1361</v>
      </c>
      <c r="E83" s="1898"/>
      <c r="F83" s="1898"/>
      <c r="G83" s="7"/>
    </row>
    <row r="84" spans="1:7" s="707" customFormat="1" ht="14.25">
      <c r="A84" s="708"/>
      <c r="B84" s="708"/>
      <c r="C84" s="706"/>
      <c r="D84" s="1898"/>
      <c r="E84" s="1898"/>
      <c r="F84" s="1898"/>
      <c r="G84" s="7"/>
    </row>
    <row r="85" spans="1:7" s="707" customFormat="1" ht="14.25">
      <c r="A85" s="708"/>
      <c r="B85" s="708"/>
      <c r="C85" s="706"/>
      <c r="D85" s="1898"/>
      <c r="E85" s="1898"/>
      <c r="F85" s="1898"/>
      <c r="G85" s="7"/>
    </row>
    <row r="86" spans="1:7" s="707" customFormat="1" ht="14.25">
      <c r="A86" s="708"/>
      <c r="B86" s="708"/>
      <c r="C86" s="706"/>
      <c r="D86" s="1898"/>
      <c r="E86" s="1898"/>
      <c r="F86" s="1898"/>
      <c r="G86" s="7"/>
    </row>
    <row r="87" spans="1:7" s="707" customFormat="1" ht="14.25">
      <c r="A87" s="708"/>
      <c r="B87" s="708"/>
      <c r="C87" s="706"/>
      <c r="D87" s="1898"/>
      <c r="E87" s="1898"/>
      <c r="F87" s="1898"/>
      <c r="G87" s="7"/>
    </row>
    <row r="88" spans="1:7" s="720" customFormat="1" ht="14.25">
      <c r="A88" s="715"/>
      <c r="B88" s="715"/>
      <c r="C88" s="746"/>
      <c r="D88" s="1898"/>
      <c r="E88" s="1898"/>
      <c r="F88" s="1898"/>
      <c r="G88" s="7"/>
    </row>
    <row r="89" spans="1:7" s="720" customFormat="1" ht="14.25">
      <c r="A89" s="715"/>
      <c r="B89" s="715"/>
      <c r="C89" s="746"/>
      <c r="D89" s="1898"/>
      <c r="E89" s="1898"/>
      <c r="F89" s="1898"/>
      <c r="G89" s="7"/>
    </row>
    <row r="90" spans="1:7" s="720" customFormat="1" ht="14.25">
      <c r="A90" s="715"/>
      <c r="B90" s="715"/>
      <c r="C90" s="746"/>
      <c r="D90" s="1898"/>
      <c r="E90" s="1898"/>
      <c r="F90" s="1898"/>
      <c r="G90" s="7"/>
    </row>
    <row r="91" spans="1:7" ht="14.25">
      <c r="A91" s="261"/>
      <c r="B91" s="261"/>
      <c r="D91" s="1898"/>
      <c r="E91" s="1898"/>
      <c r="F91" s="1898"/>
    </row>
    <row r="92" spans="1:7" ht="14.25">
      <c r="A92" s="261"/>
      <c r="B92" s="261"/>
      <c r="D92" s="1898"/>
      <c r="E92" s="1898"/>
      <c r="F92" s="1898"/>
    </row>
    <row r="93" spans="1:7" ht="14.25">
      <c r="A93" s="261"/>
      <c r="B93" s="261"/>
      <c r="D93" s="1898"/>
      <c r="E93" s="1898"/>
      <c r="F93" s="1898"/>
    </row>
    <row r="94" spans="1:7" ht="14.25">
      <c r="A94" s="261"/>
      <c r="B94" s="261"/>
      <c r="D94" s="1898"/>
      <c r="E94" s="1898"/>
      <c r="F94" s="1898"/>
    </row>
    <row r="95" spans="1:7" ht="14.25">
      <c r="A95" s="261"/>
      <c r="B95" s="261"/>
      <c r="D95" s="1898"/>
      <c r="E95" s="1898"/>
      <c r="F95" s="1898"/>
    </row>
    <row r="96" spans="1:7" ht="14.25">
      <c r="A96" s="261"/>
      <c r="B96" s="261"/>
      <c r="D96" s="1898"/>
      <c r="E96" s="1898"/>
      <c r="F96" s="1898"/>
    </row>
    <row r="97" spans="1:11" s="711" customFormat="1" ht="14.25">
      <c r="A97" s="712"/>
      <c r="B97" s="716" t="s">
        <v>317</v>
      </c>
      <c r="C97" s="706"/>
      <c r="D97" s="1869" t="s">
        <v>1263</v>
      </c>
      <c r="E97" s="1869"/>
      <c r="F97" s="1869"/>
      <c r="G97" s="7"/>
    </row>
    <row r="98" spans="1:11" s="711" customFormat="1" ht="14.25">
      <c r="A98" s="712"/>
      <c r="B98" s="712"/>
      <c r="C98" s="706"/>
      <c r="D98" s="1869"/>
      <c r="E98" s="1869"/>
      <c r="F98" s="1869"/>
      <c r="G98" s="7"/>
    </row>
    <row r="99" spans="1:11" s="711" customFormat="1" ht="14.25">
      <c r="A99" s="712"/>
      <c r="B99" s="712"/>
      <c r="C99" s="706"/>
      <c r="D99" s="1869"/>
      <c r="E99" s="1869"/>
      <c r="F99" s="1869"/>
      <c r="G99" s="7"/>
    </row>
    <row r="100" spans="1:11" s="711" customFormat="1" ht="14.25">
      <c r="A100" s="712"/>
      <c r="B100" s="712"/>
      <c r="C100" s="706"/>
      <c r="D100" s="1869"/>
      <c r="E100" s="1869"/>
      <c r="F100" s="1869"/>
      <c r="G100" s="7"/>
    </row>
    <row r="101" spans="1:11" s="711" customFormat="1" ht="14.25">
      <c r="A101" s="712"/>
      <c r="B101" s="712"/>
      <c r="C101" s="706"/>
      <c r="D101" s="1869"/>
      <c r="E101" s="1869"/>
      <c r="F101" s="1869"/>
      <c r="G101" s="7"/>
    </row>
    <row r="102" spans="1:11" s="711" customFormat="1" ht="14.25">
      <c r="A102" s="712"/>
      <c r="B102" s="712"/>
      <c r="C102" s="706"/>
      <c r="D102" s="1869"/>
      <c r="E102" s="1869"/>
      <c r="F102" s="1869"/>
      <c r="G102" s="7"/>
    </row>
    <row r="103" spans="1:11" s="711" customFormat="1" ht="14.25">
      <c r="A103" s="712"/>
      <c r="B103" s="712"/>
      <c r="C103" s="706"/>
      <c r="D103" s="1869"/>
      <c r="E103" s="1869"/>
      <c r="F103" s="1869"/>
      <c r="G103" s="7"/>
    </row>
    <row r="104" spans="1:11" s="711" customFormat="1" ht="14.25">
      <c r="A104" s="712"/>
      <c r="B104" s="712"/>
      <c r="C104" s="706"/>
      <c r="D104" s="1869"/>
      <c r="E104" s="1869"/>
      <c r="F104" s="1869"/>
      <c r="G104" s="7"/>
    </row>
    <row r="105" spans="1:11" s="714" customFormat="1" ht="14.25">
      <c r="A105" s="715"/>
      <c r="B105" s="715"/>
      <c r="C105" s="706"/>
      <c r="D105" s="717"/>
      <c r="E105" s="717"/>
      <c r="F105" s="717"/>
      <c r="G105" s="7"/>
    </row>
    <row r="106" spans="1:11" ht="14.25">
      <c r="A106" s="404"/>
      <c r="B106" s="709" t="s">
        <v>317</v>
      </c>
      <c r="C106" s="470"/>
      <c r="D106" s="1926" t="s">
        <v>1264</v>
      </c>
      <c r="E106" s="1926"/>
      <c r="F106" s="1926"/>
      <c r="G106" s="471"/>
      <c r="H106" s="469"/>
      <c r="I106" s="469"/>
      <c r="J106" s="469"/>
      <c r="K106" s="469"/>
    </row>
    <row r="107" spans="1:11" ht="14.25">
      <c r="A107" s="261"/>
      <c r="B107" s="261"/>
      <c r="C107" s="316"/>
      <c r="D107" s="1926"/>
      <c r="E107" s="1926"/>
      <c r="F107" s="1926"/>
      <c r="G107" s="471"/>
      <c r="H107" s="469"/>
      <c r="I107" s="469"/>
      <c r="J107" s="469"/>
      <c r="K107" s="469"/>
    </row>
    <row r="108" spans="1:11" ht="14.25">
      <c r="A108" s="261"/>
      <c r="B108" s="261"/>
      <c r="C108" s="316"/>
      <c r="D108" s="1926"/>
      <c r="E108" s="1926"/>
      <c r="F108" s="1926"/>
      <c r="G108" s="471"/>
      <c r="H108" s="469"/>
      <c r="I108" s="469"/>
      <c r="J108" s="469"/>
      <c r="K108" s="469"/>
    </row>
    <row r="109" spans="1:11" ht="14.25">
      <c r="A109" s="261"/>
      <c r="B109" s="261"/>
      <c r="C109" s="316"/>
      <c r="D109" s="1926"/>
      <c r="E109" s="1926"/>
      <c r="F109" s="1926"/>
      <c r="G109" s="471"/>
      <c r="H109" s="469"/>
      <c r="I109" s="469"/>
      <c r="J109" s="469"/>
      <c r="K109" s="469"/>
    </row>
    <row r="110" spans="1:11" ht="14.25">
      <c r="A110" s="261"/>
      <c r="B110" s="261"/>
      <c r="C110" s="316"/>
      <c r="D110" s="1926"/>
      <c r="E110" s="1926"/>
      <c r="F110" s="1926"/>
      <c r="G110" s="471"/>
      <c r="H110" s="469"/>
      <c r="I110" s="469"/>
      <c r="J110" s="469"/>
      <c r="K110" s="469"/>
    </row>
    <row r="111" spans="1:11">
      <c r="C111"/>
      <c r="D111" s="1926"/>
      <c r="E111" s="1926"/>
      <c r="F111" s="1926"/>
      <c r="G111"/>
      <c r="H111"/>
      <c r="I111"/>
      <c r="J111"/>
      <c r="K111"/>
    </row>
    <row r="112" spans="1:11">
      <c r="C112"/>
      <c r="D112" s="1926"/>
      <c r="E112" s="1926"/>
      <c r="F112" s="1926"/>
      <c r="G112"/>
      <c r="H112"/>
      <c r="I112"/>
      <c r="J112"/>
      <c r="K112"/>
    </row>
    <row r="113" spans="1:11">
      <c r="C113"/>
      <c r="D113" s="478"/>
      <c r="E113"/>
      <c r="F113"/>
      <c r="G113"/>
      <c r="H113"/>
      <c r="I113"/>
      <c r="J113"/>
      <c r="K113"/>
    </row>
    <row r="114" spans="1:11" ht="14.25">
      <c r="A114" s="261"/>
      <c r="B114" s="680" t="s">
        <v>317</v>
      </c>
      <c r="C114"/>
      <c r="D114" s="1927" t="s">
        <v>1265</v>
      </c>
      <c r="E114" s="1927"/>
      <c r="F114" s="1927"/>
      <c r="G114"/>
      <c r="H114"/>
      <c r="I114"/>
      <c r="J114"/>
      <c r="K114"/>
    </row>
    <row r="115" spans="1:11" ht="14.25">
      <c r="A115" s="261"/>
      <c r="B115" s="261"/>
      <c r="C115"/>
      <c r="D115" s="1927"/>
      <c r="E115" s="1927"/>
      <c r="F115" s="1927"/>
      <c r="G115"/>
      <c r="H115"/>
      <c r="I115"/>
      <c r="J115"/>
      <c r="K115"/>
    </row>
    <row r="116" spans="1:11"/>
    <row r="117" spans="1:11" ht="14.25">
      <c r="A117" s="261"/>
      <c r="B117" s="680" t="s">
        <v>317</v>
      </c>
      <c r="C117" s="10"/>
      <c r="D117" s="1869" t="s">
        <v>1266</v>
      </c>
      <c r="E117" s="1869"/>
      <c r="F117" s="1869"/>
    </row>
    <row r="118" spans="1:11">
      <c r="C118" s="10"/>
      <c r="D118" s="1869"/>
      <c r="E118" s="1869"/>
      <c r="F118" s="1869"/>
    </row>
    <row r="119" spans="1:11">
      <c r="C119" s="10"/>
      <c r="D119" s="1869"/>
      <c r="E119" s="1869"/>
      <c r="F119" s="1869"/>
    </row>
    <row r="120" spans="1:11">
      <c r="C120" s="10"/>
      <c r="D120" s="1869"/>
      <c r="E120" s="1869"/>
      <c r="F120" s="1869"/>
    </row>
    <row r="121" spans="1:11">
      <c r="C121" s="10"/>
      <c r="D121" s="1869"/>
      <c r="E121" s="1869"/>
      <c r="F121" s="1869"/>
    </row>
    <row r="122" spans="1:11">
      <c r="C122" s="10"/>
      <c r="D122" s="149"/>
      <c r="E122" s="149"/>
      <c r="F122" s="149"/>
    </row>
    <row r="123" spans="1:11" customFormat="1" ht="14.25">
      <c r="A123" s="261"/>
      <c r="B123" s="680" t="s">
        <v>317</v>
      </c>
      <c r="C123" s="10"/>
      <c r="D123" s="1870" t="s">
        <v>1267</v>
      </c>
      <c r="E123" s="1870"/>
      <c r="F123" s="1870"/>
      <c r="G123" s="149"/>
    </row>
    <row r="124" spans="1:11" s="297" customFormat="1" ht="13.7" customHeight="1">
      <c r="A124" s="294"/>
      <c r="B124" s="294"/>
      <c r="C124" s="295"/>
      <c r="D124" s="1870"/>
      <c r="E124" s="1870"/>
      <c r="F124" s="1870"/>
      <c r="G124" s="296"/>
    </row>
    <row r="125" spans="1:11" customFormat="1" ht="13.7" customHeight="1">
      <c r="A125" s="132"/>
      <c r="B125" s="677"/>
      <c r="C125" s="10"/>
      <c r="D125" s="1870"/>
      <c r="E125" s="1870"/>
      <c r="F125" s="1870"/>
      <c r="G125" s="149"/>
    </row>
    <row r="126" spans="1:11" customFormat="1" ht="13.7" customHeight="1">
      <c r="A126" s="132"/>
      <c r="B126" s="677"/>
      <c r="C126" s="10"/>
      <c r="D126" s="1870"/>
      <c r="E126" s="1870"/>
      <c r="F126" s="1870"/>
      <c r="G126" s="149"/>
    </row>
    <row r="127" spans="1:11" customFormat="1" ht="13.7" customHeight="1">
      <c r="A127" s="132"/>
      <c r="B127" s="677"/>
      <c r="C127" s="10"/>
      <c r="D127" s="1870"/>
      <c r="E127" s="1870"/>
      <c r="F127" s="1870"/>
      <c r="G127" s="149"/>
    </row>
    <row r="128" spans="1:11" customFormat="1" ht="13.7" customHeight="1">
      <c r="A128" s="379"/>
      <c r="B128" s="379"/>
      <c r="C128" s="10"/>
      <c r="D128" s="1870"/>
      <c r="E128" s="1870"/>
      <c r="F128" s="1870"/>
      <c r="G128" s="149"/>
    </row>
    <row r="129" spans="1:7" s="2" customFormat="1" ht="13.7" customHeight="1">
      <c r="A129" s="273"/>
      <c r="B129" s="273"/>
      <c r="C129" s="443"/>
      <c r="D129" s="1870"/>
      <c r="E129" s="1870"/>
      <c r="F129" s="1870"/>
      <c r="G129" s="182"/>
    </row>
    <row r="130" spans="1:7" s="2" customFormat="1" ht="13.7" customHeight="1">
      <c r="A130" s="273"/>
      <c r="B130" s="273"/>
      <c r="C130" s="443"/>
      <c r="D130" s="1870"/>
      <c r="E130" s="1870"/>
      <c r="F130" s="1870"/>
      <c r="G130" s="182"/>
    </row>
    <row r="131" spans="1:7" customFormat="1" ht="13.7" customHeight="1">
      <c r="A131" s="132"/>
      <c r="B131" s="677"/>
      <c r="C131" s="10"/>
      <c r="D131" s="1870"/>
      <c r="E131" s="1870"/>
      <c r="F131" s="1870"/>
      <c r="G131" s="149"/>
    </row>
    <row r="132" spans="1:7" customFormat="1" ht="13.7" customHeight="1">
      <c r="A132" s="132"/>
      <c r="B132" s="677"/>
      <c r="C132" s="10"/>
      <c r="D132" s="1870"/>
      <c r="E132" s="1870"/>
      <c r="F132" s="1870"/>
      <c r="G132" s="149"/>
    </row>
    <row r="133" spans="1:7" customFormat="1" ht="13.7" customHeight="1">
      <c r="A133" s="132"/>
      <c r="B133" s="677"/>
      <c r="C133" s="10"/>
      <c r="D133" s="1870"/>
      <c r="E133" s="1870"/>
      <c r="F133" s="1870"/>
      <c r="G133" s="149"/>
    </row>
    <row r="134" spans="1:7" customFormat="1" ht="13.7" customHeight="1">
      <c r="A134" s="132"/>
      <c r="B134" s="677"/>
      <c r="C134" s="10"/>
      <c r="D134" s="1870"/>
      <c r="E134" s="1870"/>
      <c r="F134" s="1870"/>
      <c r="G134" s="149"/>
    </row>
    <row r="135" spans="1:7" customFormat="1" ht="13.7" customHeight="1">
      <c r="A135" s="132"/>
      <c r="B135" s="677"/>
      <c r="C135" s="10"/>
      <c r="D135" s="328"/>
      <c r="E135" s="151"/>
      <c r="F135" s="151"/>
      <c r="G135" s="149"/>
    </row>
    <row r="136" spans="1:7" s="718" customFormat="1" ht="13.7" customHeight="1">
      <c r="A136" s="706"/>
      <c r="B136" s="719" t="s">
        <v>317</v>
      </c>
      <c r="C136" s="10"/>
      <c r="D136" s="1869" t="s">
        <v>1375</v>
      </c>
      <c r="E136" s="1869"/>
      <c r="F136" s="1869"/>
      <c r="G136" s="149"/>
    </row>
    <row r="137" spans="1:7" s="718" customFormat="1" ht="13.7" customHeight="1">
      <c r="A137" s="706"/>
      <c r="B137" s="706"/>
      <c r="C137" s="10"/>
      <c r="D137" s="1869"/>
      <c r="E137" s="1869"/>
      <c r="F137" s="1869"/>
      <c r="G137" s="149"/>
    </row>
    <row r="138" spans="1:7" s="718" customFormat="1" ht="13.7" customHeight="1">
      <c r="A138" s="706"/>
      <c r="B138" s="706"/>
      <c r="C138" s="10"/>
      <c r="D138" s="1869"/>
      <c r="E138" s="1869"/>
      <c r="F138" s="1869"/>
      <c r="G138" s="149"/>
    </row>
    <row r="139" spans="1:7" s="718" customFormat="1" ht="13.7" customHeight="1">
      <c r="A139" s="706"/>
      <c r="B139" s="706"/>
      <c r="C139" s="10"/>
      <c r="D139" s="1869"/>
      <c r="E139" s="1869"/>
      <c r="F139" s="1869"/>
      <c r="G139" s="149"/>
    </row>
    <row r="140" spans="1:7" s="718" customFormat="1" ht="13.7" customHeight="1">
      <c r="A140" s="706"/>
      <c r="B140" s="706"/>
      <c r="C140" s="10"/>
      <c r="D140" s="1869"/>
      <c r="E140" s="1869"/>
      <c r="F140" s="1869"/>
      <c r="G140" s="149"/>
    </row>
    <row r="141" spans="1:7" s="718" customFormat="1" ht="13.7" customHeight="1">
      <c r="A141" s="706"/>
      <c r="B141" s="706"/>
      <c r="C141" s="10"/>
      <c r="D141" s="1869"/>
      <c r="E141" s="1869"/>
      <c r="F141" s="1869"/>
      <c r="G141" s="149"/>
    </row>
    <row r="142" spans="1:7" s="718" customFormat="1" ht="13.7" customHeight="1">
      <c r="A142" s="706"/>
      <c r="B142" s="706"/>
      <c r="C142" s="10"/>
      <c r="D142" s="1869"/>
      <c r="E142" s="1869"/>
      <c r="F142" s="1869"/>
      <c r="G142" s="149"/>
    </row>
    <row r="143" spans="1:7" s="718" customFormat="1" ht="13.7" customHeight="1">
      <c r="A143" s="706"/>
      <c r="B143" s="706"/>
      <c r="C143" s="10"/>
      <c r="D143" s="1869"/>
      <c r="E143" s="1869"/>
      <c r="F143" s="1869"/>
      <c r="G143" s="149"/>
    </row>
    <row r="144" spans="1:7" s="718" customFormat="1" ht="13.7" customHeight="1">
      <c r="A144" s="706"/>
      <c r="B144" s="706"/>
      <c r="C144" s="10"/>
      <c r="D144" s="1869"/>
      <c r="E144" s="1869"/>
      <c r="F144" s="1869"/>
      <c r="G144" s="149"/>
    </row>
    <row r="145" spans="1:7" s="718" customFormat="1" ht="13.7" customHeight="1">
      <c r="A145" s="706"/>
      <c r="B145" s="706"/>
      <c r="C145" s="10"/>
      <c r="D145" s="1869"/>
      <c r="E145" s="1869"/>
      <c r="F145" s="1869"/>
      <c r="G145" s="149"/>
    </row>
    <row r="146" spans="1:7" s="718" customFormat="1" ht="13.7" customHeight="1">
      <c r="A146" s="748"/>
      <c r="B146" s="748"/>
      <c r="C146" s="10"/>
      <c r="D146" s="1869"/>
      <c r="E146" s="1869"/>
      <c r="F146" s="1869"/>
      <c r="G146" s="149"/>
    </row>
    <row r="147" spans="1:7" s="718" customFormat="1" ht="13.7" customHeight="1">
      <c r="A147" s="748"/>
      <c r="B147" s="748"/>
      <c r="C147" s="10"/>
      <c r="D147" s="1869"/>
      <c r="E147" s="1869"/>
      <c r="F147" s="1869"/>
      <c r="G147" s="149"/>
    </row>
    <row r="148" spans="1:7" s="718" customFormat="1" ht="13.7" customHeight="1">
      <c r="A148" s="706"/>
      <c r="B148" s="706"/>
      <c r="C148" s="10"/>
      <c r="D148" s="1869"/>
      <c r="E148" s="1869"/>
      <c r="F148" s="1869"/>
      <c r="G148" s="149"/>
    </row>
    <row r="149" spans="1:7" s="718" customFormat="1" ht="13.7" customHeight="1">
      <c r="A149" s="706"/>
      <c r="B149" s="706"/>
      <c r="C149" s="10"/>
      <c r="D149" s="1869"/>
      <c r="E149" s="1869"/>
      <c r="F149" s="1869"/>
      <c r="G149" s="149"/>
    </row>
    <row r="150" spans="1:7" s="718" customFormat="1" ht="13.7" customHeight="1">
      <c r="A150" s="706"/>
      <c r="B150" s="706"/>
      <c r="C150" s="10"/>
      <c r="D150" s="1869"/>
      <c r="E150" s="1869"/>
      <c r="F150" s="1869"/>
      <c r="G150" s="149"/>
    </row>
    <row r="151" spans="1:7" s="718" customFormat="1" ht="13.7" customHeight="1">
      <c r="A151" s="706"/>
      <c r="B151" s="706"/>
      <c r="C151" s="10"/>
      <c r="D151" s="1869"/>
      <c r="E151" s="1869"/>
      <c r="F151" s="1869"/>
      <c r="G151" s="149"/>
    </row>
    <row r="152" spans="1:7" s="718" customFormat="1" ht="13.7" customHeight="1">
      <c r="A152" s="706"/>
      <c r="B152" s="706"/>
      <c r="C152" s="10"/>
      <c r="D152" s="1869"/>
      <c r="E152" s="1869"/>
      <c r="F152" s="1869"/>
      <c r="G152" s="149"/>
    </row>
    <row r="153" spans="1:7" s="718" customFormat="1" ht="13.7" customHeight="1">
      <c r="A153" s="706"/>
      <c r="B153" s="706"/>
      <c r="C153" s="10"/>
      <c r="D153" s="1869"/>
      <c r="E153" s="1869"/>
      <c r="F153" s="1869"/>
      <c r="G153" s="149"/>
    </row>
    <row r="154" spans="1:7" s="718" customFormat="1" ht="13.7" customHeight="1">
      <c r="A154" s="706"/>
      <c r="B154" s="706"/>
      <c r="C154" s="10"/>
      <c r="D154" s="1869"/>
      <c r="E154" s="1869"/>
      <c r="F154" s="1869"/>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81" t="s">
        <v>1268</v>
      </c>
      <c r="E156" s="1881"/>
      <c r="F156" s="1881"/>
      <c r="G156" s="445"/>
    </row>
    <row r="157" spans="1:7" customFormat="1" ht="13.7" customHeight="1">
      <c r="A157" s="379"/>
      <c r="B157" s="379"/>
      <c r="C157" s="326"/>
      <c r="D157" s="1881"/>
      <c r="E157" s="1881"/>
      <c r="F157" s="1881"/>
      <c r="G157" s="445"/>
    </row>
    <row r="158" spans="1:7" customFormat="1" ht="13.7" customHeight="1">
      <c r="A158" s="379"/>
      <c r="B158" s="379"/>
      <c r="C158" s="326"/>
      <c r="D158" s="328"/>
      <c r="E158" s="326"/>
      <c r="F158" s="326"/>
      <c r="G158" s="445"/>
    </row>
    <row r="159" spans="1:7" customFormat="1" ht="13.7" customHeight="1">
      <c r="A159" s="379"/>
      <c r="B159" s="680" t="s">
        <v>317</v>
      </c>
      <c r="C159" s="326"/>
      <c r="D159" s="1877" t="s">
        <v>1269</v>
      </c>
      <c r="E159" s="1877"/>
      <c r="F159" s="1877"/>
      <c r="G159" s="445"/>
    </row>
    <row r="160" spans="1:7" customFormat="1" ht="13.7" customHeight="1">
      <c r="A160" s="379"/>
      <c r="B160" s="379"/>
      <c r="C160" s="326"/>
      <c r="D160" s="1877"/>
      <c r="E160" s="1877"/>
      <c r="F160" s="1877"/>
      <c r="G160" s="445"/>
    </row>
    <row r="161" spans="1:7" customFormat="1" ht="13.7" customHeight="1">
      <c r="A161" s="379"/>
      <c r="B161" s="379"/>
      <c r="C161" s="326"/>
      <c r="D161" s="1877"/>
      <c r="E161" s="1877"/>
      <c r="F161" s="1877"/>
      <c r="G161" s="445"/>
    </row>
    <row r="162" spans="1:7" customFormat="1" ht="13.7" customHeight="1">
      <c r="A162" s="379"/>
      <c r="B162" s="379"/>
      <c r="C162" s="326"/>
      <c r="D162" s="1877"/>
      <c r="E162" s="1877"/>
      <c r="F162" s="1877"/>
      <c r="G162" s="445"/>
    </row>
    <row r="163" spans="1:7" customFormat="1" ht="13.7" customHeight="1">
      <c r="A163" s="132"/>
      <c r="B163" s="677"/>
      <c r="C163" s="10"/>
      <c r="D163" s="151"/>
      <c r="E163" s="151"/>
      <c r="F163" s="151"/>
      <c r="G163" s="149"/>
    </row>
    <row r="164" spans="1:7" customFormat="1" ht="13.7" customHeight="1">
      <c r="A164" s="132"/>
      <c r="B164" s="680" t="s">
        <v>317</v>
      </c>
      <c r="C164" s="10"/>
      <c r="D164" s="1912" t="s">
        <v>1270</v>
      </c>
      <c r="E164" s="1912"/>
      <c r="F164" s="1912"/>
      <c r="G164" s="149"/>
    </row>
    <row r="165" spans="1:7" customFormat="1" ht="13.7" customHeight="1">
      <c r="A165" s="132"/>
      <c r="B165" s="677"/>
      <c r="C165" s="10"/>
      <c r="D165" s="1912"/>
      <c r="E165" s="1912"/>
      <c r="F165" s="1912"/>
      <c r="G165" s="149"/>
    </row>
    <row r="166" spans="1:7" customFormat="1" ht="13.7" customHeight="1">
      <c r="A166" s="132"/>
      <c r="B166" s="677"/>
      <c r="C166" s="10"/>
      <c r="D166" s="1912"/>
      <c r="E166" s="1912"/>
      <c r="F166" s="1912"/>
      <c r="G166" s="149"/>
    </row>
    <row r="167" spans="1:7" customFormat="1" ht="13.7" customHeight="1">
      <c r="A167" s="23"/>
      <c r="B167" s="676"/>
      <c r="C167" s="10"/>
      <c r="D167" s="7"/>
      <c r="E167" s="151"/>
      <c r="F167" s="151"/>
      <c r="G167" s="149"/>
    </row>
    <row r="168" spans="1:7">
      <c r="A168" s="1889" t="s">
        <v>1164</v>
      </c>
      <c r="B168" s="1889"/>
      <c r="C168" s="1889"/>
      <c r="D168" s="1889"/>
      <c r="E168" s="1889"/>
      <c r="F168" s="1889"/>
      <c r="G168" s="1889"/>
    </row>
    <row r="169" spans="1:7" ht="12" customHeight="1">
      <c r="D169" s="135"/>
      <c r="E169" s="135"/>
      <c r="F169" s="135"/>
    </row>
    <row r="170" spans="1:7">
      <c r="B170" s="1917" t="s">
        <v>470</v>
      </c>
      <c r="C170" s="1917"/>
      <c r="D170" s="1917"/>
      <c r="E170" s="1917"/>
      <c r="F170" s="1917"/>
    </row>
    <row r="171" spans="1:7" ht="12" customHeight="1">
      <c r="A171" s="255"/>
      <c r="B171" s="674"/>
      <c r="C171" s="255"/>
    </row>
    <row r="172" spans="1:7">
      <c r="A172" s="1889" t="s">
        <v>1165</v>
      </c>
      <c r="B172" s="1889"/>
      <c r="C172" s="1889"/>
      <c r="D172" s="1889"/>
      <c r="E172" s="1889"/>
      <c r="F172" s="1889"/>
      <c r="G172" s="1889"/>
    </row>
    <row r="173" spans="1:7" ht="12" customHeight="1">
      <c r="A173" s="264"/>
      <c r="B173" s="264"/>
      <c r="C173" s="265"/>
      <c r="D173" s="57"/>
      <c r="E173" s="49"/>
      <c r="F173" s="57"/>
      <c r="G173" s="57"/>
    </row>
    <row r="174" spans="1:7" ht="13.15" customHeight="1">
      <c r="A174" s="264"/>
      <c r="B174" s="264"/>
      <c r="C174" s="265"/>
      <c r="D174" s="1913" t="s">
        <v>1273</v>
      </c>
      <c r="E174" s="1913"/>
      <c r="F174" s="1913"/>
      <c r="G174" s="57"/>
    </row>
    <row r="175" spans="1:7">
      <c r="A175" s="264"/>
      <c r="B175" s="264"/>
      <c r="C175" s="265"/>
      <c r="D175" s="1913"/>
      <c r="E175" s="1913"/>
      <c r="F175" s="1913"/>
      <c r="G175" s="57"/>
    </row>
    <row r="176" spans="1:7" s="720" customFormat="1">
      <c r="A176" s="722"/>
      <c r="B176" s="722"/>
      <c r="C176" s="265"/>
      <c r="D176" s="1914" t="s">
        <v>1274</v>
      </c>
      <c r="E176" s="1914"/>
      <c r="F176" s="1914"/>
      <c r="G176" s="57"/>
    </row>
    <row r="177" spans="1:7" ht="12" customHeight="1">
      <c r="A177" s="264"/>
      <c r="B177" s="264"/>
      <c r="C177" s="265"/>
      <c r="D177" s="57"/>
      <c r="E177" s="49"/>
      <c r="F177" s="57"/>
      <c r="G177" s="57"/>
    </row>
    <row r="178" spans="1:7" ht="14.25">
      <c r="A178" s="261"/>
      <c r="B178" s="680" t="s">
        <v>317</v>
      </c>
      <c r="C178" s="265"/>
      <c r="D178" s="1907" t="s">
        <v>1272</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6" t="s">
        <v>1181</v>
      </c>
      <c r="E183" s="1916"/>
      <c r="F183" s="1916"/>
    </row>
    <row r="184" spans="1:7">
      <c r="A184" s="265"/>
      <c r="B184" s="265"/>
      <c r="C184" s="265"/>
      <c r="D184" s="1916"/>
      <c r="E184" s="1916"/>
      <c r="F184" s="1916"/>
    </row>
    <row r="185" spans="1:7" s="683" customFormat="1">
      <c r="A185" s="265"/>
      <c r="B185" s="265"/>
      <c r="C185" s="265"/>
      <c r="D185" s="697"/>
      <c r="E185" s="697"/>
      <c r="F185" s="697"/>
      <c r="G185" s="7"/>
    </row>
    <row r="186" spans="1:7" s="678" customFormat="1" ht="14.25">
      <c r="A186" s="261"/>
      <c r="B186" s="680" t="s">
        <v>317</v>
      </c>
      <c r="C186" s="558"/>
      <c r="D186" s="1869" t="s">
        <v>1271</v>
      </c>
      <c r="E186" s="1869"/>
      <c r="F186" s="1869"/>
      <c r="G186" s="679"/>
    </row>
    <row r="187" spans="1:7" s="678" customFormat="1" ht="14.45" customHeight="1">
      <c r="A187" s="261"/>
      <c r="C187" s="558"/>
      <c r="D187" s="1869"/>
      <c r="E187" s="1869"/>
      <c r="F187" s="1869"/>
      <c r="G187" s="679"/>
    </row>
    <row r="188" spans="1:7" s="678" customFormat="1" ht="14.25">
      <c r="A188" s="261"/>
      <c r="B188" s="698"/>
      <c r="C188" s="558"/>
      <c r="D188" s="1869"/>
      <c r="E188" s="1869"/>
      <c r="F188" s="1869"/>
      <c r="G188" s="679"/>
    </row>
    <row r="189" spans="1:7" s="678" customFormat="1" ht="14.25">
      <c r="A189" s="261"/>
      <c r="B189" s="698"/>
      <c r="C189" s="558"/>
      <c r="D189" s="1869"/>
      <c r="E189" s="1869"/>
      <c r="F189" s="1869"/>
      <c r="G189" s="679"/>
    </row>
    <row r="190" spans="1:7" s="683" customFormat="1">
      <c r="A190" s="265"/>
      <c r="B190" s="265"/>
      <c r="C190" s="265"/>
      <c r="D190" s="697"/>
      <c r="E190" s="697"/>
      <c r="F190" s="697"/>
      <c r="G190" s="7"/>
    </row>
    <row r="191" spans="1:7">
      <c r="A191" s="1889" t="s">
        <v>1166</v>
      </c>
      <c r="B191" s="1889"/>
      <c r="C191" s="1889"/>
      <c r="D191" s="1889"/>
      <c r="E191" s="1889"/>
      <c r="F191" s="1889"/>
      <c r="G191" s="1889"/>
    </row>
    <row r="192" spans="1:7" ht="12" customHeight="1">
      <c r="D192" s="135"/>
      <c r="E192" s="135"/>
      <c r="F192" s="135"/>
    </row>
    <row r="193" spans="1:6">
      <c r="C193" s="262"/>
      <c r="D193" s="1915" t="s">
        <v>213</v>
      </c>
      <c r="E193" s="1915"/>
      <c r="F193" s="1915"/>
    </row>
    <row r="194" spans="1:6">
      <c r="A194" s="255"/>
      <c r="B194" s="674"/>
      <c r="C194" s="255"/>
      <c r="D194" s="1884" t="s">
        <v>1295</v>
      </c>
      <c r="E194" s="1894"/>
      <c r="F194" s="1894"/>
    </row>
    <row r="195" spans="1:6" ht="12" customHeight="1">
      <c r="A195" s="23"/>
      <c r="B195" s="676"/>
      <c r="C195" s="23"/>
    </row>
    <row r="196" spans="1:6" ht="13.15" customHeight="1">
      <c r="A196" s="23"/>
      <c r="C196" s="23"/>
      <c r="D196" s="1892" t="s">
        <v>579</v>
      </c>
      <c r="E196" s="1892"/>
      <c r="F196" s="1892"/>
    </row>
    <row r="197" spans="1:6" ht="14.25">
      <c r="A197" s="261"/>
      <c r="B197" s="680" t="s">
        <v>317</v>
      </c>
      <c r="D197" s="1869" t="s">
        <v>1289</v>
      </c>
      <c r="E197" s="1869"/>
      <c r="F197" s="1869"/>
    </row>
    <row r="198" spans="1:6" ht="14.25">
      <c r="A198" s="261"/>
      <c r="B198" s="261"/>
      <c r="D198" s="1869"/>
      <c r="E198" s="1869"/>
      <c r="F198" s="1869"/>
    </row>
    <row r="199" spans="1:6"/>
    <row r="200" spans="1:6" ht="14.25">
      <c r="A200" s="261"/>
      <c r="B200" s="680" t="s">
        <v>317</v>
      </c>
      <c r="D200" s="1869" t="s">
        <v>1290</v>
      </c>
      <c r="E200" s="1869"/>
      <c r="F200" s="1869"/>
    </row>
    <row r="201" spans="1:6" ht="14.25">
      <c r="A201" s="261"/>
      <c r="B201" s="261"/>
      <c r="D201" s="1869"/>
      <c r="E201" s="1869"/>
      <c r="F201" s="1869"/>
    </row>
    <row r="202" spans="1:6" ht="14.25">
      <c r="A202" s="261"/>
      <c r="B202" s="261"/>
      <c r="D202" s="1869"/>
      <c r="E202" s="1869"/>
      <c r="F202" s="1869"/>
    </row>
    <row r="203" spans="1:6" ht="5.0999999999999996" customHeight="1">
      <c r="A203" s="261"/>
      <c r="B203" s="261"/>
      <c r="D203" s="151"/>
      <c r="E203" s="135"/>
      <c r="F203" s="135"/>
    </row>
    <row r="204" spans="1:6" ht="14.25">
      <c r="A204" s="261"/>
      <c r="B204" s="261"/>
      <c r="D204" s="1869" t="s">
        <v>1291</v>
      </c>
      <c r="E204" s="1869"/>
      <c r="F204" s="1869"/>
    </row>
    <row r="205" spans="1:6" ht="14.25">
      <c r="A205" s="261"/>
      <c r="B205" s="261"/>
      <c r="D205" s="1869"/>
      <c r="E205" s="1869"/>
      <c r="F205" s="1869"/>
    </row>
    <row r="206" spans="1:6" ht="14.25">
      <c r="A206" s="261"/>
      <c r="B206" s="261"/>
      <c r="D206" s="1869"/>
      <c r="E206" s="1869"/>
      <c r="F206" s="1869"/>
    </row>
    <row r="207" spans="1:6" ht="14.25">
      <c r="A207" s="261"/>
      <c r="B207" s="261"/>
      <c r="D207" s="1869"/>
      <c r="E207" s="1869"/>
      <c r="F207" s="1869"/>
    </row>
    <row r="208" spans="1:6" ht="14.25">
      <c r="A208" s="261"/>
      <c r="B208" s="261"/>
      <c r="D208" s="1869"/>
      <c r="E208" s="1869"/>
      <c r="F208" s="1869"/>
    </row>
    <row r="209" spans="1:7" ht="14.25">
      <c r="A209" s="261"/>
      <c r="B209" s="261"/>
      <c r="D209" s="135"/>
      <c r="E209" s="135"/>
      <c r="F209" s="135"/>
    </row>
    <row r="210" spans="1:7" ht="14.25">
      <c r="A210" s="261"/>
      <c r="B210" s="680" t="s">
        <v>317</v>
      </c>
      <c r="D210" s="1883" t="s">
        <v>1292</v>
      </c>
      <c r="E210" s="1883"/>
      <c r="F210" s="1883"/>
    </row>
    <row r="211" spans="1:7" ht="14.25">
      <c r="A211" s="261"/>
      <c r="B211" s="261"/>
      <c r="D211" s="1883"/>
      <c r="E211" s="1883"/>
      <c r="F211" s="1883"/>
    </row>
    <row r="212" spans="1:7" ht="14.25">
      <c r="A212" s="261"/>
      <c r="B212" s="261"/>
      <c r="D212" s="1917" t="s">
        <v>965</v>
      </c>
      <c r="E212" s="1917"/>
      <c r="F212" s="1917"/>
    </row>
    <row r="213" spans="1:7" ht="14.25">
      <c r="A213" s="261"/>
      <c r="B213" s="261"/>
      <c r="D213" s="135"/>
      <c r="E213" s="135"/>
      <c r="F213" s="135"/>
    </row>
    <row r="214" spans="1:7" ht="14.45" customHeight="1">
      <c r="A214" s="261"/>
      <c r="B214" s="680" t="s">
        <v>317</v>
      </c>
      <c r="D214" s="1883" t="s">
        <v>1294</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80" t="s">
        <v>317</v>
      </c>
      <c r="D220" s="1869" t="s">
        <v>1293</v>
      </c>
      <c r="E220" s="1869"/>
      <c r="F220" s="1869"/>
    </row>
    <row r="221" spans="1:7" ht="14.25">
      <c r="A221" s="261"/>
      <c r="B221" s="261"/>
      <c r="D221" s="1869"/>
      <c r="E221" s="1869"/>
      <c r="F221" s="1869"/>
    </row>
    <row r="222" spans="1:7">
      <c r="D222" s="29"/>
    </row>
    <row r="223" spans="1:7">
      <c r="A223" s="1889" t="s">
        <v>1167</v>
      </c>
      <c r="B223" s="1889"/>
      <c r="C223" s="1889"/>
      <c r="D223" s="1889"/>
      <c r="E223" s="1889"/>
      <c r="F223" s="1889"/>
      <c r="G223" s="1889"/>
    </row>
    <row r="224" spans="1:7">
      <c r="D224" s="29"/>
    </row>
    <row r="225" spans="1:6">
      <c r="C225" s="262"/>
      <c r="D225" s="1892" t="s">
        <v>1296</v>
      </c>
      <c r="E225" s="1892"/>
      <c r="F225" s="1892"/>
    </row>
    <row r="226" spans="1:6">
      <c r="A226" s="255"/>
      <c r="B226" s="674"/>
      <c r="C226" s="255"/>
      <c r="D226" s="135"/>
      <c r="E226" s="135"/>
      <c r="F226" s="135"/>
    </row>
    <row r="227" spans="1:6">
      <c r="A227" s="260"/>
      <c r="B227" s="260"/>
      <c r="C227" s="260"/>
      <c r="D227" s="1892" t="s">
        <v>276</v>
      </c>
      <c r="E227" s="1892"/>
      <c r="F227" s="1892"/>
    </row>
    <row r="228" spans="1:6" ht="14.25">
      <c r="A228" s="261"/>
      <c r="B228" s="680" t="s">
        <v>317</v>
      </c>
      <c r="D228" s="1893" t="s">
        <v>1297</v>
      </c>
      <c r="E228" s="1893"/>
      <c r="F228" s="1893"/>
    </row>
    <row r="229" spans="1:6" ht="14.25">
      <c r="A229" s="261"/>
      <c r="B229" s="261"/>
      <c r="D229" s="1893"/>
      <c r="E229" s="1893"/>
      <c r="F229" s="1893"/>
    </row>
    <row r="230" spans="1:6">
      <c r="D230" s="135"/>
      <c r="E230" s="135"/>
      <c r="F230" s="135"/>
    </row>
    <row r="231" spans="1:6" ht="14.45" customHeight="1">
      <c r="A231" s="261"/>
      <c r="B231" s="680" t="s">
        <v>317</v>
      </c>
      <c r="D231" s="1883" t="s">
        <v>1298</v>
      </c>
      <c r="E231" s="1883"/>
      <c r="F231" s="1883"/>
    </row>
    <row r="232" spans="1:6">
      <c r="D232" s="1883"/>
      <c r="E232" s="1883"/>
      <c r="F232" s="1883"/>
    </row>
    <row r="233" spans="1:6">
      <c r="D233" s="1894" t="s">
        <v>956</v>
      </c>
      <c r="E233" s="1894"/>
      <c r="F233" s="1894"/>
    </row>
    <row r="234" spans="1:6">
      <c r="D234" s="135"/>
      <c r="E234" s="135"/>
      <c r="F234" s="135"/>
    </row>
    <row r="235" spans="1:6" ht="14.45" customHeight="1">
      <c r="A235" s="261"/>
      <c r="B235" s="680" t="s">
        <v>317</v>
      </c>
      <c r="D235" s="1883" t="s">
        <v>1300</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80" t="s">
        <v>317</v>
      </c>
      <c r="D241" s="1869" t="s">
        <v>1299</v>
      </c>
      <c r="E241" s="1869"/>
      <c r="F241" s="1869"/>
    </row>
    <row r="242" spans="1:7">
      <c r="D242" s="1869"/>
      <c r="E242" s="1869"/>
      <c r="F242" s="1869"/>
    </row>
    <row r="243" spans="1:7">
      <c r="D243" s="1869"/>
      <c r="E243" s="1869"/>
      <c r="F243" s="1869"/>
    </row>
    <row r="244" spans="1:7">
      <c r="D244" s="263"/>
      <c r="E244" s="135"/>
      <c r="F244" s="135"/>
    </row>
    <row r="245" spans="1:7">
      <c r="A245" s="1889" t="s">
        <v>1168</v>
      </c>
      <c r="B245" s="1889"/>
      <c r="C245" s="1889"/>
      <c r="D245" s="1889"/>
      <c r="E245" s="1889"/>
      <c r="F245" s="1889"/>
      <c r="G245" s="1889"/>
    </row>
    <row r="246" spans="1:7">
      <c r="D246" s="263"/>
      <c r="E246" s="135"/>
      <c r="F246" s="135"/>
    </row>
    <row r="247" spans="1:7">
      <c r="C247" s="255"/>
      <c r="D247" s="1918" t="s">
        <v>1301</v>
      </c>
      <c r="E247" s="1918"/>
      <c r="F247" s="1918"/>
    </row>
    <row r="248" spans="1:7">
      <c r="C248" s="255"/>
      <c r="D248" s="1918"/>
      <c r="E248" s="1918"/>
      <c r="F248" s="1918"/>
    </row>
    <row r="249" spans="1:7">
      <c r="A249" s="260"/>
      <c r="B249" s="260"/>
      <c r="C249" s="260"/>
      <c r="D249" s="5"/>
      <c r="E249" s="6"/>
      <c r="F249" s="6"/>
    </row>
    <row r="250" spans="1:7">
      <c r="C250" s="260"/>
      <c r="D250" s="1892" t="s">
        <v>214</v>
      </c>
      <c r="E250" s="1892"/>
      <c r="F250" s="1892"/>
    </row>
    <row r="251" spans="1:7" ht="15.75" customHeight="1">
      <c r="A251" s="261"/>
      <c r="B251" s="261"/>
      <c r="D251" s="1900" t="s">
        <v>1302</v>
      </c>
      <c r="E251" s="1900"/>
      <c r="F251" s="1900"/>
    </row>
    <row r="252" spans="1:7">
      <c r="E252" s="135"/>
      <c r="F252" s="135"/>
    </row>
    <row r="253" spans="1:7" ht="14.25">
      <c r="A253" s="261"/>
      <c r="B253" s="680" t="s">
        <v>317</v>
      </c>
      <c r="D253" s="1869" t="s">
        <v>1303</v>
      </c>
      <c r="E253" s="1869"/>
      <c r="F253" s="1869"/>
    </row>
    <row r="254" spans="1:7" ht="14.25">
      <c r="A254" s="261"/>
      <c r="B254" s="261"/>
      <c r="D254" s="1869"/>
      <c r="E254" s="1869"/>
      <c r="F254" s="1869"/>
    </row>
    <row r="255" spans="1:7">
      <c r="D255" s="135"/>
      <c r="E255" s="135"/>
      <c r="F255" s="135"/>
    </row>
    <row r="256" spans="1:7" ht="14.25">
      <c r="A256" s="261"/>
      <c r="B256" s="680" t="s">
        <v>317</v>
      </c>
      <c r="D256" s="1883" t="s">
        <v>1304</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80" t="s">
        <v>317</v>
      </c>
      <c r="D260" s="1869" t="s">
        <v>1305</v>
      </c>
      <c r="E260" s="1869"/>
      <c r="F260" s="1869"/>
    </row>
    <row r="261" spans="1:7" ht="14.25">
      <c r="A261" s="261"/>
      <c r="B261" s="261"/>
      <c r="D261" s="1869"/>
      <c r="E261" s="1869"/>
      <c r="F261" s="1869"/>
    </row>
    <row r="262" spans="1:7">
      <c r="A262" s="23"/>
      <c r="B262" s="676"/>
      <c r="E262" s="135"/>
      <c r="F262" s="135"/>
    </row>
    <row r="263" spans="1:7">
      <c r="A263" s="1889" t="s">
        <v>1169</v>
      </c>
      <c r="B263" s="1889"/>
      <c r="C263" s="1889"/>
      <c r="D263" s="1889"/>
      <c r="E263" s="1889"/>
      <c r="F263" s="1889"/>
      <c r="G263" s="1889"/>
    </row>
    <row r="264" spans="1:7">
      <c r="A264" s="23"/>
      <c r="B264" s="676"/>
      <c r="D264" s="135"/>
      <c r="E264" s="135"/>
      <c r="F264" s="135"/>
    </row>
    <row r="265" spans="1:7">
      <c r="C265" s="23"/>
      <c r="D265" s="1892" t="s">
        <v>719</v>
      </c>
      <c r="E265" s="1892"/>
      <c r="F265" s="1892"/>
    </row>
    <row r="266" spans="1:7">
      <c r="C266" s="23"/>
      <c r="D266" s="1882" t="s">
        <v>1306</v>
      </c>
      <c r="E266" s="1882"/>
      <c r="F266" s="1882"/>
    </row>
    <row r="267" spans="1:7">
      <c r="C267" s="23"/>
      <c r="D267" s="259"/>
    </row>
    <row r="268" spans="1:7">
      <c r="A268" s="273"/>
      <c r="B268" s="680" t="s">
        <v>317</v>
      </c>
      <c r="D268" s="1882" t="s">
        <v>1307</v>
      </c>
      <c r="E268" s="1882"/>
      <c r="F268" s="1882"/>
    </row>
    <row r="269" spans="1:7" s="39" customFormat="1" ht="14.25">
      <c r="A269" s="404"/>
      <c r="B269" s="404"/>
      <c r="C269" s="273"/>
      <c r="D269" s="498"/>
      <c r="E269" s="499"/>
      <c r="F269" s="499"/>
      <c r="G269" s="130"/>
    </row>
    <row r="270" spans="1:7" s="39" customFormat="1" ht="13.15" customHeight="1">
      <c r="A270" s="273"/>
      <c r="B270" s="680" t="s">
        <v>317</v>
      </c>
      <c r="C270" s="273"/>
      <c r="D270" s="1895" t="s">
        <v>1308</v>
      </c>
      <c r="E270" s="1895"/>
      <c r="F270" s="1895"/>
      <c r="G270" s="130"/>
    </row>
    <row r="271" spans="1:7" s="39" customFormat="1" ht="14.25">
      <c r="A271" s="404"/>
      <c r="B271" s="404"/>
      <c r="C271" s="273"/>
      <c r="D271" s="1895"/>
      <c r="E271" s="1895"/>
      <c r="F271" s="1895"/>
      <c r="G271" s="130"/>
    </row>
    <row r="272" spans="1:7" s="39" customFormat="1" ht="14.25">
      <c r="A272" s="404"/>
      <c r="B272" s="404"/>
      <c r="C272" s="273"/>
      <c r="D272" s="1895"/>
      <c r="E272" s="1895"/>
      <c r="F272" s="1895"/>
      <c r="G272" s="130"/>
    </row>
    <row r="273" spans="1:7" s="39" customFormat="1" ht="14.25">
      <c r="A273" s="404"/>
      <c r="B273" s="404"/>
      <c r="C273" s="273"/>
      <c r="D273" s="1895"/>
      <c r="E273" s="1895"/>
      <c r="F273" s="1895"/>
      <c r="G273" s="130"/>
    </row>
    <row r="274" spans="1:7" s="39" customFormat="1" ht="14.25">
      <c r="A274" s="404"/>
      <c r="B274" s="404"/>
      <c r="C274" s="273"/>
      <c r="D274" s="1895"/>
      <c r="E274" s="1895"/>
      <c r="F274" s="1895"/>
      <c r="G274" s="130"/>
    </row>
    <row r="275" spans="1:7" s="39" customFormat="1" ht="14.25">
      <c r="A275" s="404"/>
      <c r="B275" s="404"/>
      <c r="C275" s="273"/>
      <c r="D275" s="498"/>
      <c r="E275" s="499"/>
      <c r="F275" s="499"/>
      <c r="G275" s="130"/>
    </row>
    <row r="276" spans="1:7" s="39" customFormat="1" ht="13.15" customHeight="1">
      <c r="A276" s="273"/>
      <c r="B276" s="680" t="s">
        <v>317</v>
      </c>
      <c r="C276" s="273"/>
      <c r="D276" s="1895" t="s">
        <v>1309</v>
      </c>
      <c r="E276" s="1895"/>
      <c r="F276" s="1895"/>
      <c r="G276" s="130"/>
    </row>
    <row r="277" spans="1:7" s="39" customFormat="1">
      <c r="A277" s="273"/>
      <c r="B277" s="273"/>
      <c r="C277" s="273"/>
      <c r="D277" s="1895"/>
      <c r="E277" s="1895"/>
      <c r="F277" s="1895"/>
      <c r="G277" s="130"/>
    </row>
    <row r="278" spans="1:7" s="39" customFormat="1" ht="14.25">
      <c r="A278" s="404"/>
      <c r="B278" s="404"/>
      <c r="C278" s="273"/>
      <c r="D278" s="498"/>
      <c r="E278" s="499"/>
      <c r="F278" s="499"/>
      <c r="G278" s="130"/>
    </row>
    <row r="279" spans="1:7">
      <c r="A279" s="273"/>
      <c r="B279" s="680" t="s">
        <v>317</v>
      </c>
      <c r="D279" s="1882" t="s">
        <v>1310</v>
      </c>
      <c r="E279" s="1882"/>
      <c r="F279" s="1882"/>
    </row>
    <row r="280" spans="1:7">
      <c r="E280" s="135"/>
      <c r="F280" s="135"/>
    </row>
    <row r="281" spans="1:7" ht="14.25">
      <c r="A281" s="261"/>
      <c r="B281" s="680" t="s">
        <v>317</v>
      </c>
      <c r="D281" s="1883" t="s">
        <v>1311</v>
      </c>
      <c r="E281" s="1883"/>
      <c r="F281" s="1883"/>
    </row>
    <row r="282" spans="1:7" ht="14.25">
      <c r="A282" s="261"/>
      <c r="B282" s="261"/>
      <c r="D282" s="1883"/>
      <c r="E282" s="1883"/>
      <c r="F282" s="1883"/>
    </row>
    <row r="283" spans="1:7" s="720" customFormat="1" ht="14.25">
      <c r="A283" s="715"/>
      <c r="B283" s="715"/>
      <c r="C283" s="732"/>
      <c r="D283" s="1883"/>
      <c r="E283" s="1883"/>
      <c r="F283" s="1883"/>
      <c r="G283" s="7"/>
    </row>
    <row r="284" spans="1:7" s="720" customFormat="1" ht="14.25">
      <c r="A284" s="715"/>
      <c r="B284" s="715"/>
      <c r="C284" s="732"/>
      <c r="D284" s="1883"/>
      <c r="E284" s="1883"/>
      <c r="F284" s="1883"/>
      <c r="G284" s="7"/>
    </row>
    <row r="285" spans="1:7" s="720" customFormat="1" ht="14.25">
      <c r="A285" s="715"/>
      <c r="B285" s="715"/>
      <c r="C285" s="732"/>
      <c r="D285" s="1883"/>
      <c r="E285" s="1883"/>
      <c r="F285" s="1883"/>
      <c r="G285" s="7"/>
    </row>
    <row r="286" spans="1:7" s="720" customFormat="1" ht="14.25">
      <c r="A286" s="715"/>
      <c r="B286" s="715"/>
      <c r="C286" s="732"/>
      <c r="D286" s="1883"/>
      <c r="E286" s="1883"/>
      <c r="F286" s="1883"/>
      <c r="G286" s="7"/>
    </row>
    <row r="287" spans="1:7" s="720" customFormat="1" ht="14.25">
      <c r="A287" s="715"/>
      <c r="B287" s="715"/>
      <c r="C287" s="732"/>
      <c r="D287" s="1883"/>
      <c r="E287" s="1883"/>
      <c r="F287" s="1883"/>
      <c r="G287" s="7"/>
    </row>
    <row r="288" spans="1:7" s="720" customFormat="1" ht="14.25">
      <c r="A288" s="715"/>
      <c r="B288" s="715"/>
      <c r="C288" s="732"/>
      <c r="D288" s="1883"/>
      <c r="E288" s="1883"/>
      <c r="F288" s="1883"/>
      <c r="G288" s="7"/>
    </row>
    <row r="289" spans="1:7" s="720" customFormat="1" ht="14.25">
      <c r="A289" s="715"/>
      <c r="B289" s="715"/>
      <c r="C289" s="732"/>
      <c r="D289" s="1883"/>
      <c r="E289" s="1883"/>
      <c r="F289" s="1883"/>
      <c r="G289" s="7"/>
    </row>
    <row r="290" spans="1:7" s="720" customFormat="1" ht="14.25">
      <c r="A290" s="715"/>
      <c r="B290" s="715"/>
      <c r="C290" s="732"/>
      <c r="D290" s="1883"/>
      <c r="E290" s="1883"/>
      <c r="F290" s="1883"/>
      <c r="G290" s="7"/>
    </row>
    <row r="291" spans="1:7" s="720" customFormat="1" ht="14.25">
      <c r="A291" s="715"/>
      <c r="B291" s="715"/>
      <c r="C291" s="732"/>
      <c r="D291" s="1883"/>
      <c r="E291" s="1883"/>
      <c r="F291" s="1883"/>
      <c r="G291" s="7"/>
    </row>
    <row r="292" spans="1:7" s="720" customFormat="1" ht="14.25">
      <c r="A292" s="715"/>
      <c r="B292" s="715"/>
      <c r="C292" s="732"/>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80" t="s">
        <v>317</v>
      </c>
      <c r="D297" s="1883" t="s">
        <v>1312</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80" t="s">
        <v>317</v>
      </c>
      <c r="D307" s="1869" t="s">
        <v>1313</v>
      </c>
      <c r="E307" s="1869"/>
      <c r="F307" s="1869"/>
    </row>
    <row r="308" spans="1:7">
      <c r="D308" s="1869"/>
      <c r="E308" s="1869"/>
      <c r="F308" s="1869"/>
      <c r="G308" s="12"/>
    </row>
    <row r="309" spans="1:7">
      <c r="D309" s="1869"/>
      <c r="E309" s="1869"/>
      <c r="F309" s="1869"/>
      <c r="G309" s="12"/>
    </row>
    <row r="310" spans="1:7">
      <c r="D310" s="1869"/>
      <c r="E310" s="1869"/>
      <c r="F310" s="1869"/>
      <c r="G310" s="12"/>
    </row>
    <row r="311" spans="1:7">
      <c r="D311" s="1869"/>
      <c r="E311" s="1869"/>
      <c r="F311" s="1869"/>
      <c r="G311" s="12"/>
    </row>
    <row r="312" spans="1:7">
      <c r="D312" s="1869"/>
      <c r="E312" s="1869"/>
      <c r="F312" s="1869"/>
      <c r="G312" s="12"/>
    </row>
    <row r="313" spans="1:7" s="720" customFormat="1">
      <c r="A313" s="732"/>
      <c r="B313" s="732"/>
      <c r="C313" s="732"/>
      <c r="D313" s="729"/>
      <c r="E313" s="729"/>
      <c r="F313" s="729"/>
    </row>
    <row r="314" spans="1:7" ht="13.5" thickBot="1">
      <c r="D314" s="1901" t="s">
        <v>1062</v>
      </c>
      <c r="E314" s="1901"/>
      <c r="F314" s="1901"/>
      <c r="G314" s="12"/>
    </row>
    <row r="315" spans="1:7" s="720" customFormat="1" ht="13.5" thickTop="1">
      <c r="A315" s="732"/>
      <c r="B315" s="732"/>
      <c r="C315" s="732"/>
      <c r="D315" s="1902" t="s">
        <v>1314</v>
      </c>
      <c r="E315" s="1902"/>
      <c r="F315" s="1902"/>
    </row>
    <row r="316" spans="1:7">
      <c r="A316" s="326"/>
      <c r="B316" s="326"/>
      <c r="C316" s="326"/>
      <c r="D316" s="468"/>
      <c r="E316" s="468"/>
      <c r="F316" s="135"/>
      <c r="G316" s="12"/>
    </row>
    <row r="317" spans="1:7" ht="14.25">
      <c r="A317" s="261"/>
      <c r="B317" s="680" t="s">
        <v>317</v>
      </c>
      <c r="C317" s="326"/>
      <c r="D317" s="1903" t="s">
        <v>1315</v>
      </c>
      <c r="E317" s="1903"/>
      <c r="F317" s="1903"/>
      <c r="G317" s="12"/>
    </row>
    <row r="318" spans="1:7">
      <c r="A318" s="326"/>
      <c r="B318" s="326"/>
      <c r="C318" s="326"/>
      <c r="D318" s="468"/>
      <c r="E318" s="468"/>
      <c r="F318" s="135"/>
      <c r="G318" s="12"/>
    </row>
    <row r="319" spans="1:7">
      <c r="A319" s="326"/>
      <c r="B319" s="680" t="s">
        <v>317</v>
      </c>
      <c r="C319" s="326"/>
      <c r="D319" s="1898" t="s">
        <v>1316</v>
      </c>
      <c r="E319" s="1898"/>
      <c r="F319" s="1898"/>
      <c r="G319" s="12"/>
    </row>
    <row r="320" spans="1:7">
      <c r="A320" s="326"/>
      <c r="B320" s="326"/>
      <c r="C320" s="326"/>
      <c r="D320" s="1898"/>
      <c r="E320" s="1898"/>
      <c r="F320" s="1898"/>
      <c r="G320" s="12"/>
    </row>
    <row r="321" spans="1:7">
      <c r="A321" s="326"/>
      <c r="B321" s="326"/>
      <c r="C321" s="326"/>
      <c r="D321" s="1898"/>
      <c r="E321" s="1898"/>
      <c r="F321" s="1898"/>
      <c r="G321" s="12"/>
    </row>
    <row r="322" spans="1:7">
      <c r="A322" s="326"/>
      <c r="B322" s="326"/>
      <c r="C322" s="326"/>
      <c r="D322" s="1898"/>
      <c r="E322" s="1898"/>
      <c r="F322" s="1898"/>
      <c r="G322" s="12"/>
    </row>
    <row r="323" spans="1:7" s="720" customFormat="1">
      <c r="A323" s="326"/>
      <c r="B323" s="326"/>
      <c r="C323" s="326"/>
      <c r="D323" s="1898"/>
      <c r="E323" s="1898"/>
      <c r="F323" s="1898"/>
    </row>
    <row r="324" spans="1:7" s="720" customFormat="1">
      <c r="A324" s="326"/>
      <c r="B324" s="326"/>
      <c r="C324" s="326"/>
      <c r="D324" s="1898"/>
      <c r="E324" s="1898"/>
      <c r="F324" s="1898"/>
    </row>
    <row r="325" spans="1:7" s="720" customFormat="1">
      <c r="A325" s="326"/>
      <c r="B325" s="326"/>
      <c r="C325" s="326"/>
      <c r="D325" s="1898"/>
      <c r="E325" s="1898"/>
      <c r="F325" s="1898"/>
    </row>
    <row r="326" spans="1:7" s="720" customFormat="1">
      <c r="A326" s="326"/>
      <c r="B326" s="326"/>
      <c r="C326" s="326"/>
      <c r="D326" s="1898"/>
      <c r="E326" s="1898"/>
      <c r="F326" s="1898"/>
    </row>
    <row r="327" spans="1:7">
      <c r="A327" s="326"/>
      <c r="B327" s="326"/>
      <c r="C327" s="326"/>
      <c r="D327" s="1898"/>
      <c r="E327" s="1898"/>
      <c r="F327" s="1898"/>
      <c r="G327" s="12"/>
    </row>
    <row r="328" spans="1:7">
      <c r="A328" s="326"/>
      <c r="B328" s="326"/>
      <c r="C328" s="326"/>
      <c r="D328" s="1898"/>
      <c r="E328" s="1898"/>
      <c r="F328" s="1898"/>
      <c r="G328" s="12"/>
    </row>
    <row r="329" spans="1:7">
      <c r="A329" s="326"/>
      <c r="B329" s="326"/>
      <c r="C329" s="326"/>
      <c r="D329" s="1898"/>
      <c r="E329" s="1898"/>
      <c r="F329" s="1898"/>
      <c r="G329" s="12"/>
    </row>
    <row r="330" spans="1:7">
      <c r="A330" s="326"/>
      <c r="B330" s="326"/>
      <c r="C330" s="326"/>
      <c r="D330" s="12"/>
      <c r="E330" s="468"/>
      <c r="F330" s="135"/>
      <c r="G330" s="12"/>
    </row>
    <row r="331" spans="1:7" ht="14.25">
      <c r="A331" s="261"/>
      <c r="B331" s="680" t="s">
        <v>317</v>
      </c>
      <c r="C331" s="326"/>
      <c r="D331" s="1896" t="s">
        <v>1317</v>
      </c>
      <c r="E331" s="1896"/>
      <c r="F331" s="1896"/>
      <c r="G331" s="12"/>
    </row>
    <row r="332" spans="1:7">
      <c r="A332" s="326"/>
      <c r="B332" s="326"/>
      <c r="C332" s="326"/>
      <c r="D332" s="1896"/>
      <c r="E332" s="1896"/>
      <c r="F332" s="1896"/>
      <c r="G332" s="12"/>
    </row>
    <row r="333" spans="1:7">
      <c r="A333" s="326"/>
      <c r="B333" s="326"/>
      <c r="C333" s="326"/>
      <c r="D333" s="1896"/>
      <c r="E333" s="1896"/>
      <c r="F333" s="1896"/>
      <c r="G333" s="12"/>
    </row>
    <row r="334" spans="1:7">
      <c r="A334" s="326"/>
      <c r="B334" s="326"/>
      <c r="C334" s="326"/>
      <c r="D334" s="1896"/>
      <c r="E334" s="1896"/>
      <c r="F334" s="1896"/>
      <c r="G334" s="12"/>
    </row>
    <row r="335" spans="1:7">
      <c r="A335" s="326"/>
      <c r="B335" s="326"/>
      <c r="C335" s="326"/>
      <c r="D335" s="506"/>
      <c r="E335" s="468"/>
      <c r="F335" s="135"/>
      <c r="G335" s="12"/>
    </row>
    <row r="336" spans="1:7">
      <c r="A336" s="326"/>
      <c r="B336" s="326"/>
      <c r="C336" s="326"/>
      <c r="D336" s="1896" t="s">
        <v>1318</v>
      </c>
      <c r="E336" s="1896"/>
      <c r="F336" s="1896"/>
      <c r="G336" s="12"/>
    </row>
    <row r="337" spans="1:7">
      <c r="A337" s="326"/>
      <c r="B337" s="326"/>
      <c r="C337" s="326"/>
      <c r="D337" s="1896"/>
      <c r="E337" s="1896"/>
      <c r="F337" s="1896"/>
      <c r="G337" s="12"/>
    </row>
    <row r="338" spans="1:7">
      <c r="A338" s="326"/>
      <c r="B338" s="326"/>
      <c r="C338" s="326"/>
      <c r="D338" s="1896"/>
      <c r="E338" s="1896"/>
      <c r="F338" s="1896"/>
      <c r="G338" s="12"/>
    </row>
    <row r="339" spans="1:7">
      <c r="A339" s="326"/>
      <c r="B339" s="326"/>
      <c r="C339" s="326"/>
      <c r="D339" s="1896"/>
      <c r="E339" s="1896"/>
      <c r="F339" s="1896"/>
      <c r="G339" s="12"/>
    </row>
    <row r="340" spans="1:7" ht="18" customHeight="1">
      <c r="A340" s="326"/>
      <c r="B340" s="326"/>
      <c r="C340" s="326"/>
      <c r="D340" s="1896"/>
      <c r="E340" s="1896"/>
      <c r="F340" s="1896"/>
      <c r="G340" s="12"/>
    </row>
    <row r="341" spans="1:7">
      <c r="A341" s="326"/>
      <c r="B341" s="326"/>
      <c r="C341" s="326"/>
      <c r="D341" s="1896"/>
      <c r="E341" s="1896"/>
      <c r="F341" s="1896"/>
      <c r="G341" s="12"/>
    </row>
    <row r="342" spans="1:7">
      <c r="A342" s="326"/>
      <c r="B342" s="326"/>
      <c r="C342" s="326"/>
      <c r="D342" s="1896"/>
      <c r="E342" s="1896"/>
      <c r="F342" s="1896"/>
      <c r="G342" s="12"/>
    </row>
    <row r="343" spans="1:7">
      <c r="A343" s="326"/>
      <c r="B343" s="326"/>
      <c r="C343" s="326"/>
      <c r="D343" s="1896"/>
      <c r="E343" s="1896"/>
      <c r="F343" s="1896"/>
      <c r="G343" s="12"/>
    </row>
    <row r="344" spans="1:7" ht="8.25" customHeight="1">
      <c r="A344" s="326"/>
      <c r="B344" s="326"/>
      <c r="C344" s="326"/>
      <c r="D344" s="1896"/>
      <c r="E344" s="1896"/>
      <c r="F344" s="1896"/>
      <c r="G344" s="12"/>
    </row>
    <row r="345" spans="1:7" ht="13.15" customHeight="1">
      <c r="A345" s="326"/>
      <c r="B345" s="326"/>
      <c r="C345" s="326"/>
      <c r="D345" s="1897" t="s">
        <v>1319</v>
      </c>
      <c r="E345" s="1897"/>
      <c r="F345" s="1897"/>
      <c r="G345" s="12"/>
    </row>
    <row r="346" spans="1:7">
      <c r="A346" s="326"/>
      <c r="B346" s="326"/>
      <c r="C346" s="326"/>
      <c r="D346" s="1897"/>
      <c r="E346" s="1897"/>
      <c r="F346" s="1897"/>
      <c r="G346" s="12"/>
    </row>
    <row r="347" spans="1:7">
      <c r="A347" s="326"/>
      <c r="B347" s="326"/>
      <c r="C347" s="326"/>
      <c r="D347" s="1897"/>
      <c r="E347" s="1897"/>
      <c r="F347" s="1897"/>
      <c r="G347" s="12"/>
    </row>
    <row r="348" spans="1:7" s="720" customFormat="1">
      <c r="A348" s="326"/>
      <c r="B348" s="326"/>
      <c r="C348" s="326"/>
      <c r="D348" s="1897"/>
      <c r="E348" s="1897"/>
      <c r="F348" s="1897"/>
    </row>
    <row r="349" spans="1:7" s="720" customFormat="1">
      <c r="A349" s="326"/>
      <c r="B349" s="326"/>
      <c r="C349" s="326"/>
      <c r="D349" s="1897"/>
      <c r="E349" s="1897"/>
      <c r="F349" s="1897"/>
    </row>
    <row r="350" spans="1:7" s="720" customFormat="1">
      <c r="A350" s="326"/>
      <c r="B350" s="326"/>
      <c r="C350" s="326"/>
      <c r="D350" s="1897"/>
      <c r="E350" s="1897"/>
      <c r="F350" s="1897"/>
    </row>
    <row r="351" spans="1:7" s="720" customFormat="1">
      <c r="A351" s="326"/>
      <c r="B351" s="326"/>
      <c r="C351" s="326"/>
      <c r="D351" s="1897"/>
      <c r="E351" s="1897"/>
      <c r="F351" s="1897"/>
    </row>
    <row r="352" spans="1:7" s="720" customFormat="1">
      <c r="A352" s="326"/>
      <c r="B352" s="326"/>
      <c r="C352" s="326"/>
      <c r="D352" s="1897"/>
      <c r="E352" s="1897"/>
      <c r="F352" s="1897"/>
    </row>
    <row r="353" spans="1:7">
      <c r="A353" s="326"/>
      <c r="B353" s="326"/>
      <c r="C353" s="326"/>
      <c r="D353" s="1897"/>
      <c r="E353" s="1897"/>
      <c r="F353" s="1897"/>
      <c r="G353" s="12"/>
    </row>
    <row r="354" spans="1:7">
      <c r="A354" s="326"/>
      <c r="B354" s="326"/>
      <c r="C354" s="326"/>
      <c r="D354" s="1897"/>
      <c r="E354" s="1897"/>
      <c r="F354" s="1897"/>
      <c r="G354" s="12"/>
    </row>
    <row r="355" spans="1:7">
      <c r="A355" s="326"/>
      <c r="B355" s="326"/>
      <c r="C355" s="326"/>
      <c r="D355" s="1897"/>
      <c r="E355" s="1897"/>
      <c r="F355" s="1897"/>
      <c r="G355" s="12"/>
    </row>
    <row r="356" spans="1:7">
      <c r="A356" s="326"/>
      <c r="B356" s="326"/>
      <c r="C356" s="326"/>
      <c r="D356" s="1897"/>
      <c r="E356" s="1897"/>
      <c r="F356" s="1897"/>
      <c r="G356" s="12"/>
    </row>
    <row r="357" spans="1:7">
      <c r="A357" s="326"/>
      <c r="B357" s="326"/>
      <c r="C357" s="508"/>
      <c r="D357" s="1897"/>
      <c r="E357" s="1897"/>
      <c r="F357" s="1897"/>
      <c r="G357" s="12"/>
    </row>
    <row r="358" spans="1:7">
      <c r="A358" s="326"/>
      <c r="B358" s="326"/>
      <c r="C358" s="508"/>
      <c r="D358" s="1897"/>
      <c r="E358" s="1897"/>
      <c r="F358" s="1897"/>
      <c r="G358" s="12"/>
    </row>
    <row r="359" spans="1:7">
      <c r="A359" s="326"/>
      <c r="B359" s="326"/>
      <c r="C359" s="326"/>
      <c r="D359" s="1897"/>
      <c r="E359" s="1897"/>
      <c r="F359" s="1897"/>
      <c r="G359" s="12"/>
    </row>
    <row r="360" spans="1:7">
      <c r="A360" s="326"/>
      <c r="B360" s="326"/>
      <c r="C360" s="508"/>
      <c r="D360" s="1897"/>
      <c r="E360" s="1897"/>
      <c r="F360" s="1897"/>
      <c r="G360" s="12"/>
    </row>
    <row r="361" spans="1:7">
      <c r="A361" s="326"/>
      <c r="B361" s="326"/>
      <c r="C361" s="508"/>
      <c r="D361" s="1897"/>
      <c r="E361" s="1897"/>
      <c r="F361" s="1897"/>
      <c r="G361" s="12"/>
    </row>
    <row r="362" spans="1:7">
      <c r="A362" s="326"/>
      <c r="B362" s="326"/>
      <c r="C362" s="508"/>
      <c r="D362" s="1897"/>
      <c r="E362" s="1897"/>
      <c r="F362" s="1897"/>
      <c r="G362" s="12"/>
    </row>
    <row r="363" spans="1:7">
      <c r="A363" s="326"/>
      <c r="B363" s="326"/>
      <c r="C363" s="326"/>
      <c r="D363" s="506"/>
      <c r="E363" s="468"/>
      <c r="F363" s="135"/>
      <c r="G363" s="12"/>
    </row>
    <row r="364" spans="1:7">
      <c r="A364" s="326"/>
      <c r="B364" s="680" t="s">
        <v>317</v>
      </c>
      <c r="C364" s="326"/>
      <c r="D364" s="1897" t="s">
        <v>1320</v>
      </c>
      <c r="E364" s="1897"/>
      <c r="F364" s="1897"/>
      <c r="G364" s="12"/>
    </row>
    <row r="365" spans="1:7">
      <c r="A365" s="326"/>
      <c r="B365" s="326"/>
      <c r="C365" s="326"/>
      <c r="D365" s="1897"/>
      <c r="E365" s="1897"/>
      <c r="F365" s="1897"/>
      <c r="G365" s="12"/>
    </row>
    <row r="366" spans="1:7">
      <c r="A366" s="326"/>
      <c r="B366" s="326"/>
      <c r="C366" s="326"/>
      <c r="D366" s="468"/>
      <c r="E366" s="468"/>
      <c r="F366" s="135"/>
      <c r="G366" s="12"/>
    </row>
    <row r="367" spans="1:7" ht="14.25">
      <c r="A367" s="261"/>
      <c r="B367" s="680" t="s">
        <v>317</v>
      </c>
      <c r="C367" s="326"/>
      <c r="D367" s="1898" t="s">
        <v>1321</v>
      </c>
      <c r="E367" s="1898"/>
      <c r="F367" s="1898"/>
      <c r="G367" s="12"/>
    </row>
    <row r="368" spans="1:7" ht="14.25">
      <c r="A368" s="507"/>
      <c r="B368" s="507"/>
      <c r="C368" s="326"/>
      <c r="D368" s="1898"/>
      <c r="E368" s="1898"/>
      <c r="F368" s="1898"/>
      <c r="G368" s="12"/>
    </row>
    <row r="369" spans="1:7" ht="14.25">
      <c r="A369" s="507"/>
      <c r="B369" s="507"/>
      <c r="C369" s="326"/>
      <c r="D369" s="1898"/>
      <c r="E369" s="1898"/>
      <c r="F369" s="1898"/>
      <c r="G369" s="12"/>
    </row>
    <row r="370" spans="1:7" ht="14.25">
      <c r="A370" s="507"/>
      <c r="B370" s="507"/>
      <c r="C370" s="326"/>
      <c r="D370" s="1898"/>
      <c r="E370" s="1898"/>
      <c r="F370" s="1898"/>
      <c r="G370" s="12"/>
    </row>
    <row r="371" spans="1:7" ht="14.25">
      <c r="A371" s="507"/>
      <c r="B371" s="507"/>
      <c r="C371" s="326"/>
      <c r="D371" s="1898"/>
      <c r="E371" s="1898"/>
      <c r="F371" s="1898"/>
      <c r="G371" s="12"/>
    </row>
    <row r="372" spans="1:7">
      <c r="D372" s="135"/>
      <c r="E372" s="135"/>
      <c r="F372" s="135"/>
      <c r="G372" s="12"/>
    </row>
    <row r="373" spans="1:7" ht="14.25">
      <c r="A373" s="261"/>
      <c r="B373" s="680" t="s">
        <v>317</v>
      </c>
      <c r="C373" s="266"/>
      <c r="D373" s="1869" t="s">
        <v>1322</v>
      </c>
      <c r="E373" s="1869"/>
      <c r="F373" s="1869"/>
      <c r="G373" s="12"/>
    </row>
    <row r="374" spans="1:7" ht="14.25">
      <c r="A374" s="261"/>
      <c r="B374" s="261"/>
      <c r="D374" s="1869"/>
      <c r="E374" s="1869"/>
      <c r="F374" s="1869"/>
      <c r="G374" s="12"/>
    </row>
    <row r="375" spans="1:7">
      <c r="D375" s="1869"/>
      <c r="E375" s="1869"/>
      <c r="F375" s="1869"/>
      <c r="G375" s="12"/>
    </row>
    <row r="376" spans="1:7">
      <c r="D376" s="1869"/>
      <c r="E376" s="1869"/>
      <c r="F376" s="1869"/>
      <c r="G376" s="12"/>
    </row>
    <row r="377" spans="1:7">
      <c r="D377" s="1869"/>
      <c r="E377" s="1869"/>
      <c r="F377" s="1869"/>
      <c r="G377" s="12"/>
    </row>
    <row r="378" spans="1:7">
      <c r="D378" s="1869"/>
      <c r="E378" s="1869"/>
      <c r="F378" s="1869"/>
      <c r="G378" s="12"/>
    </row>
    <row r="379" spans="1:7">
      <c r="D379" s="1869"/>
      <c r="E379" s="1869"/>
      <c r="F379" s="1869"/>
      <c r="G379" s="12"/>
    </row>
    <row r="380" spans="1:7">
      <c r="D380" s="1869"/>
      <c r="E380" s="1869"/>
      <c r="F380" s="1869"/>
      <c r="G380" s="12"/>
    </row>
    <row r="381" spans="1:7">
      <c r="D381" s="1869"/>
      <c r="E381" s="1869"/>
      <c r="F381" s="1869"/>
      <c r="G381" s="12"/>
    </row>
    <row r="382" spans="1:7">
      <c r="D382" s="1869"/>
      <c r="E382" s="1869"/>
      <c r="F382" s="1869"/>
      <c r="G382" s="12"/>
    </row>
    <row r="383" spans="1:7">
      <c r="D383" s="1869"/>
      <c r="E383" s="1869"/>
      <c r="F383" s="1869"/>
      <c r="G383" s="12"/>
    </row>
    <row r="384" spans="1:7">
      <c r="D384" s="1869"/>
      <c r="E384" s="1869"/>
      <c r="F384" s="1869"/>
      <c r="G384" s="12"/>
    </row>
    <row r="385" spans="1:7">
      <c r="D385" s="1869"/>
      <c r="E385" s="1869"/>
      <c r="F385" s="1869"/>
      <c r="G385" s="12"/>
    </row>
    <row r="386" spans="1:7">
      <c r="A386" s="12"/>
      <c r="B386" s="12"/>
      <c r="C386" s="12"/>
      <c r="D386" s="1869"/>
      <c r="E386" s="1869"/>
      <c r="F386" s="1869"/>
      <c r="G386" s="12"/>
    </row>
    <row r="387" spans="1:7">
      <c r="A387" s="12"/>
      <c r="B387" s="12"/>
      <c r="C387" s="12"/>
      <c r="D387" s="1869"/>
      <c r="E387" s="1869"/>
      <c r="F387" s="1869"/>
      <c r="G387" s="12"/>
    </row>
    <row r="388" spans="1:7">
      <c r="A388" s="12"/>
      <c r="B388" s="12"/>
      <c r="C388" s="12"/>
      <c r="D388" s="1869"/>
      <c r="E388" s="1869"/>
      <c r="F388" s="1869"/>
      <c r="G388" s="12"/>
    </row>
    <row r="389" spans="1:7">
      <c r="A389" s="12"/>
      <c r="B389" s="12"/>
      <c r="C389" s="12"/>
      <c r="D389" s="1869"/>
      <c r="E389" s="1869"/>
      <c r="F389" s="1869"/>
      <c r="G389" s="12"/>
    </row>
    <row r="390" spans="1:7">
      <c r="A390" s="12"/>
      <c r="B390" s="12"/>
      <c r="C390" s="12"/>
      <c r="D390" s="1869"/>
      <c r="E390" s="1869"/>
      <c r="F390" s="1869"/>
      <c r="G390" s="12"/>
    </row>
    <row r="391" spans="1:7">
      <c r="A391" s="12"/>
      <c r="B391" s="12"/>
      <c r="C391" s="12"/>
      <c r="D391" s="1869"/>
      <c r="E391" s="1869"/>
      <c r="F391" s="1869"/>
      <c r="G391" s="12"/>
    </row>
    <row r="392" spans="1:7">
      <c r="A392" s="12"/>
      <c r="B392" s="12"/>
      <c r="C392" s="12"/>
      <c r="D392" s="1869"/>
      <c r="E392" s="1869"/>
      <c r="F392" s="1869"/>
      <c r="G392" s="12"/>
    </row>
    <row r="393" spans="1:7">
      <c r="A393" s="12"/>
      <c r="B393" s="12"/>
      <c r="C393" s="12"/>
      <c r="D393" s="1869"/>
      <c r="E393" s="1869"/>
      <c r="F393" s="1869"/>
      <c r="G393" s="12"/>
    </row>
    <row r="394" spans="1:7">
      <c r="A394" s="12"/>
      <c r="B394" s="12"/>
      <c r="C394" s="12"/>
      <c r="D394" s="1869"/>
      <c r="E394" s="1869"/>
      <c r="F394" s="1869"/>
      <c r="G394" s="12"/>
    </row>
    <row r="395" spans="1:7">
      <c r="A395" s="12"/>
      <c r="B395" s="12"/>
      <c r="C395" s="12"/>
      <c r="D395" s="1869"/>
      <c r="E395" s="1869"/>
      <c r="F395" s="1869"/>
      <c r="G395" s="12"/>
    </row>
    <row r="396" spans="1:7">
      <c r="A396" s="12"/>
      <c r="B396" s="12"/>
      <c r="C396" s="12"/>
      <c r="D396" s="1869"/>
      <c r="E396" s="1869"/>
      <c r="F396" s="1869"/>
      <c r="G396" s="12"/>
    </row>
    <row r="397" spans="1:7">
      <c r="A397" s="12"/>
      <c r="B397" s="12"/>
      <c r="C397" s="12"/>
      <c r="D397" s="1869"/>
      <c r="E397" s="1869"/>
      <c r="F397" s="1869"/>
      <c r="G397" s="12"/>
    </row>
    <row r="398" spans="1:7">
      <c r="A398" s="12"/>
      <c r="B398" s="12"/>
      <c r="C398" s="12"/>
      <c r="D398" s="1869"/>
      <c r="E398" s="1869"/>
      <c r="F398" s="1869"/>
      <c r="G398" s="12"/>
    </row>
    <row r="399" spans="1:7">
      <c r="A399" s="12"/>
      <c r="B399" s="12"/>
      <c r="C399" s="12"/>
      <c r="D399" s="1869"/>
      <c r="E399" s="1869"/>
      <c r="F399" s="1869"/>
      <c r="G399" s="12"/>
    </row>
    <row r="400" spans="1:7">
      <c r="A400" s="12"/>
      <c r="B400" s="12"/>
      <c r="C400" s="12"/>
      <c r="D400" s="1869"/>
      <c r="E400" s="1869"/>
      <c r="F400" s="1869"/>
      <c r="G400" s="12"/>
    </row>
    <row r="401" spans="1:7">
      <c r="A401" s="12"/>
      <c r="B401" s="12"/>
      <c r="C401" s="12"/>
      <c r="D401" s="1869"/>
      <c r="E401" s="1869"/>
      <c r="F401" s="1869"/>
      <c r="G401" s="12"/>
    </row>
    <row r="402" spans="1:7" s="32" customFormat="1">
      <c r="A402" s="132"/>
      <c r="B402" s="677"/>
      <c r="C402" s="132"/>
      <c r="D402" s="1869"/>
      <c r="E402" s="1869"/>
      <c r="F402" s="1869"/>
      <c r="G402" s="30"/>
    </row>
    <row r="403" spans="1:7" s="32" customFormat="1" ht="40.700000000000003" customHeight="1">
      <c r="A403" s="132"/>
      <c r="B403" s="677"/>
      <c r="C403" s="132"/>
      <c r="D403" s="1869"/>
      <c r="E403" s="1869"/>
      <c r="F403" s="1869"/>
      <c r="G403" s="30"/>
    </row>
    <row r="404" spans="1:7" s="32" customFormat="1">
      <c r="A404" s="132"/>
      <c r="B404" s="677"/>
      <c r="C404" s="132"/>
      <c r="D404" s="135"/>
      <c r="E404" s="135"/>
      <c r="F404" s="135"/>
      <c r="G404" s="30"/>
    </row>
    <row r="405" spans="1:7" ht="14.25">
      <c r="A405" s="261"/>
      <c r="B405" s="680" t="s">
        <v>317</v>
      </c>
      <c r="C405" s="266"/>
      <c r="D405" s="1882" t="s">
        <v>1323</v>
      </c>
      <c r="E405" s="1882"/>
      <c r="F405" s="1882"/>
    </row>
    <row r="406" spans="1:7">
      <c r="D406" s="1899" t="s">
        <v>1087</v>
      </c>
      <c r="E406" s="1899"/>
      <c r="F406" s="1899"/>
    </row>
    <row r="407" spans="1:7">
      <c r="D407" s="1883" t="s">
        <v>1324</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80" t="s">
        <v>317</v>
      </c>
      <c r="C412" s="266"/>
      <c r="D412" s="1869" t="s">
        <v>1325</v>
      </c>
      <c r="E412" s="1869"/>
      <c r="F412" s="1869"/>
      <c r="G412" s="12"/>
    </row>
    <row r="413" spans="1:7">
      <c r="D413" s="1869"/>
      <c r="E413" s="1869"/>
      <c r="F413" s="1869"/>
      <c r="G413" s="12"/>
    </row>
    <row r="414" spans="1:7">
      <c r="D414" s="1869"/>
      <c r="E414" s="1869"/>
      <c r="F414" s="1869"/>
      <c r="G414" s="12"/>
    </row>
    <row r="415" spans="1:7" s="720" customFormat="1">
      <c r="A415" s="732"/>
      <c r="B415" s="732"/>
      <c r="C415" s="732"/>
      <c r="D415" s="729"/>
      <c r="E415" s="729"/>
      <c r="F415" s="729"/>
    </row>
    <row r="416" spans="1:7" ht="14.25">
      <c r="B416" s="680" t="s">
        <v>317</v>
      </c>
      <c r="C416" s="261"/>
      <c r="D416" s="1883" t="s">
        <v>1326</v>
      </c>
      <c r="E416" s="1883"/>
      <c r="F416" s="1883"/>
      <c r="G416" s="12"/>
    </row>
    <row r="417" spans="1:7">
      <c r="D417" s="1883"/>
      <c r="E417" s="1883"/>
      <c r="F417" s="1883"/>
      <c r="G417" s="12"/>
    </row>
    <row r="418" spans="1:7">
      <c r="D418" s="135"/>
      <c r="E418" s="135"/>
      <c r="F418" s="135"/>
      <c r="G418" s="12"/>
    </row>
    <row r="419" spans="1:7" ht="14.25">
      <c r="B419" s="680" t="s">
        <v>317</v>
      </c>
      <c r="C419" s="261"/>
      <c r="D419" s="1883" t="s">
        <v>1327</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80" t="s">
        <v>317</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80" t="s">
        <v>317</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80" t="s">
        <v>317</v>
      </c>
      <c r="C430" s="12"/>
      <c r="D430" s="1883"/>
      <c r="E430" s="1883"/>
      <c r="F430" s="1883"/>
      <c r="G430" s="12"/>
    </row>
    <row r="431" spans="1:7">
      <c r="A431" s="12"/>
      <c r="B431" s="12"/>
      <c r="C431" s="12"/>
      <c r="D431" s="1883"/>
      <c r="E431" s="1883"/>
      <c r="F431" s="1883"/>
      <c r="G431" s="12"/>
    </row>
    <row r="432" spans="1:7">
      <c r="A432" s="12"/>
      <c r="B432" s="680" t="s">
        <v>317</v>
      </c>
      <c r="C432" s="12"/>
      <c r="D432" s="1883"/>
      <c r="E432" s="1883"/>
      <c r="F432" s="1883"/>
      <c r="G432" s="12"/>
    </row>
    <row r="433" spans="1:7" s="720" customFormat="1">
      <c r="D433" s="730"/>
      <c r="E433" s="730"/>
      <c r="F433" s="730"/>
    </row>
    <row r="434" spans="1:7">
      <c r="A434" s="12"/>
      <c r="B434" s="719" t="s">
        <v>317</v>
      </c>
      <c r="C434" s="12"/>
      <c r="D434" s="1883" t="s">
        <v>1328</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80" t="s">
        <v>317</v>
      </c>
      <c r="D440" s="1884" t="s">
        <v>1329</v>
      </c>
      <c r="E440" s="1884"/>
      <c r="F440" s="1884"/>
    </row>
    <row r="441" spans="1:7">
      <c r="A441" s="135"/>
      <c r="B441" s="135"/>
    </row>
    <row r="442" spans="1:7">
      <c r="A442" s="1889" t="s">
        <v>1170</v>
      </c>
      <c r="B442" s="1889"/>
      <c r="C442" s="1889"/>
      <c r="D442" s="1889"/>
      <c r="E442" s="1889"/>
      <c r="F442" s="1889"/>
      <c r="G442" s="1889"/>
    </row>
    <row r="443" spans="1:7">
      <c r="A443" s="135"/>
      <c r="B443" s="135"/>
    </row>
    <row r="444" spans="1:7">
      <c r="D444" s="1885" t="s">
        <v>950</v>
      </c>
      <c r="E444" s="1885"/>
      <c r="F444" s="1885"/>
    </row>
    <row r="445" spans="1:7" s="39" customFormat="1" ht="14.25">
      <c r="A445" s="404"/>
      <c r="B445" s="404"/>
      <c r="C445" s="273"/>
      <c r="D445" s="1886" t="s">
        <v>1330</v>
      </c>
      <c r="E445" s="1886"/>
      <c r="F445" s="1886"/>
      <c r="G445" s="130"/>
    </row>
    <row r="446" spans="1:7" s="39" customFormat="1" ht="14.25">
      <c r="A446" s="404"/>
      <c r="B446" s="404"/>
      <c r="C446" s="273"/>
      <c r="D446" s="733"/>
      <c r="E446" s="6"/>
      <c r="F446" s="6"/>
      <c r="G446" s="130"/>
    </row>
    <row r="447" spans="1:7" s="39" customFormat="1" ht="14.25">
      <c r="A447" s="261"/>
      <c r="B447" s="680" t="s">
        <v>317</v>
      </c>
      <c r="C447" s="273"/>
      <c r="D447" s="1887" t="s">
        <v>1331</v>
      </c>
      <c r="E447" s="1887"/>
      <c r="F447" s="1887"/>
      <c r="G447" s="130"/>
    </row>
    <row r="448" spans="1:7" s="39" customFormat="1" ht="14.25">
      <c r="A448" s="261"/>
      <c r="B448" s="261"/>
      <c r="C448" s="273"/>
      <c r="D448" s="1887"/>
      <c r="E448" s="1887"/>
      <c r="F448" s="1887"/>
      <c r="G448" s="130"/>
    </row>
    <row r="449" spans="1:7" s="39" customFormat="1" ht="14.25">
      <c r="A449" s="261"/>
      <c r="B449" s="261"/>
      <c r="C449" s="273"/>
      <c r="D449" s="731"/>
      <c r="E449" s="6"/>
      <c r="F449" s="6"/>
      <c r="G449" s="130"/>
    </row>
    <row r="450" spans="1:7">
      <c r="B450" s="680" t="s">
        <v>317</v>
      </c>
      <c r="D450" s="1888" t="s">
        <v>1332</v>
      </c>
      <c r="E450" s="1888"/>
      <c r="F450" s="1888"/>
    </row>
    <row r="451" spans="1:7" ht="14.25">
      <c r="A451" s="261"/>
      <c r="D451" s="1888"/>
      <c r="E451" s="1888"/>
      <c r="F451" s="1888"/>
    </row>
    <row r="452" spans="1:7" ht="14.25">
      <c r="A452" s="261"/>
      <c r="B452" s="261"/>
      <c r="D452" s="1888"/>
      <c r="E452" s="1888"/>
      <c r="F452" s="1888"/>
    </row>
    <row r="453" spans="1:7" ht="14.25">
      <c r="A453" s="261"/>
      <c r="B453" s="261"/>
      <c r="D453" s="1888"/>
      <c r="E453" s="1888"/>
      <c r="F453" s="1888"/>
    </row>
    <row r="454" spans="1:7">
      <c r="D454" s="679"/>
      <c r="E454" s="679"/>
      <c r="F454" s="679"/>
      <c r="G454" s="12"/>
    </row>
    <row r="455" spans="1:7" ht="14.25">
      <c r="A455" s="261"/>
      <c r="B455" s="680" t="s">
        <v>317</v>
      </c>
      <c r="D455" s="1870" t="s">
        <v>1333</v>
      </c>
      <c r="E455" s="1870"/>
      <c r="F455" s="1870"/>
      <c r="G455" s="12"/>
    </row>
    <row r="456" spans="1:7" ht="14.25">
      <c r="A456" s="261"/>
      <c r="B456" s="261"/>
      <c r="D456" s="1870"/>
      <c r="E456" s="1870"/>
      <c r="F456" s="1870"/>
      <c r="G456" s="12"/>
    </row>
    <row r="457" spans="1:7" ht="14.25">
      <c r="A457" s="261"/>
      <c r="D457" s="1870"/>
      <c r="E457" s="1870"/>
      <c r="F457" s="1870"/>
      <c r="G457" s="12"/>
    </row>
    <row r="458" spans="1:7" ht="14.25">
      <c r="A458" s="261"/>
      <c r="B458" s="261"/>
      <c r="D458" s="679"/>
      <c r="E458" s="679"/>
      <c r="F458" s="679"/>
      <c r="G458" s="12"/>
    </row>
    <row r="459" spans="1:7" ht="14.25">
      <c r="A459" s="261"/>
      <c r="B459" s="719" t="s">
        <v>317</v>
      </c>
      <c r="D459" s="1882" t="s">
        <v>1334</v>
      </c>
      <c r="E459" s="1882"/>
      <c r="F459" s="1882"/>
      <c r="G459" s="12"/>
    </row>
    <row r="460" spans="1:7" ht="14.25">
      <c r="A460" s="261"/>
      <c r="B460" s="261"/>
      <c r="D460" s="731"/>
      <c r="E460" s="6"/>
      <c r="F460" s="6"/>
      <c r="G460" s="12"/>
    </row>
    <row r="461" spans="1:7" ht="14.25">
      <c r="A461" s="261"/>
      <c r="B461" s="680" t="s">
        <v>317</v>
      </c>
      <c r="D461" s="1869" t="s">
        <v>1335</v>
      </c>
      <c r="E461" s="1869"/>
      <c r="F461" s="1869"/>
      <c r="G461" s="12"/>
    </row>
    <row r="462" spans="1:7" ht="14.25">
      <c r="A462" s="261"/>
      <c r="D462" s="1869"/>
      <c r="E462" s="1869"/>
      <c r="F462" s="1869"/>
      <c r="G462" s="12"/>
    </row>
    <row r="463" spans="1:7">
      <c r="A463" s="23"/>
      <c r="B463" s="676"/>
      <c r="D463" s="734"/>
      <c r="E463" s="6"/>
      <c r="F463" s="6"/>
      <c r="G463" s="12"/>
    </row>
    <row r="464" spans="1:7">
      <c r="A464" s="23"/>
      <c r="B464" s="719" t="s">
        <v>317</v>
      </c>
      <c r="D464" s="1882" t="s">
        <v>1336</v>
      </c>
      <c r="E464" s="1882"/>
      <c r="F464" s="1882"/>
      <c r="G464" s="12"/>
    </row>
    <row r="465" spans="1:7" ht="14.25">
      <c r="A465" s="261"/>
      <c r="B465" s="261"/>
      <c r="D465" s="135"/>
    </row>
    <row r="466" spans="1:7">
      <c r="A466" s="1889" t="s">
        <v>1171</v>
      </c>
      <c r="B466" s="1889"/>
      <c r="C466" s="1889"/>
      <c r="D466" s="1889"/>
      <c r="E466" s="1889"/>
      <c r="F466" s="1889"/>
      <c r="G466" s="1889"/>
    </row>
    <row r="467" spans="1:7" customFormat="1" ht="12" customHeight="1">
      <c r="A467" s="261"/>
      <c r="B467" s="261"/>
      <c r="C467" s="10"/>
      <c r="D467" s="151"/>
      <c r="E467" s="149"/>
      <c r="F467" s="149"/>
      <c r="G467" s="149"/>
    </row>
    <row r="468" spans="1:7" customFormat="1">
      <c r="A468" s="273"/>
      <c r="B468" s="273"/>
      <c r="C468" s="313"/>
      <c r="D468" s="1890" t="s">
        <v>853</v>
      </c>
      <c r="E468" s="1890"/>
      <c r="F468" s="1890"/>
      <c r="G468" s="182"/>
    </row>
    <row r="469" spans="1:7" customFormat="1" ht="13.15" customHeight="1">
      <c r="A469" s="260"/>
      <c r="B469" s="260"/>
      <c r="C469" s="314"/>
      <c r="D469" s="1891" t="s">
        <v>1214</v>
      </c>
      <c r="E469" s="1891"/>
      <c r="F469" s="1891"/>
      <c r="G469" s="149"/>
    </row>
    <row r="470" spans="1:7" customFormat="1">
      <c r="A470" s="260"/>
      <c r="B470" s="260"/>
      <c r="C470" s="314"/>
      <c r="D470" s="1891"/>
      <c r="E470" s="1891"/>
      <c r="F470" s="1891"/>
      <c r="G470" s="149"/>
    </row>
    <row r="471" spans="1:7" customFormat="1">
      <c r="A471" s="260"/>
      <c r="B471" s="260"/>
      <c r="C471" s="314"/>
      <c r="D471" s="1891"/>
      <c r="E471" s="1891"/>
      <c r="F471" s="1891"/>
      <c r="G471" s="149"/>
    </row>
    <row r="472" spans="1:7" customFormat="1">
      <c r="A472" s="260"/>
      <c r="B472" s="260"/>
      <c r="C472" s="314"/>
      <c r="D472" s="1891"/>
      <c r="E472" s="1891"/>
      <c r="F472" s="1891"/>
      <c r="G472" s="149"/>
    </row>
    <row r="473" spans="1:7" customFormat="1">
      <c r="A473" s="260"/>
      <c r="B473" s="260"/>
      <c r="C473" s="314"/>
      <c r="D473" s="1891"/>
      <c r="E473" s="1891"/>
      <c r="F473" s="1891"/>
      <c r="G473" s="149"/>
    </row>
    <row r="474" spans="1:7" customFormat="1">
      <c r="A474" s="260"/>
      <c r="B474" s="260"/>
      <c r="C474" s="314"/>
      <c r="D474" s="472"/>
      <c r="E474" s="149"/>
      <c r="F474" s="151"/>
      <c r="G474" s="149"/>
    </row>
    <row r="475" spans="1:7" customFormat="1" ht="14.45" customHeight="1">
      <c r="A475" s="261"/>
      <c r="B475" s="680" t="s">
        <v>317</v>
      </c>
      <c r="C475" s="314"/>
      <c r="D475" s="1931" t="s">
        <v>1205</v>
      </c>
      <c r="E475" s="1931"/>
      <c r="F475" s="1931"/>
      <c r="G475" s="149"/>
    </row>
    <row r="476" spans="1:7" customFormat="1">
      <c r="A476" s="260"/>
      <c r="B476" s="260"/>
      <c r="C476" s="314"/>
      <c r="D476" s="1931"/>
      <c r="E476" s="1931"/>
      <c r="F476" s="1931"/>
      <c r="G476" s="149"/>
    </row>
    <row r="477" spans="1:7" s="681" customFormat="1">
      <c r="A477" s="260"/>
      <c r="B477" s="260"/>
      <c r="C477" s="314"/>
      <c r="D477" s="1931"/>
      <c r="E477" s="1931"/>
      <c r="F477" s="1931"/>
      <c r="G477" s="149"/>
    </row>
    <row r="478" spans="1:7" s="681" customFormat="1">
      <c r="A478" s="260"/>
      <c r="B478" s="260"/>
      <c r="C478" s="314"/>
      <c r="D478" s="1931"/>
      <c r="E478" s="1931"/>
      <c r="F478" s="1931"/>
      <c r="G478" s="149"/>
    </row>
    <row r="479" spans="1:7" customFormat="1">
      <c r="A479" s="260"/>
      <c r="B479" s="260"/>
      <c r="C479" s="314"/>
      <c r="D479" s="1931"/>
      <c r="E479" s="1931"/>
      <c r="F479" s="1931"/>
      <c r="G479" s="149"/>
    </row>
    <row r="480" spans="1:7" customFormat="1">
      <c r="A480" s="260"/>
      <c r="B480" s="260"/>
      <c r="C480" s="314"/>
      <c r="D480" s="444"/>
      <c r="E480" s="149"/>
      <c r="F480" s="151"/>
      <c r="G480" s="149"/>
    </row>
    <row r="481" spans="1:7" customFormat="1" ht="14.45" customHeight="1">
      <c r="A481" s="261"/>
      <c r="B481" s="680" t="s">
        <v>317</v>
      </c>
      <c r="C481" s="314"/>
      <c r="D481" s="1931" t="s">
        <v>1208</v>
      </c>
      <c r="E481" s="1931"/>
      <c r="F481" s="1931"/>
      <c r="G481" s="149"/>
    </row>
    <row r="482" spans="1:7" customFormat="1">
      <c r="A482" s="260"/>
      <c r="B482" s="260"/>
      <c r="C482" s="314"/>
      <c r="D482" s="1931"/>
      <c r="E482" s="1931"/>
      <c r="F482" s="1931"/>
      <c r="G482" s="149"/>
    </row>
    <row r="483" spans="1:7" s="681" customFormat="1">
      <c r="A483" s="260"/>
      <c r="B483" s="260"/>
      <c r="C483" s="314"/>
      <c r="D483" s="1931"/>
      <c r="E483" s="1931"/>
      <c r="F483" s="1931"/>
      <c r="G483" s="149"/>
    </row>
    <row r="484" spans="1:7" customFormat="1">
      <c r="A484" s="260"/>
      <c r="B484" s="260"/>
      <c r="C484" s="314"/>
      <c r="D484" s="1931"/>
      <c r="E484" s="1931"/>
      <c r="F484" s="1931"/>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31" t="s">
        <v>1206</v>
      </c>
      <c r="E486" s="1931"/>
      <c r="F486" s="1931"/>
      <c r="G486" s="149"/>
    </row>
    <row r="487" spans="1:7" customFormat="1">
      <c r="A487" s="260"/>
      <c r="B487" s="260"/>
      <c r="C487" s="314"/>
      <c r="D487" s="1931"/>
      <c r="E487" s="1931"/>
      <c r="F487" s="1931"/>
      <c r="G487" s="149"/>
    </row>
    <row r="488" spans="1:7" customFormat="1">
      <c r="A488" s="260"/>
      <c r="B488" s="260"/>
      <c r="C488" s="314"/>
      <c r="D488" s="1931"/>
      <c r="E488" s="1931"/>
      <c r="F488" s="1931"/>
      <c r="G488" s="149"/>
    </row>
    <row r="489" spans="1:7" s="681" customFormat="1">
      <c r="A489" s="260"/>
      <c r="B489" s="260"/>
      <c r="C489" s="314"/>
      <c r="D489" s="701"/>
      <c r="E489" s="701"/>
      <c r="F489" s="701"/>
      <c r="G489" s="149"/>
    </row>
    <row r="490" spans="1:7" customFormat="1" ht="14.45" customHeight="1">
      <c r="A490" s="261"/>
      <c r="B490" s="680" t="s">
        <v>317</v>
      </c>
      <c r="C490" s="314"/>
      <c r="D490" s="1931" t="s">
        <v>1207</v>
      </c>
      <c r="E490" s="1931"/>
      <c r="F490" s="1931"/>
      <c r="G490" s="149"/>
    </row>
    <row r="491" spans="1:7" customFormat="1">
      <c r="A491" s="260"/>
      <c r="B491" s="260"/>
      <c r="C491" s="314"/>
      <c r="D491" s="1931"/>
      <c r="E491" s="1931"/>
      <c r="F491" s="1931"/>
      <c r="G491" s="149"/>
    </row>
    <row r="492" spans="1:7" customFormat="1">
      <c r="A492" s="260"/>
      <c r="B492" s="260"/>
      <c r="C492" s="314"/>
      <c r="D492" s="1931"/>
      <c r="E492" s="1931"/>
      <c r="F492" s="1931"/>
      <c r="G492" s="149"/>
    </row>
    <row r="493" spans="1:7" customFormat="1">
      <c r="A493" s="260"/>
      <c r="B493" s="260"/>
      <c r="C493" s="314"/>
      <c r="D493" s="1931"/>
      <c r="E493" s="1931"/>
      <c r="F493" s="1931"/>
      <c r="G493" s="149"/>
    </row>
    <row r="494" spans="1:7" customFormat="1">
      <c r="A494" s="260"/>
      <c r="B494" s="260"/>
      <c r="C494" s="314"/>
      <c r="D494" s="1931"/>
      <c r="E494" s="1931"/>
      <c r="F494" s="1931"/>
      <c r="G494" s="149"/>
    </row>
    <row r="495" spans="1:7" customFormat="1">
      <c r="A495" s="260"/>
      <c r="B495" s="260"/>
      <c r="C495" s="314"/>
      <c r="D495" s="1931"/>
      <c r="E495" s="1931"/>
      <c r="F495" s="1931"/>
      <c r="G495" s="149"/>
    </row>
    <row r="496" spans="1:7" customFormat="1">
      <c r="A496" s="260"/>
      <c r="B496" s="260"/>
      <c r="C496" s="314"/>
      <c r="D496" s="1931"/>
      <c r="E496" s="1931"/>
      <c r="F496" s="1931"/>
      <c r="G496" s="149"/>
    </row>
    <row r="497" spans="1:7" customFormat="1">
      <c r="A497" s="488"/>
      <c r="B497" s="488"/>
      <c r="C497" s="487"/>
      <c r="D497" s="1931"/>
      <c r="E497" s="1931"/>
      <c r="F497" s="1931"/>
      <c r="G497" s="149"/>
    </row>
    <row r="498" spans="1:7" customFormat="1">
      <c r="A498" s="488"/>
      <c r="B498" s="488"/>
      <c r="C498" s="487"/>
      <c r="D498" s="1931"/>
      <c r="E498" s="1931"/>
      <c r="F498" s="1931"/>
      <c r="G498" s="149"/>
    </row>
    <row r="499" spans="1:7" customFormat="1">
      <c r="A499" s="488"/>
      <c r="B499" s="488"/>
      <c r="C499" s="487"/>
      <c r="D499" s="444"/>
      <c r="E499" s="149"/>
      <c r="F499" s="151"/>
      <c r="G499" s="149"/>
    </row>
    <row r="500" spans="1:7" customFormat="1" ht="13.15" customHeight="1">
      <c r="A500" s="488"/>
      <c r="B500" s="680" t="s">
        <v>317</v>
      </c>
      <c r="C500" s="487"/>
      <c r="D500" s="1881" t="s">
        <v>1351</v>
      </c>
      <c r="E500" s="1881"/>
      <c r="F500" s="1881"/>
      <c r="G500" s="149"/>
    </row>
    <row r="501" spans="1:7" customFormat="1">
      <c r="A501" s="488"/>
      <c r="B501" s="488"/>
      <c r="C501" s="487"/>
      <c r="D501" s="1881"/>
      <c r="E501" s="1881"/>
      <c r="F501" s="1881"/>
      <c r="G501" s="149"/>
    </row>
    <row r="502" spans="1:7" customFormat="1">
      <c r="A502" s="488"/>
      <c r="B502" s="488"/>
      <c r="C502" s="487"/>
      <c r="D502" s="1881"/>
      <c r="E502" s="1881"/>
      <c r="F502" s="1881"/>
      <c r="G502" s="149"/>
    </row>
    <row r="503" spans="1:7" customFormat="1">
      <c r="A503" s="488"/>
      <c r="B503" s="488"/>
      <c r="C503" s="487"/>
      <c r="D503" s="1881"/>
      <c r="E503" s="1881"/>
      <c r="F503" s="1881"/>
      <c r="G503" s="149"/>
    </row>
    <row r="504" spans="1:7" customFormat="1">
      <c r="A504" s="260"/>
      <c r="B504" s="260"/>
      <c r="C504" s="314"/>
      <c r="D504" s="1881"/>
      <c r="E504" s="1881"/>
      <c r="F504" s="1881"/>
      <c r="G504" s="149"/>
    </row>
    <row r="505" spans="1:7" s="718" customFormat="1">
      <c r="A505" s="721"/>
      <c r="B505" s="721"/>
      <c r="C505" s="314"/>
      <c r="D505" s="742"/>
      <c r="E505" s="742"/>
      <c r="F505" s="742"/>
      <c r="G505" s="149"/>
    </row>
    <row r="506" spans="1:7" customFormat="1" ht="14.45" customHeight="1">
      <c r="A506" s="261"/>
      <c r="B506" s="680" t="s">
        <v>317</v>
      </c>
      <c r="C506" s="10"/>
      <c r="D506" s="1931" t="s">
        <v>1209</v>
      </c>
      <c r="E506" s="1931"/>
      <c r="F506" s="1931"/>
      <c r="G506" s="149"/>
    </row>
    <row r="507" spans="1:7" customFormat="1">
      <c r="A507" s="132"/>
      <c r="B507" s="677"/>
      <c r="C507" s="10"/>
      <c r="D507" s="1931"/>
      <c r="E507" s="1931"/>
      <c r="F507" s="1931"/>
      <c r="G507" s="149"/>
    </row>
    <row r="508" spans="1:7" customFormat="1">
      <c r="A508" s="132"/>
      <c r="B508" s="677"/>
      <c r="C508" s="10"/>
      <c r="D508" s="1931"/>
      <c r="E508" s="1931"/>
      <c r="F508" s="1931"/>
      <c r="G508" s="149"/>
    </row>
    <row r="509" spans="1:7" customFormat="1" ht="12" customHeight="1">
      <c r="A509" s="135"/>
      <c r="B509" s="135"/>
      <c r="C509" s="316"/>
      <c r="D509" s="135"/>
      <c r="E509" s="149"/>
      <c r="F509" s="315"/>
      <c r="G509" s="149"/>
    </row>
    <row r="510" spans="1:7">
      <c r="A510" s="1889" t="s">
        <v>1172</v>
      </c>
      <c r="B510" s="1889"/>
      <c r="C510" s="1889"/>
      <c r="D510" s="1889"/>
      <c r="E510" s="1889"/>
      <c r="F510" s="1889"/>
      <c r="G510" s="1889"/>
    </row>
    <row r="511" spans="1:7">
      <c r="A511" s="135"/>
      <c r="B511" s="135"/>
      <c r="C511" s="266"/>
      <c r="F511" s="134"/>
    </row>
    <row r="512" spans="1:7">
      <c r="B512" s="1917" t="s">
        <v>470</v>
      </c>
      <c r="C512" s="1917"/>
      <c r="D512" s="1917"/>
      <c r="E512" s="1917"/>
      <c r="F512" s="1917"/>
    </row>
    <row r="513" spans="1:7">
      <c r="A513" s="135"/>
      <c r="B513" s="135"/>
      <c r="C513" s="266"/>
      <c r="D513" s="135"/>
      <c r="F513" s="135"/>
    </row>
    <row r="514" spans="1:7">
      <c r="A514" s="1939" t="s">
        <v>1173</v>
      </c>
      <c r="B514" s="1939"/>
      <c r="C514" s="1939"/>
      <c r="D514" s="1939"/>
      <c r="E514" s="1939"/>
      <c r="F514" s="1939"/>
      <c r="G514" s="1939"/>
    </row>
    <row r="515" spans="1:7">
      <c r="A515" s="135"/>
      <c r="B515" s="135"/>
      <c r="C515" s="266"/>
      <c r="D515" s="135"/>
      <c r="F515" s="135"/>
    </row>
    <row r="516" spans="1:7">
      <c r="C516" s="266"/>
      <c r="D516" s="1892" t="s">
        <v>720</v>
      </c>
      <c r="E516" s="1892"/>
      <c r="F516" s="1892"/>
    </row>
    <row r="517" spans="1:7" s="683" customFormat="1">
      <c r="A517" s="700"/>
      <c r="B517" s="700"/>
      <c r="C517" s="266"/>
      <c r="D517" s="1882" t="s">
        <v>1230</v>
      </c>
      <c r="E517" s="1882"/>
      <c r="F517" s="1882"/>
      <c r="G517" s="7"/>
    </row>
    <row r="518" spans="1:7" s="683" customFormat="1">
      <c r="A518" s="700"/>
      <c r="B518" s="700"/>
      <c r="C518" s="266"/>
      <c r="D518" s="705"/>
      <c r="E518" s="705"/>
      <c r="F518" s="705"/>
      <c r="G518" s="7"/>
    </row>
    <row r="519" spans="1:7" ht="13.15" customHeight="1">
      <c r="A519" s="261"/>
      <c r="B519" s="680" t="s">
        <v>317</v>
      </c>
      <c r="C519" s="266"/>
      <c r="D519" s="1882" t="s">
        <v>951</v>
      </c>
      <c r="E519" s="1882"/>
      <c r="F519" s="1882"/>
      <c r="G519" s="12"/>
    </row>
    <row r="520" spans="1:7" ht="13.15" customHeight="1">
      <c r="A520" s="266"/>
      <c r="B520" s="266"/>
      <c r="C520" s="266"/>
      <c r="D520" s="705"/>
      <c r="E520" s="678"/>
      <c r="F520" s="678"/>
      <c r="G520" s="12"/>
    </row>
    <row r="521" spans="1:7" ht="14.25">
      <c r="A521" s="261"/>
      <c r="B521" s="680" t="s">
        <v>317</v>
      </c>
      <c r="C521" s="266"/>
      <c r="D521" s="1869" t="s">
        <v>1231</v>
      </c>
      <c r="E521" s="1869"/>
      <c r="F521" s="1869"/>
      <c r="G521" s="12"/>
    </row>
    <row r="522" spans="1:7">
      <c r="A522" s="266"/>
      <c r="B522" s="266"/>
      <c r="C522" s="266"/>
      <c r="D522" s="1869"/>
      <c r="E522" s="1869"/>
      <c r="F522" s="1869"/>
      <c r="G522" s="12"/>
    </row>
    <row r="523" spans="1:7">
      <c r="A523" s="266"/>
      <c r="B523" s="266"/>
      <c r="C523" s="266"/>
      <c r="D523" s="135"/>
      <c r="E523" s="135"/>
      <c r="F523" s="135"/>
      <c r="G523" s="12"/>
    </row>
    <row r="524" spans="1:7" ht="14.25">
      <c r="A524" s="261"/>
      <c r="B524" s="680" t="s">
        <v>317</v>
      </c>
      <c r="C524" s="266"/>
      <c r="D524" s="1869" t="s">
        <v>1232</v>
      </c>
      <c r="E524" s="1869"/>
      <c r="F524" s="1869"/>
      <c r="G524" s="12"/>
    </row>
    <row r="525" spans="1:7">
      <c r="A525" s="266"/>
      <c r="B525" s="266"/>
      <c r="C525" s="266"/>
      <c r="D525" s="1869"/>
      <c r="E525" s="1869"/>
      <c r="F525" s="1869"/>
      <c r="G525" s="12"/>
    </row>
    <row r="526" spans="1:7">
      <c r="A526" s="266"/>
      <c r="B526" s="266"/>
      <c r="C526" s="266"/>
      <c r="D526" s="135"/>
      <c r="E526" s="135"/>
      <c r="F526" s="135"/>
      <c r="G526" s="12"/>
    </row>
    <row r="527" spans="1:7" ht="14.25">
      <c r="A527" s="261"/>
      <c r="B527" s="680" t="s">
        <v>317</v>
      </c>
      <c r="C527" s="266"/>
      <c r="D527" s="1869" t="s">
        <v>1233</v>
      </c>
      <c r="E527" s="1869"/>
      <c r="F527" s="1869"/>
      <c r="G527" s="12"/>
    </row>
    <row r="528" spans="1:7">
      <c r="A528" s="266"/>
      <c r="B528" s="266"/>
      <c r="C528" s="266"/>
      <c r="D528" s="1869"/>
      <c r="E528" s="1869"/>
      <c r="F528" s="1869"/>
      <c r="G528" s="12"/>
    </row>
    <row r="529" spans="1:7">
      <c r="A529" s="266"/>
      <c r="B529" s="266"/>
      <c r="C529" s="266"/>
      <c r="D529" s="135"/>
      <c r="E529" s="135"/>
      <c r="F529" s="135"/>
      <c r="G529" s="12"/>
    </row>
    <row r="530" spans="1:7" ht="14.25">
      <c r="A530" s="261"/>
      <c r="B530" s="680" t="s">
        <v>317</v>
      </c>
      <c r="C530" s="266"/>
      <c r="D530" s="1869" t="s">
        <v>1234</v>
      </c>
      <c r="E530" s="1869"/>
      <c r="F530" s="1869"/>
      <c r="G530" s="12"/>
    </row>
    <row r="531" spans="1:7">
      <c r="A531" s="266"/>
      <c r="B531" s="266"/>
      <c r="C531" s="266"/>
      <c r="D531" s="1869"/>
      <c r="E531" s="1869"/>
      <c r="F531" s="1869"/>
      <c r="G531" s="12"/>
    </row>
    <row r="532" spans="1:7">
      <c r="A532" s="266"/>
      <c r="B532" s="266"/>
      <c r="C532" s="266"/>
      <c r="D532" s="1869"/>
      <c r="E532" s="1869"/>
      <c r="F532" s="1869"/>
      <c r="G532" s="12"/>
    </row>
    <row r="533" spans="1:7">
      <c r="A533" s="266"/>
      <c r="B533" s="266"/>
      <c r="C533" s="266"/>
      <c r="D533" s="135"/>
      <c r="E533" s="135"/>
      <c r="F533" s="135"/>
    </row>
    <row r="534" spans="1:7" ht="14.25">
      <c r="A534" s="261"/>
      <c r="B534" s="680" t="s">
        <v>317</v>
      </c>
      <c r="C534" s="266"/>
      <c r="D534" s="1904" t="s">
        <v>1352</v>
      </c>
      <c r="E534" s="1904"/>
      <c r="F534" s="1904"/>
    </row>
    <row r="535" spans="1:7">
      <c r="A535" s="266"/>
      <c r="B535" s="266"/>
      <c r="C535" s="266"/>
      <c r="D535" s="1904"/>
      <c r="E535" s="1904"/>
      <c r="F535" s="1904"/>
    </row>
    <row r="536" spans="1:7">
      <c r="A536" s="266"/>
      <c r="B536" s="266"/>
      <c r="C536" s="266"/>
      <c r="D536" s="135"/>
      <c r="E536" s="135"/>
      <c r="F536" s="135"/>
    </row>
    <row r="537" spans="1:7" ht="14.25">
      <c r="A537" s="261"/>
      <c r="B537" s="680" t="s">
        <v>317</v>
      </c>
      <c r="C537" s="266"/>
      <c r="D537" s="1904" t="s">
        <v>1235</v>
      </c>
      <c r="E537" s="1904"/>
      <c r="F537" s="1904"/>
    </row>
    <row r="538" spans="1:7">
      <c r="A538" s="266"/>
      <c r="B538" s="266"/>
      <c r="C538" s="266"/>
      <c r="D538" s="1904"/>
      <c r="E538" s="1904"/>
      <c r="F538" s="1904"/>
    </row>
    <row r="539" spans="1:7">
      <c r="A539" s="266"/>
      <c r="B539" s="266"/>
      <c r="C539" s="266"/>
      <c r="D539" s="135"/>
      <c r="E539" s="135"/>
      <c r="F539" s="135"/>
    </row>
    <row r="540" spans="1:7" ht="14.25">
      <c r="A540" s="261"/>
      <c r="B540" s="680" t="s">
        <v>317</v>
      </c>
      <c r="C540" s="266"/>
      <c r="D540" s="1869" t="s">
        <v>1236</v>
      </c>
      <c r="E540" s="1869"/>
      <c r="F540" s="1869"/>
    </row>
    <row r="541" spans="1:7">
      <c r="A541" s="266"/>
      <c r="B541" s="266"/>
      <c r="C541" s="266"/>
      <c r="D541" s="1869"/>
      <c r="E541" s="1869"/>
      <c r="F541" s="1869"/>
      <c r="G541" s="57"/>
    </row>
    <row r="542" spans="1:7">
      <c r="A542" s="266"/>
      <c r="B542" s="266"/>
      <c r="C542" s="266"/>
      <c r="D542" s="135"/>
      <c r="E542" s="135"/>
      <c r="F542" s="135"/>
      <c r="G542" s="57"/>
    </row>
    <row r="543" spans="1:7" ht="14.25">
      <c r="A543" s="261"/>
      <c r="B543" s="680" t="s">
        <v>317</v>
      </c>
      <c r="C543" s="266"/>
      <c r="D543" s="1882" t="s">
        <v>1237</v>
      </c>
      <c r="E543" s="1882"/>
      <c r="F543" s="1882"/>
      <c r="G543" s="57"/>
    </row>
    <row r="544" spans="1:7">
      <c r="A544" s="23"/>
      <c r="B544" s="676"/>
      <c r="C544" s="266"/>
      <c r="D544" s="1882" t="s">
        <v>883</v>
      </c>
      <c r="E544" s="1882"/>
      <c r="F544" s="1882"/>
      <c r="G544" s="57"/>
    </row>
    <row r="545" spans="1:7">
      <c r="A545" s="23"/>
      <c r="B545" s="676"/>
      <c r="C545" s="266"/>
      <c r="D545" s="6"/>
      <c r="E545" s="1900" t="s">
        <v>1238</v>
      </c>
      <c r="F545" s="1900"/>
      <c r="G545" s="57"/>
    </row>
    <row r="546" spans="1:7" ht="14.25">
      <c r="A546" s="261"/>
      <c r="B546" s="261"/>
      <c r="C546" s="266"/>
      <c r="E546" s="135"/>
      <c r="F546" s="135"/>
      <c r="G546" s="57"/>
    </row>
    <row r="547" spans="1:7" ht="14.25">
      <c r="A547" s="261"/>
      <c r="B547" s="680" t="s">
        <v>317</v>
      </c>
      <c r="C547" s="266"/>
      <c r="D547" s="1944" t="s">
        <v>1239</v>
      </c>
      <c r="E547" s="1944"/>
      <c r="F547" s="1944"/>
      <c r="G547" s="57"/>
    </row>
    <row r="548" spans="1:7">
      <c r="C548" s="266"/>
      <c r="D548" s="1869" t="s">
        <v>1240</v>
      </c>
      <c r="E548" s="1869"/>
      <c r="F548" s="1869"/>
      <c r="G548" s="57"/>
    </row>
    <row r="549" spans="1:7">
      <c r="A549" s="266"/>
      <c r="B549" s="266"/>
      <c r="C549" s="266"/>
      <c r="D549" s="1869"/>
      <c r="E549" s="1869"/>
      <c r="F549" s="1869"/>
      <c r="G549" s="57"/>
    </row>
    <row r="550" spans="1:7">
      <c r="A550" s="266"/>
      <c r="B550" s="266"/>
      <c r="C550" s="266"/>
      <c r="D550" s="1869"/>
      <c r="E550" s="1869"/>
      <c r="F550" s="1869"/>
      <c r="G550" s="57"/>
    </row>
    <row r="551" spans="1:7">
      <c r="A551" s="266"/>
      <c r="B551" s="266"/>
      <c r="C551" s="266"/>
      <c r="D551" s="135"/>
      <c r="E551" s="135"/>
      <c r="F551" s="135"/>
      <c r="G551" s="57"/>
    </row>
    <row r="552" spans="1:7" ht="14.25">
      <c r="A552" s="261"/>
      <c r="B552" s="680" t="s">
        <v>317</v>
      </c>
      <c r="C552" s="266"/>
      <c r="D552" s="1869" t="s">
        <v>1241</v>
      </c>
      <c r="E552" s="1869"/>
      <c r="F552" s="1869"/>
      <c r="G552" s="57"/>
    </row>
    <row r="553" spans="1:7" ht="14.25">
      <c r="A553" s="261"/>
      <c r="B553" s="261"/>
      <c r="C553" s="266"/>
      <c r="D553" s="1869"/>
      <c r="E553" s="1869"/>
      <c r="F553" s="1869"/>
      <c r="G553" s="57"/>
    </row>
    <row r="554" spans="1:7" ht="14.25">
      <c r="A554" s="261"/>
      <c r="B554" s="261"/>
      <c r="C554" s="266"/>
      <c r="D554" s="1869"/>
      <c r="E554" s="1869"/>
      <c r="F554" s="1869"/>
      <c r="G554" s="57"/>
    </row>
    <row r="555" spans="1:7" ht="14.25">
      <c r="A555" s="261"/>
      <c r="B555" s="261"/>
      <c r="C555" s="266"/>
      <c r="D555" s="1869"/>
      <c r="E555" s="1869"/>
      <c r="F555" s="1869"/>
      <c r="G555" s="57"/>
    </row>
    <row r="556" spans="1:7" ht="14.25">
      <c r="A556" s="261"/>
      <c r="B556" s="261"/>
      <c r="C556" s="266"/>
      <c r="D556" s="135"/>
      <c r="E556" s="135"/>
      <c r="F556" s="135"/>
      <c r="G556" s="57"/>
    </row>
    <row r="557" spans="1:7">
      <c r="A557" s="1889" t="s">
        <v>1174</v>
      </c>
      <c r="B557" s="1889"/>
      <c r="C557" s="1889"/>
      <c r="D557" s="1889"/>
      <c r="E557" s="1889"/>
      <c r="F557" s="1889"/>
      <c r="G557" s="1889"/>
    </row>
    <row r="558" spans="1:7">
      <c r="A558" s="266"/>
      <c r="B558" s="266"/>
      <c r="C558" s="266"/>
      <c r="E558" s="135"/>
      <c r="F558" s="135"/>
      <c r="G558" s="57"/>
    </row>
    <row r="559" spans="1:7" ht="12.75" customHeight="1">
      <c r="C559" s="255"/>
      <c r="D559" s="1918" t="s">
        <v>216</v>
      </c>
      <c r="E559" s="1918"/>
      <c r="F559" s="1918"/>
      <c r="G559" s="57"/>
    </row>
    <row r="560" spans="1:7">
      <c r="A560" s="260"/>
      <c r="B560" s="260"/>
      <c r="C560" s="260"/>
      <c r="D560" s="1912" t="s">
        <v>1190</v>
      </c>
      <c r="E560" s="1912"/>
      <c r="F560" s="1912"/>
      <c r="G560" s="57"/>
    </row>
    <row r="561" spans="1:7">
      <c r="A561" s="12"/>
      <c r="B561" s="12"/>
      <c r="C561" s="260"/>
      <c r="D561" s="378"/>
      <c r="G561" s="57"/>
    </row>
    <row r="562" spans="1:7">
      <c r="A562" s="260"/>
      <c r="B562" s="680" t="s">
        <v>317</v>
      </c>
      <c r="D562" s="1912" t="s">
        <v>957</v>
      </c>
      <c r="E562" s="1912"/>
      <c r="F562" s="1912"/>
      <c r="G562" s="57"/>
    </row>
    <row r="563" spans="1:7">
      <c r="A563" s="23"/>
      <c r="B563" s="676"/>
      <c r="D563" s="326"/>
    </row>
    <row r="564" spans="1:7">
      <c r="A564" s="23"/>
      <c r="B564" s="680" t="s">
        <v>317</v>
      </c>
      <c r="D564" s="1888" t="s">
        <v>1191</v>
      </c>
      <c r="E564" s="1888"/>
      <c r="F564" s="1888"/>
    </row>
    <row r="565" spans="1:7">
      <c r="A565" s="23"/>
      <c r="B565" s="676"/>
      <c r="D565" s="1888"/>
      <c r="E565" s="1888"/>
      <c r="F565" s="1888"/>
    </row>
    <row r="566" spans="1:7">
      <c r="A566" s="23"/>
      <c r="B566" s="689"/>
      <c r="D566" s="1888"/>
      <c r="E566" s="1888"/>
      <c r="F566" s="1888"/>
    </row>
    <row r="567" spans="1:7">
      <c r="A567" s="23"/>
      <c r="B567" s="676"/>
      <c r="D567" s="479"/>
    </row>
    <row r="568" spans="1:7" s="683" customFormat="1">
      <c r="A568" s="689"/>
      <c r="B568" s="680" t="s">
        <v>317</v>
      </c>
      <c r="C568" s="690"/>
      <c r="D568" s="1888" t="s">
        <v>1192</v>
      </c>
      <c r="E568" s="1888"/>
      <c r="F568" s="1888"/>
      <c r="G568" s="7"/>
    </row>
    <row r="569" spans="1:7" s="683" customFormat="1">
      <c r="A569" s="689"/>
      <c r="B569" s="689"/>
      <c r="C569" s="690"/>
      <c r="D569" s="1888"/>
      <c r="E569" s="1888"/>
      <c r="F569" s="1888"/>
      <c r="G569" s="7"/>
    </row>
    <row r="570" spans="1:7" s="683" customFormat="1">
      <c r="A570" s="689"/>
      <c r="B570" s="689"/>
      <c r="C570" s="690"/>
      <c r="D570" s="1888"/>
      <c r="E570" s="1888"/>
      <c r="F570" s="1888"/>
      <c r="G570" s="7"/>
    </row>
    <row r="571" spans="1:7" s="683" customFormat="1">
      <c r="A571" s="689"/>
      <c r="B571" s="689"/>
      <c r="C571" s="690"/>
      <c r="D571" s="1888"/>
      <c r="E571" s="1888"/>
      <c r="F571" s="1888"/>
      <c r="G571" s="7"/>
    </row>
    <row r="572" spans="1:7" s="683" customFormat="1">
      <c r="A572" s="689"/>
      <c r="B572" s="689"/>
      <c r="C572" s="690"/>
      <c r="D572" s="695"/>
      <c r="E572" s="695"/>
      <c r="F572" s="695"/>
      <c r="G572" s="7"/>
    </row>
    <row r="573" spans="1:7">
      <c r="A573" s="23"/>
      <c r="B573" s="680" t="s">
        <v>317</v>
      </c>
      <c r="D573" s="1888" t="s">
        <v>1193</v>
      </c>
      <c r="E573" s="1888"/>
      <c r="F573" s="1888"/>
    </row>
    <row r="574" spans="1:7">
      <c r="A574" s="23"/>
      <c r="B574" s="676"/>
      <c r="D574" s="1888"/>
      <c r="E574" s="1888"/>
      <c r="F574" s="1888"/>
    </row>
    <row r="575" spans="1:7">
      <c r="A575" s="23"/>
      <c r="B575" s="676"/>
      <c r="D575" s="378"/>
    </row>
    <row r="576" spans="1:7" s="683" customFormat="1">
      <c r="A576" s="689"/>
      <c r="B576" s="680" t="s">
        <v>317</v>
      </c>
      <c r="C576" s="690"/>
      <c r="D576" s="1912" t="s">
        <v>1194</v>
      </c>
      <c r="E576" s="1912"/>
      <c r="F576" s="1912"/>
      <c r="G576" s="7"/>
    </row>
    <row r="577" spans="1:7" s="683" customFormat="1">
      <c r="A577" s="689"/>
      <c r="B577" s="689"/>
      <c r="C577" s="690"/>
      <c r="D577" s="1912"/>
      <c r="E577" s="1912"/>
      <c r="F577" s="1912"/>
      <c r="G577" s="7"/>
    </row>
    <row r="578" spans="1:7" s="683" customFormat="1">
      <c r="A578" s="689"/>
      <c r="B578" s="689"/>
      <c r="C578" s="690"/>
      <c r="D578" s="378"/>
      <c r="E578" s="7"/>
      <c r="F578" s="7"/>
      <c r="G578" s="7"/>
    </row>
    <row r="579" spans="1:7" ht="14.25">
      <c r="A579" s="261"/>
      <c r="B579" s="680" t="s">
        <v>317</v>
      </c>
      <c r="D579" s="1912" t="s">
        <v>952</v>
      </c>
      <c r="E579" s="1912"/>
      <c r="F579" s="1912"/>
    </row>
    <row r="580" spans="1:7" ht="14.25">
      <c r="A580" s="261"/>
      <c r="B580" s="261"/>
      <c r="D580" s="378"/>
    </row>
    <row r="581" spans="1:7" ht="14.25">
      <c r="A581" s="261"/>
      <c r="B581" s="680" t="s">
        <v>317</v>
      </c>
      <c r="D581" s="1912" t="s">
        <v>1195</v>
      </c>
      <c r="E581" s="1912"/>
      <c r="F581" s="1912"/>
    </row>
    <row r="582" spans="1:7" ht="14.25">
      <c r="A582" s="261"/>
      <c r="B582" s="261"/>
      <c r="D582" s="1912"/>
      <c r="E582" s="1912"/>
      <c r="F582" s="1912"/>
    </row>
    <row r="583" spans="1:7">
      <c r="D583" s="1912"/>
      <c r="E583" s="1912"/>
      <c r="F583" s="1912"/>
    </row>
    <row r="584" spans="1:7">
      <c r="D584" s="1912"/>
      <c r="E584" s="1912"/>
      <c r="F584" s="1912"/>
    </row>
    <row r="585" spans="1:7" s="683" customFormat="1">
      <c r="A585" s="690"/>
      <c r="B585" s="690"/>
      <c r="C585" s="690"/>
      <c r="D585" s="1912"/>
      <c r="E585" s="1912"/>
      <c r="F585" s="1912"/>
      <c r="G585" s="7"/>
    </row>
    <row r="586" spans="1:7" s="683" customFormat="1">
      <c r="A586" s="690"/>
      <c r="B586" s="690"/>
      <c r="C586" s="690"/>
      <c r="D586" s="1912"/>
      <c r="E586" s="1912"/>
      <c r="F586" s="1912"/>
      <c r="G586" s="7"/>
    </row>
    <row r="587" spans="1:7"/>
    <row r="588" spans="1:7">
      <c r="A588" s="1889" t="s">
        <v>1175</v>
      </c>
      <c r="B588" s="1889"/>
      <c r="C588" s="1889"/>
      <c r="D588" s="1889"/>
      <c r="E588" s="1889"/>
      <c r="F588" s="1889"/>
      <c r="G588" s="1889"/>
    </row>
    <row r="589" spans="1:7"/>
    <row r="590" spans="1:7">
      <c r="D590" s="1906" t="s">
        <v>1275</v>
      </c>
      <c r="E590" s="1906"/>
      <c r="F590" s="1906"/>
    </row>
    <row r="591" spans="1:7">
      <c r="D591" s="1945" t="s">
        <v>1276</v>
      </c>
      <c r="E591" s="1945"/>
      <c r="F591" s="1945"/>
    </row>
    <row r="592" spans="1:7" s="720" customFormat="1">
      <c r="A592" s="706"/>
      <c r="B592" s="706"/>
      <c r="C592" s="706"/>
      <c r="D592" s="724"/>
      <c r="E592" s="723"/>
      <c r="F592" s="723"/>
      <c r="G592" s="7"/>
    </row>
    <row r="593" spans="1:7" s="39" customFormat="1" ht="14.25">
      <c r="A593" s="404"/>
      <c r="B593" s="680" t="s">
        <v>317</v>
      </c>
      <c r="C593" s="273"/>
      <c r="D593" s="1908" t="s">
        <v>1277</v>
      </c>
      <c r="E593" s="1908"/>
      <c r="F593" s="1908"/>
      <c r="G593" s="130"/>
    </row>
    <row r="594" spans="1:7">
      <c r="D594" s="1908"/>
      <c r="E594" s="1908"/>
      <c r="F594" s="1908"/>
    </row>
    <row r="595" spans="1:7">
      <c r="D595" s="1908"/>
      <c r="E595" s="1908"/>
      <c r="F595" s="1908"/>
    </row>
    <row r="596" spans="1:7"/>
    <row r="597" spans="1:7">
      <c r="A597" s="1889" t="s">
        <v>1176</v>
      </c>
      <c r="B597" s="1889"/>
      <c r="C597" s="1889"/>
      <c r="D597" s="1889"/>
      <c r="E597" s="1889"/>
      <c r="F597" s="1889"/>
      <c r="G597" s="1889"/>
    </row>
    <row r="598" spans="1:7">
      <c r="A598" s="135"/>
      <c r="B598" s="135"/>
      <c r="G598" s="57"/>
    </row>
    <row r="599" spans="1:7">
      <c r="A599" s="257"/>
      <c r="B599" s="675"/>
      <c r="C599" s="255"/>
      <c r="D599" s="1946" t="s">
        <v>1278</v>
      </c>
      <c r="E599" s="1946"/>
      <c r="F599" s="1946"/>
      <c r="G599" s="57"/>
    </row>
    <row r="600" spans="1:7">
      <c r="A600" s="257"/>
      <c r="B600" s="675"/>
      <c r="C600" s="255"/>
      <c r="D600" s="1946"/>
      <c r="E600" s="1946"/>
      <c r="F600" s="1946"/>
      <c r="G600" s="57"/>
    </row>
    <row r="601" spans="1:7">
      <c r="C601" s="260"/>
      <c r="D601" s="1945" t="s">
        <v>1279</v>
      </c>
      <c r="E601" s="1945"/>
      <c r="F601" s="1945"/>
      <c r="G601" s="57"/>
    </row>
    <row r="602" spans="1:7" s="720" customFormat="1">
      <c r="A602" s="706"/>
      <c r="B602" s="706"/>
      <c r="C602" s="721"/>
      <c r="D602" s="725"/>
      <c r="E602" s="725"/>
      <c r="F602" s="725"/>
      <c r="G602" s="57"/>
    </row>
    <row r="603" spans="1:7">
      <c r="A603" s="23"/>
      <c r="B603" s="680" t="s">
        <v>317</v>
      </c>
      <c r="D603" s="1945" t="s">
        <v>454</v>
      </c>
      <c r="E603" s="1945"/>
      <c r="F603" s="1945"/>
      <c r="G603" s="57"/>
    </row>
    <row r="604" spans="1:7">
      <c r="C604" s="268"/>
      <c r="E604" s="12"/>
      <c r="G604" s="57"/>
    </row>
    <row r="605" spans="1:7">
      <c r="A605" s="23"/>
      <c r="B605" s="680" t="s">
        <v>317</v>
      </c>
      <c r="D605" s="1905" t="s">
        <v>1280</v>
      </c>
      <c r="E605" s="1905"/>
      <c r="F605" s="1905"/>
      <c r="G605" s="57"/>
    </row>
    <row r="606" spans="1:7">
      <c r="D606" s="1905"/>
      <c r="E606" s="1905"/>
      <c r="F606" s="1905"/>
      <c r="G606" s="57"/>
    </row>
    <row r="607" spans="1:7">
      <c r="D607" s="12"/>
      <c r="G607" s="57"/>
    </row>
    <row r="608" spans="1:7">
      <c r="B608" s="680" t="s">
        <v>317</v>
      </c>
      <c r="D608" s="1905" t="s">
        <v>1281</v>
      </c>
      <c r="E608" s="1905"/>
      <c r="F608" s="1905"/>
      <c r="G608" s="57"/>
    </row>
    <row r="609" spans="1:7">
      <c r="C609" s="268"/>
      <c r="D609" s="1905"/>
      <c r="E609" s="1905"/>
      <c r="F609" s="1905"/>
      <c r="G609" s="57"/>
    </row>
    <row r="610" spans="1:7">
      <c r="C610" s="268"/>
      <c r="G610" s="57"/>
    </row>
    <row r="611" spans="1:7">
      <c r="B611" s="680" t="s">
        <v>317</v>
      </c>
      <c r="C611" s="268"/>
      <c r="D611" s="1905" t="s">
        <v>1282</v>
      </c>
      <c r="E611" s="1905"/>
      <c r="F611" s="1905"/>
      <c r="G611" s="57"/>
    </row>
    <row r="612" spans="1:7">
      <c r="C612" s="268"/>
      <c r="D612" s="1905"/>
      <c r="E612" s="1905"/>
      <c r="F612" s="1905"/>
      <c r="G612" s="57"/>
    </row>
    <row r="613" spans="1:7">
      <c r="C613" s="268"/>
      <c r="G613" s="57"/>
    </row>
    <row r="614" spans="1:7">
      <c r="A614" s="1889" t="s">
        <v>1177</v>
      </c>
      <c r="B614" s="1889"/>
      <c r="C614" s="1889"/>
      <c r="D614" s="1889"/>
      <c r="E614" s="1889"/>
      <c r="F614" s="1889"/>
      <c r="G614" s="1889"/>
    </row>
    <row r="615" spans="1:7">
      <c r="A615" s="267"/>
      <c r="B615" s="267"/>
      <c r="C615" s="267"/>
      <c r="G615" s="57"/>
    </row>
    <row r="616" spans="1:7">
      <c r="C616" s="23"/>
      <c r="D616" s="1906" t="s">
        <v>1283</v>
      </c>
      <c r="E616" s="1906"/>
      <c r="F616" s="1906"/>
      <c r="G616" s="57"/>
    </row>
    <row r="617" spans="1:7">
      <c r="A617" s="23"/>
      <c r="B617" s="676"/>
      <c r="C617" s="265"/>
      <c r="D617" s="50"/>
      <c r="G617" s="57"/>
    </row>
    <row r="618" spans="1:7" ht="14.25">
      <c r="A618" s="261"/>
      <c r="B618" s="680" t="s">
        <v>317</v>
      </c>
      <c r="C618" s="265"/>
      <c r="D618" s="1907" t="s">
        <v>1284</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25">
      <c r="A625" s="261"/>
      <c r="B625" s="680" t="s">
        <v>317</v>
      </c>
      <c r="C625" s="265"/>
      <c r="D625" s="1907" t="s">
        <v>1285</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80" t="s">
        <v>317</v>
      </c>
      <c r="C628" s="266"/>
      <c r="D628" s="1908" t="s">
        <v>1286</v>
      </c>
      <c r="E628" s="1908"/>
      <c r="F628" s="1908"/>
      <c r="G628" s="57"/>
    </row>
    <row r="629" spans="1:7" ht="14.25">
      <c r="A629" s="261"/>
      <c r="B629" s="261"/>
      <c r="C629" s="266"/>
      <c r="D629" s="1908"/>
      <c r="E629" s="1908"/>
      <c r="F629" s="1908"/>
      <c r="G629" s="57"/>
    </row>
    <row r="630" spans="1:7" ht="14.25">
      <c r="A630" s="261"/>
      <c r="B630" s="261"/>
      <c r="C630" s="266"/>
      <c r="D630" s="1908"/>
      <c r="E630" s="1908"/>
      <c r="F630" s="1908"/>
      <c r="G630" s="57"/>
    </row>
    <row r="631" spans="1:7">
      <c r="A631" s="266"/>
      <c r="B631" s="266"/>
      <c r="C631" s="266"/>
      <c r="D631" s="1908"/>
      <c r="E631" s="1908"/>
      <c r="F631" s="1908"/>
      <c r="G631" s="57"/>
    </row>
    <row r="632" spans="1:7" s="720" customFormat="1">
      <c r="A632" s="266"/>
      <c r="B632" s="266"/>
      <c r="C632" s="266"/>
      <c r="D632" s="727"/>
      <c r="E632" s="727"/>
      <c r="F632" s="727"/>
      <c r="G632" s="57"/>
    </row>
    <row r="633" spans="1:7">
      <c r="A633" s="266"/>
      <c r="B633" s="680" t="s">
        <v>317</v>
      </c>
      <c r="C633" s="266"/>
      <c r="D633" s="1909" t="s">
        <v>1287</v>
      </c>
      <c r="E633" s="1909"/>
      <c r="F633" s="1909"/>
      <c r="G633" s="57"/>
    </row>
    <row r="634" spans="1:7">
      <c r="A634" s="266"/>
      <c r="B634" s="266"/>
      <c r="C634" s="266"/>
      <c r="D634" s="728"/>
      <c r="E634" s="728"/>
      <c r="F634" s="728"/>
      <c r="G634" s="57"/>
    </row>
    <row r="635" spans="1:7">
      <c r="A635" s="1889" t="s">
        <v>1178</v>
      </c>
      <c r="B635" s="1889"/>
      <c r="C635" s="1889"/>
      <c r="D635" s="1889"/>
      <c r="E635" s="1889"/>
      <c r="F635" s="1889"/>
      <c r="G635" s="1889"/>
    </row>
    <row r="636" spans="1:7">
      <c r="A636" s="135"/>
      <c r="B636" s="135"/>
      <c r="C636" s="266"/>
      <c r="D636" s="147"/>
      <c r="E636" s="147"/>
      <c r="F636" s="147"/>
      <c r="G636" s="57"/>
    </row>
    <row r="637" spans="1:7">
      <c r="C637" s="267"/>
      <c r="D637" s="1910" t="s">
        <v>1337</v>
      </c>
      <c r="E637" s="1910"/>
      <c r="F637" s="1910"/>
      <c r="G637" s="57"/>
    </row>
    <row r="638" spans="1:7">
      <c r="A638" s="260"/>
      <c r="B638" s="260"/>
      <c r="C638" s="260"/>
      <c r="D638" s="1911" t="s">
        <v>1338</v>
      </c>
      <c r="E638" s="1911"/>
      <c r="F638" s="1911"/>
      <c r="G638" s="57"/>
    </row>
    <row r="639" spans="1:7" s="720" customFormat="1">
      <c r="A639" s="721"/>
      <c r="B639" s="721"/>
      <c r="C639" s="721"/>
      <c r="D639" s="735"/>
      <c r="E639" s="735"/>
      <c r="F639" s="735"/>
      <c r="G639" s="57"/>
    </row>
    <row r="640" spans="1:7" ht="14.45" customHeight="1">
      <c r="A640" s="261"/>
      <c r="B640" s="680" t="s">
        <v>317</v>
      </c>
      <c r="C640" s="266"/>
      <c r="D640" s="1867" t="s">
        <v>1339</v>
      </c>
      <c r="E640" s="1867"/>
      <c r="F640" s="1867"/>
      <c r="G640" s="57"/>
    </row>
    <row r="641" spans="1:11" ht="14.25">
      <c r="A641" s="261"/>
      <c r="B641" s="261"/>
      <c r="C641" s="266"/>
      <c r="D641" s="1867"/>
      <c r="E641" s="1867"/>
      <c r="F641" s="1867"/>
      <c r="G641" s="57"/>
    </row>
    <row r="642" spans="1:11" ht="14.25">
      <c r="A642" s="261"/>
      <c r="B642" s="261"/>
      <c r="C642" s="266"/>
      <c r="D642" s="1867"/>
      <c r="E642" s="1867"/>
      <c r="F642" s="1867"/>
      <c r="G642" s="57"/>
    </row>
    <row r="643" spans="1:11" ht="14.25">
      <c r="A643" s="261"/>
      <c r="B643" s="261"/>
      <c r="C643" s="266"/>
      <c r="D643" s="1867"/>
      <c r="E643" s="1867"/>
      <c r="F643" s="1867"/>
      <c r="G643" s="57"/>
    </row>
    <row r="644" spans="1:11" s="683" customFormat="1" ht="14.25">
      <c r="A644" s="261"/>
      <c r="B644" s="261"/>
      <c r="C644" s="266"/>
      <c r="D644" s="1867"/>
      <c r="E644" s="1867"/>
      <c r="F644" s="1867"/>
      <c r="G644" s="57"/>
    </row>
    <row r="645" spans="1:11" s="720" customFormat="1" ht="14.25">
      <c r="A645" s="715"/>
      <c r="B645" s="715"/>
      <c r="C645" s="266"/>
      <c r="D645" s="737"/>
      <c r="E645" s="737"/>
      <c r="F645" s="737"/>
      <c r="G645" s="57"/>
    </row>
    <row r="646" spans="1:11" s="683" customFormat="1" ht="14.25">
      <c r="A646" s="261"/>
      <c r="B646" s="680" t="s">
        <v>317</v>
      </c>
      <c r="C646" s="266"/>
      <c r="D646" s="1928" t="s">
        <v>1189</v>
      </c>
      <c r="E646" s="1928"/>
      <c r="F646" s="1928"/>
      <c r="G646" s="57"/>
    </row>
    <row r="647" spans="1:11" s="683" customFormat="1" ht="14.25">
      <c r="A647" s="261"/>
      <c r="B647" s="261"/>
      <c r="C647" s="266"/>
      <c r="D647" s="1929" t="s">
        <v>1340</v>
      </c>
      <c r="E647" s="1929"/>
      <c r="F647" s="1929"/>
      <c r="G647" s="57"/>
    </row>
    <row r="648" spans="1:11" s="683" customFormat="1" ht="14.25">
      <c r="A648" s="261"/>
      <c r="B648" s="261"/>
      <c r="C648" s="266"/>
      <c r="D648" s="1929"/>
      <c r="E648" s="1929"/>
      <c r="F648" s="1929"/>
      <c r="G648" s="57"/>
    </row>
    <row r="649" spans="1:11" s="683" customFormat="1" ht="14.25">
      <c r="A649" s="261"/>
      <c r="B649" s="261"/>
      <c r="C649" s="266"/>
      <c r="D649" s="1929"/>
      <c r="E649" s="1929"/>
      <c r="F649" s="1929"/>
      <c r="G649" s="57"/>
    </row>
    <row r="650" spans="1:11" s="683" customFormat="1" ht="14.25">
      <c r="A650" s="261"/>
      <c r="B650" s="261"/>
      <c r="C650" s="266"/>
      <c r="D650" s="1929"/>
      <c r="E650" s="1929"/>
      <c r="F650" s="1929"/>
      <c r="G650" s="57"/>
    </row>
    <row r="651" spans="1:11" s="683" customFormat="1" ht="14.25">
      <c r="A651" s="261"/>
      <c r="B651" s="261"/>
      <c r="C651" s="266"/>
      <c r="D651" s="1929"/>
      <c r="E651" s="1929"/>
      <c r="F651" s="1929"/>
      <c r="G651" s="57"/>
    </row>
    <row r="652" spans="1:11" s="683" customFormat="1" ht="14.25">
      <c r="A652" s="261"/>
      <c r="B652" s="261"/>
      <c r="C652" s="266"/>
      <c r="D652" s="1930" t="s">
        <v>1341</v>
      </c>
      <c r="E652" s="1930"/>
      <c r="F652" s="1930"/>
      <c r="G652" s="57"/>
    </row>
    <row r="653" spans="1:11">
      <c r="A653" s="266"/>
      <c r="B653" s="266"/>
      <c r="C653" s="266"/>
      <c r="D653" s="147"/>
      <c r="E653" s="147"/>
      <c r="F653" s="147"/>
      <c r="G653" s="57"/>
    </row>
    <row r="654" spans="1:11">
      <c r="A654" s="1889" t="s">
        <v>1179</v>
      </c>
      <c r="B654" s="1889"/>
      <c r="C654" s="1889"/>
      <c r="D654" s="1889"/>
      <c r="E654" s="1889"/>
      <c r="F654" s="1889"/>
      <c r="G654" s="1889"/>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92" t="s">
        <v>104</v>
      </c>
      <c r="E656" s="1892"/>
      <c r="F656" s="1892"/>
      <c r="G656" s="57"/>
      <c r="H656" s="269"/>
      <c r="I656" s="269"/>
      <c r="J656" s="269"/>
      <c r="K656" s="269"/>
    </row>
    <row r="657" spans="1:11">
      <c r="A657" s="267"/>
      <c r="B657" s="267"/>
      <c r="C657" s="267"/>
      <c r="D657" s="1892" t="s">
        <v>128</v>
      </c>
      <c r="E657" s="1892"/>
      <c r="F657" s="1892"/>
      <c r="G657" s="57"/>
      <c r="H657" s="269"/>
      <c r="I657" s="269"/>
      <c r="J657" s="269"/>
      <c r="K657" s="269"/>
    </row>
    <row r="658" spans="1:11">
      <c r="A658" s="260"/>
      <c r="B658" s="260"/>
      <c r="C658" s="260"/>
      <c r="D658" s="1882" t="s">
        <v>1215</v>
      </c>
      <c r="E658" s="1882"/>
      <c r="F658" s="1882"/>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82" t="s">
        <v>953</v>
      </c>
      <c r="E660" s="1882"/>
      <c r="F660" s="1882"/>
      <c r="G660" s="57"/>
      <c r="H660" s="269"/>
      <c r="I660" s="269"/>
      <c r="J660" s="269"/>
      <c r="K660" s="269"/>
    </row>
    <row r="661" spans="1:11">
      <c r="A661" s="260"/>
      <c r="B661" s="260"/>
      <c r="C661" s="260"/>
      <c r="D661" s="1882" t="s">
        <v>964</v>
      </c>
      <c r="E661" s="1882"/>
      <c r="F661" s="1882"/>
      <c r="G661" s="57"/>
      <c r="H661" s="269"/>
      <c r="I661" s="269"/>
      <c r="J661" s="269"/>
      <c r="K661" s="269"/>
    </row>
    <row r="662" spans="1:11">
      <c r="A662" s="260"/>
      <c r="B662" s="260"/>
      <c r="C662" s="260"/>
      <c r="D662" s="6"/>
      <c r="E662" s="1878" t="s">
        <v>1216</v>
      </c>
      <c r="F662" s="1878"/>
      <c r="G662" s="57"/>
      <c r="H662" s="269"/>
      <c r="I662" s="269"/>
      <c r="J662" s="269"/>
      <c r="K662" s="269"/>
    </row>
    <row r="663" spans="1:11">
      <c r="A663" s="260"/>
      <c r="B663" s="260"/>
      <c r="C663" s="260"/>
      <c r="D663" s="6"/>
      <c r="E663" s="1878"/>
      <c r="F663" s="1878"/>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69" t="s">
        <v>1217</v>
      </c>
      <c r="E665" s="1869"/>
      <c r="F665" s="1869"/>
      <c r="G665" s="57"/>
      <c r="H665" s="269"/>
      <c r="I665" s="269"/>
      <c r="J665" s="269"/>
      <c r="K665" s="269"/>
    </row>
    <row r="666" spans="1:11">
      <c r="A666" s="23"/>
      <c r="B666" s="676"/>
      <c r="C666" s="260"/>
      <c r="D666" s="1869"/>
      <c r="E666" s="1869"/>
      <c r="F666" s="1869"/>
      <c r="G666" s="57"/>
      <c r="H666" s="269"/>
      <c r="I666" s="269"/>
      <c r="J666" s="269"/>
      <c r="K666" s="269"/>
    </row>
    <row r="667" spans="1:11">
      <c r="A667" s="260"/>
      <c r="B667" s="260"/>
      <c r="C667" s="260"/>
      <c r="D667" s="1869"/>
      <c r="E667" s="1869"/>
      <c r="F667" s="1869"/>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82" t="s">
        <v>993</v>
      </c>
      <c r="E669" s="1882"/>
      <c r="F669" s="1882"/>
      <c r="G669" s="57"/>
      <c r="H669" s="269"/>
      <c r="I669" s="269"/>
      <c r="J669" s="269"/>
      <c r="K669" s="269"/>
    </row>
    <row r="670" spans="1:11" ht="14.25">
      <c r="A670" s="261"/>
      <c r="B670" s="261"/>
      <c r="C670" s="260"/>
      <c r="D670" s="1882" t="s">
        <v>964</v>
      </c>
      <c r="E670" s="1882"/>
      <c r="F670" s="1882"/>
      <c r="G670" s="57"/>
      <c r="H670" s="269"/>
      <c r="I670" s="269"/>
      <c r="J670" s="269"/>
      <c r="K670" s="269"/>
    </row>
    <row r="671" spans="1:11">
      <c r="A671" s="260"/>
      <c r="B671" s="260"/>
      <c r="C671" s="260"/>
      <c r="D671" s="6"/>
      <c r="E671" s="1900" t="s">
        <v>1218</v>
      </c>
      <c r="F671" s="1900"/>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904" t="s">
        <v>1228</v>
      </c>
      <c r="E673" s="1904"/>
      <c r="F673" s="1904"/>
      <c r="G673" s="57"/>
      <c r="H673" s="269"/>
      <c r="I673" s="269"/>
      <c r="J673" s="269"/>
      <c r="K673" s="269"/>
    </row>
    <row r="674" spans="1:11">
      <c r="A674" s="260"/>
      <c r="B674" s="260"/>
      <c r="C674" s="260"/>
      <c r="D674" s="1904"/>
      <c r="E674" s="1904"/>
      <c r="F674" s="1904"/>
      <c r="G674" s="57"/>
      <c r="H674" s="269"/>
      <c r="I674" s="269"/>
      <c r="J674" s="269"/>
      <c r="K674" s="269"/>
    </row>
    <row r="675" spans="1:11">
      <c r="A675" s="260"/>
      <c r="B675" s="260"/>
      <c r="C675" s="260"/>
      <c r="D675" s="1904"/>
      <c r="E675" s="1904"/>
      <c r="F675" s="1904"/>
      <c r="G675" s="57"/>
      <c r="H675" s="269"/>
      <c r="I675" s="269"/>
      <c r="J675" s="269"/>
      <c r="K675" s="269"/>
    </row>
    <row r="676" spans="1:11">
      <c r="A676" s="260"/>
      <c r="B676" s="260"/>
      <c r="C676" s="260"/>
      <c r="D676" s="1904"/>
      <c r="E676" s="1904"/>
      <c r="F676" s="1904"/>
      <c r="G676" s="57"/>
      <c r="H676" s="269"/>
      <c r="I676" s="269"/>
      <c r="J676" s="269"/>
      <c r="K676" s="269"/>
    </row>
    <row r="677" spans="1:11">
      <c r="A677" s="260"/>
      <c r="B677" s="260"/>
      <c r="C677" s="260"/>
      <c r="D677" s="1904"/>
      <c r="E677" s="1904"/>
      <c r="F677" s="1904"/>
      <c r="G677" s="57"/>
      <c r="H677" s="269"/>
      <c r="I677" s="269"/>
      <c r="J677" s="269"/>
      <c r="K677" s="269"/>
    </row>
    <row r="678" spans="1:11" s="39" customFormat="1">
      <c r="A678" s="488"/>
      <c r="B678" s="488"/>
      <c r="C678" s="488"/>
      <c r="D678" s="1904"/>
      <c r="E678" s="1904"/>
      <c r="F678" s="1904"/>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904" t="s">
        <v>1219</v>
      </c>
      <c r="E680" s="1904"/>
      <c r="F680" s="1904"/>
      <c r="G680" s="57"/>
      <c r="H680" s="269"/>
      <c r="I680" s="269"/>
      <c r="J680" s="269"/>
      <c r="K680" s="269"/>
    </row>
    <row r="681" spans="1:11">
      <c r="A681" s="260"/>
      <c r="B681" s="260"/>
      <c r="C681" s="260"/>
      <c r="D681" s="1904"/>
      <c r="E681" s="1904"/>
      <c r="F681" s="1904"/>
      <c r="G681" s="57"/>
      <c r="H681" s="269"/>
      <c r="I681" s="269"/>
      <c r="J681" s="269"/>
      <c r="K681" s="269"/>
    </row>
    <row r="682" spans="1:11">
      <c r="A682" s="260"/>
      <c r="B682" s="260"/>
      <c r="C682" s="260"/>
      <c r="D682" s="1904"/>
      <c r="E682" s="1904"/>
      <c r="F682" s="1904"/>
      <c r="G682" s="57"/>
      <c r="H682" s="269"/>
      <c r="I682" s="269"/>
      <c r="J682" s="269"/>
      <c r="K682" s="269"/>
    </row>
    <row r="683" spans="1:11" ht="15" customHeight="1">
      <c r="A683" s="260"/>
      <c r="B683" s="260"/>
      <c r="C683" s="260"/>
      <c r="D683" s="1904"/>
      <c r="E683" s="1904"/>
      <c r="F683" s="1904"/>
      <c r="G683" s="57"/>
      <c r="H683" s="269"/>
      <c r="I683" s="269"/>
      <c r="J683" s="269"/>
      <c r="K683" s="269"/>
    </row>
    <row r="684" spans="1:11" ht="15" customHeight="1">
      <c r="A684" s="260"/>
      <c r="B684" s="260"/>
      <c r="C684" s="260"/>
      <c r="D684" s="1904"/>
      <c r="E684" s="1904"/>
      <c r="F684" s="1904"/>
      <c r="G684" s="57"/>
      <c r="H684" s="269"/>
      <c r="I684" s="269"/>
      <c r="J684" s="269"/>
      <c r="K684" s="269"/>
    </row>
    <row r="685" spans="1:11">
      <c r="A685" s="260"/>
      <c r="B685" s="260"/>
      <c r="C685" s="260"/>
      <c r="D685" s="1904"/>
      <c r="E685" s="1904"/>
      <c r="F685" s="1904"/>
      <c r="G685" s="57"/>
      <c r="H685" s="269"/>
      <c r="I685" s="269"/>
      <c r="J685" s="269"/>
      <c r="K685" s="269"/>
    </row>
    <row r="686" spans="1:11">
      <c r="A686" s="260"/>
      <c r="B686" s="260"/>
      <c r="C686" s="260"/>
      <c r="D686" s="1904"/>
      <c r="E686" s="1904"/>
      <c r="F686" s="1904"/>
      <c r="G686" s="57"/>
      <c r="H686" s="269"/>
      <c r="I686" s="269"/>
      <c r="J686" s="269"/>
      <c r="K686" s="269"/>
    </row>
    <row r="687" spans="1:11">
      <c r="A687" s="260"/>
      <c r="B687" s="260"/>
      <c r="C687" s="260"/>
      <c r="D687" s="1904"/>
      <c r="E687" s="1904"/>
      <c r="F687" s="1904"/>
      <c r="G687" s="57"/>
      <c r="H687" s="269"/>
      <c r="I687" s="269"/>
      <c r="J687" s="269"/>
      <c r="K687" s="269"/>
    </row>
    <row r="688" spans="1:11" ht="15" customHeight="1">
      <c r="A688" s="260"/>
      <c r="B688" s="260"/>
      <c r="C688" s="260"/>
      <c r="D688" s="1904"/>
      <c r="E688" s="1904"/>
      <c r="F688" s="1904"/>
      <c r="G688" s="57"/>
      <c r="H688" s="269"/>
      <c r="I688" s="269"/>
      <c r="J688" s="269"/>
      <c r="K688" s="269"/>
    </row>
    <row r="689" spans="1:11">
      <c r="A689" s="260"/>
      <c r="B689" s="260"/>
      <c r="C689" s="260"/>
      <c r="D689" s="1904"/>
      <c r="E689" s="1904"/>
      <c r="F689" s="1904"/>
      <c r="G689" s="57"/>
      <c r="H689" s="269"/>
      <c r="I689" s="269"/>
      <c r="J689" s="269"/>
      <c r="K689" s="269"/>
    </row>
    <row r="690" spans="1:11">
      <c r="A690" s="260"/>
      <c r="B690" s="260"/>
      <c r="C690" s="260"/>
      <c r="D690" s="1904"/>
      <c r="E690" s="1904"/>
      <c r="F690" s="1904"/>
      <c r="G690" s="57"/>
      <c r="H690" s="269"/>
      <c r="I690" s="269"/>
      <c r="J690" s="269"/>
      <c r="K690" s="269"/>
    </row>
    <row r="691" spans="1:11">
      <c r="A691" s="260"/>
      <c r="B691" s="260"/>
      <c r="C691" s="260"/>
      <c r="D691" s="1904"/>
      <c r="E691" s="1904"/>
      <c r="F691" s="1904"/>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904" t="s">
        <v>1229</v>
      </c>
      <c r="E693" s="1904"/>
      <c r="F693" s="1904"/>
      <c r="G693" s="57"/>
      <c r="H693" s="269"/>
      <c r="I693" s="269"/>
      <c r="J693" s="269"/>
      <c r="K693" s="269"/>
    </row>
    <row r="694" spans="1:11">
      <c r="A694" s="260"/>
      <c r="B694" s="260"/>
      <c r="C694" s="260"/>
      <c r="D694" s="1904"/>
      <c r="E694" s="1904"/>
      <c r="F694" s="1904"/>
      <c r="G694" s="57"/>
      <c r="H694" s="269"/>
      <c r="I694" s="269"/>
      <c r="J694" s="269"/>
      <c r="K694" s="269"/>
    </row>
    <row r="695" spans="1:11">
      <c r="A695" s="260"/>
      <c r="B695" s="260"/>
      <c r="C695" s="260"/>
      <c r="D695" s="1904"/>
      <c r="E695" s="1904"/>
      <c r="F695" s="190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904" t="s">
        <v>1226</v>
      </c>
      <c r="E697" s="1904"/>
      <c r="F697" s="1904"/>
      <c r="G697" s="57"/>
      <c r="H697" s="269"/>
      <c r="I697" s="269"/>
      <c r="J697" s="269"/>
      <c r="K697" s="269"/>
    </row>
    <row r="698" spans="1:11" s="683" customFormat="1">
      <c r="A698" s="260"/>
      <c r="B698" s="260"/>
      <c r="C698" s="260"/>
      <c r="D698" s="1904"/>
      <c r="E698" s="1904"/>
      <c r="F698" s="190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904" t="s">
        <v>1227</v>
      </c>
      <c r="E700" s="1904"/>
      <c r="F700" s="1904"/>
      <c r="G700" s="57"/>
      <c r="H700" s="269"/>
      <c r="I700" s="269"/>
      <c r="J700" s="269"/>
      <c r="K700" s="269"/>
    </row>
    <row r="701" spans="1:11" s="683" customFormat="1">
      <c r="A701" s="260"/>
      <c r="B701" s="260"/>
      <c r="C701" s="260"/>
      <c r="D701" s="1904"/>
      <c r="E701" s="1904"/>
      <c r="F701" s="1904"/>
      <c r="G701" s="57"/>
      <c r="H701" s="269"/>
      <c r="I701" s="269"/>
      <c r="J701" s="269"/>
      <c r="K701" s="269"/>
    </row>
    <row r="702" spans="1:11" s="683" customFormat="1">
      <c r="A702" s="260"/>
      <c r="B702" s="260"/>
      <c r="C702" s="260"/>
      <c r="D702" s="1904"/>
      <c r="E702" s="1904"/>
      <c r="F702" s="190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904" t="s">
        <v>1220</v>
      </c>
      <c r="E704" s="1904"/>
      <c r="F704" s="1904"/>
      <c r="G704" s="57"/>
      <c r="H704" s="269"/>
      <c r="I704" s="269"/>
      <c r="J704" s="269"/>
      <c r="K704" s="269"/>
    </row>
    <row r="705" spans="1:11">
      <c r="A705" s="260"/>
      <c r="B705" s="260"/>
      <c r="C705" s="260"/>
      <c r="D705" s="1904"/>
      <c r="E705" s="1904"/>
      <c r="F705" s="1904"/>
      <c r="G705" s="57"/>
      <c r="H705" s="269"/>
      <c r="I705" s="269"/>
      <c r="J705" s="269"/>
      <c r="K705" s="269"/>
    </row>
    <row r="706" spans="1:11">
      <c r="A706" s="260"/>
      <c r="B706" s="260"/>
      <c r="C706" s="260"/>
      <c r="D706" s="1904"/>
      <c r="E706" s="1904"/>
      <c r="F706" s="1904"/>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904" t="s">
        <v>1221</v>
      </c>
      <c r="E708" s="1904"/>
      <c r="F708" s="1904"/>
      <c r="G708" s="57"/>
      <c r="H708" s="269"/>
      <c r="I708" s="269"/>
      <c r="J708" s="269"/>
      <c r="K708" s="269"/>
    </row>
    <row r="709" spans="1:11">
      <c r="A709" s="260"/>
      <c r="B709" s="260"/>
      <c r="C709" s="260"/>
      <c r="D709" s="1904"/>
      <c r="E709" s="1904"/>
      <c r="F709" s="1904"/>
      <c r="G709" s="57"/>
      <c r="H709" s="269"/>
      <c r="I709" s="269"/>
      <c r="J709" s="269"/>
      <c r="K709" s="269"/>
    </row>
    <row r="710" spans="1:11">
      <c r="A710" s="260"/>
      <c r="B710" s="260"/>
      <c r="C710" s="260"/>
      <c r="D710" s="1904"/>
      <c r="E710" s="1904"/>
      <c r="F710" s="1904"/>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69" t="s">
        <v>1222</v>
      </c>
      <c r="E712" s="1869"/>
      <c r="F712" s="1869"/>
      <c r="G712" s="57"/>
      <c r="H712" s="269"/>
      <c r="I712" s="269"/>
      <c r="J712" s="269"/>
      <c r="K712" s="269"/>
    </row>
    <row r="713" spans="1:11">
      <c r="A713" s="260"/>
      <c r="B713" s="260"/>
      <c r="C713" s="260"/>
      <c r="D713" s="1869"/>
      <c r="E713" s="1869"/>
      <c r="F713" s="1869"/>
      <c r="G713" s="57"/>
      <c r="H713" s="269"/>
      <c r="I713" s="269"/>
      <c r="J713" s="269"/>
      <c r="K713" s="269"/>
    </row>
    <row r="714" spans="1:11">
      <c r="A714" s="260"/>
      <c r="B714" s="260"/>
      <c r="C714" s="260"/>
      <c r="D714" s="1869"/>
      <c r="E714" s="1869"/>
      <c r="F714" s="1869"/>
      <c r="G714" s="57"/>
      <c r="H714" s="269"/>
      <c r="I714" s="269"/>
      <c r="J714" s="269"/>
      <c r="K714" s="269"/>
    </row>
    <row r="715" spans="1:11">
      <c r="A715" s="260"/>
      <c r="B715" s="260"/>
      <c r="C715" s="260"/>
      <c r="D715" s="1869"/>
      <c r="E715" s="1869"/>
      <c r="F715" s="1869"/>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904" t="s">
        <v>1355</v>
      </c>
      <c r="E717" s="1904"/>
      <c r="F717" s="1904"/>
      <c r="G717" s="57"/>
      <c r="H717" s="269"/>
      <c r="I717" s="269"/>
      <c r="J717" s="269"/>
      <c r="K717" s="269"/>
    </row>
    <row r="718" spans="1:11">
      <c r="A718" s="260"/>
      <c r="B718" s="260"/>
      <c r="C718" s="260"/>
      <c r="D718" s="1904"/>
      <c r="E718" s="1904"/>
      <c r="F718" s="1904"/>
      <c r="G718" s="57"/>
      <c r="H718" s="269"/>
      <c r="I718" s="269"/>
      <c r="J718" s="269"/>
      <c r="K718" s="269"/>
    </row>
    <row r="719" spans="1:11">
      <c r="A719" s="260"/>
      <c r="B719" s="260"/>
      <c r="C719" s="260"/>
      <c r="D719" s="1904"/>
      <c r="E719" s="1904"/>
      <c r="F719" s="1904"/>
      <c r="G719" s="57"/>
      <c r="H719" s="269"/>
      <c r="I719" s="269"/>
      <c r="J719" s="269"/>
      <c r="K719" s="269"/>
    </row>
    <row r="720" spans="1:11">
      <c r="A720" s="260"/>
      <c r="B720" s="260"/>
      <c r="C720" s="260"/>
      <c r="D720" s="1904"/>
      <c r="E720" s="1904"/>
      <c r="F720" s="1904"/>
      <c r="G720" s="57"/>
      <c r="H720" s="269"/>
      <c r="I720" s="269"/>
      <c r="J720" s="269"/>
      <c r="K720" s="269"/>
    </row>
    <row r="721" spans="1:11">
      <c r="A721" s="260"/>
      <c r="B721" s="260"/>
      <c r="C721" s="260"/>
      <c r="D721" s="1904"/>
      <c r="E721" s="1904"/>
      <c r="F721" s="1904"/>
      <c r="G721" s="57"/>
      <c r="H721" s="269"/>
      <c r="I721" s="269"/>
      <c r="J721" s="269"/>
      <c r="K721" s="269"/>
    </row>
    <row r="722" spans="1:11">
      <c r="A722" s="260"/>
      <c r="B722" s="260"/>
      <c r="C722" s="260"/>
      <c r="D722" s="1904"/>
      <c r="E722" s="1904"/>
      <c r="F722" s="1904"/>
      <c r="G722" s="57"/>
      <c r="H722" s="269"/>
      <c r="I722" s="269"/>
      <c r="J722" s="269"/>
      <c r="K722" s="269"/>
    </row>
    <row r="723" spans="1:11">
      <c r="A723" s="260"/>
      <c r="B723" s="260"/>
      <c r="C723" s="260"/>
      <c r="D723" s="1904"/>
      <c r="E723" s="1904"/>
      <c r="F723" s="1904"/>
      <c r="G723" s="57"/>
      <c r="H723" s="269"/>
      <c r="I723" s="269"/>
      <c r="J723" s="269"/>
      <c r="K723" s="269"/>
    </row>
    <row r="724" spans="1:11">
      <c r="A724" s="260"/>
      <c r="B724" s="260"/>
      <c r="C724" s="260"/>
      <c r="D724" s="1937" t="s">
        <v>1223</v>
      </c>
      <c r="E724" s="1937"/>
      <c r="F724" s="1937"/>
      <c r="G724" s="57"/>
      <c r="H724" s="269"/>
      <c r="I724" s="269"/>
      <c r="J724" s="269"/>
      <c r="K724" s="269"/>
    </row>
    <row r="725" spans="1:11" s="683" customFormat="1">
      <c r="A725" s="260"/>
      <c r="B725" s="260"/>
      <c r="C725" s="260"/>
      <c r="D725" s="534"/>
      <c r="E725" s="7"/>
      <c r="F725" s="7"/>
      <c r="G725" s="57"/>
      <c r="H725" s="269"/>
      <c r="I725" s="269"/>
      <c r="J725" s="269"/>
      <c r="K725" s="269"/>
    </row>
    <row r="726" spans="1:11">
      <c r="A726" s="1939" t="s">
        <v>1180</v>
      </c>
      <c r="B726" s="1939"/>
      <c r="C726" s="1939"/>
      <c r="D726" s="1939"/>
      <c r="E726" s="1939"/>
      <c r="F726" s="1939"/>
      <c r="G726" s="1939"/>
      <c r="H726" s="269"/>
      <c r="I726" s="269"/>
      <c r="J726" s="269"/>
      <c r="K726" s="269"/>
    </row>
    <row r="727" spans="1:11">
      <c r="A727" s="260"/>
      <c r="B727" s="260"/>
      <c r="C727" s="260"/>
      <c r="D727" s="263"/>
      <c r="G727" s="271"/>
      <c r="H727" s="269"/>
      <c r="I727" s="269"/>
      <c r="J727" s="269"/>
      <c r="K727" s="269"/>
    </row>
    <row r="728" spans="1:11" ht="13.15" customHeight="1">
      <c r="C728" s="260"/>
      <c r="D728" s="1918" t="s">
        <v>1196</v>
      </c>
      <c r="E728" s="1918"/>
      <c r="F728" s="1918"/>
      <c r="G728" s="271"/>
      <c r="H728" s="269"/>
      <c r="I728" s="269"/>
      <c r="J728" s="269"/>
      <c r="K728" s="269"/>
    </row>
    <row r="729" spans="1:11">
      <c r="A729" s="260"/>
      <c r="B729" s="260"/>
      <c r="C729" s="260"/>
      <c r="D729" s="1935" t="s">
        <v>1197</v>
      </c>
      <c r="E729" s="1935"/>
      <c r="F729" s="1935"/>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69" t="s">
        <v>1198</v>
      </c>
      <c r="E731" s="1869"/>
      <c r="F731" s="1869"/>
      <c r="G731" s="271"/>
      <c r="H731" s="272"/>
      <c r="I731" s="272"/>
      <c r="J731" s="272"/>
      <c r="K731" s="272"/>
    </row>
    <row r="732" spans="1:11" s="39" customFormat="1" ht="10.5" customHeight="1">
      <c r="A732" s="132"/>
      <c r="B732" s="677"/>
      <c r="C732" s="132"/>
      <c r="D732" s="1869"/>
      <c r="E732" s="1869"/>
      <c r="F732" s="1869"/>
      <c r="G732" s="271"/>
      <c r="H732" s="272"/>
      <c r="I732" s="272"/>
      <c r="J732" s="272"/>
      <c r="K732" s="272"/>
    </row>
    <row r="733" spans="1:11" s="39" customFormat="1">
      <c r="A733" s="132"/>
      <c r="B733" s="677"/>
      <c r="C733" s="132"/>
      <c r="D733" s="1869"/>
      <c r="E733" s="1869"/>
      <c r="F733" s="1869"/>
      <c r="G733" s="271"/>
      <c r="H733" s="272"/>
      <c r="I733" s="272"/>
      <c r="J733" s="272"/>
      <c r="K733" s="272"/>
    </row>
    <row r="734" spans="1:11">
      <c r="D734" s="1869"/>
      <c r="E734" s="1869"/>
      <c r="F734" s="1869"/>
      <c r="G734" s="271"/>
      <c r="H734" s="269"/>
      <c r="I734" s="269"/>
      <c r="J734" s="269"/>
      <c r="K734" s="269"/>
    </row>
    <row r="735" spans="1:11">
      <c r="A735" s="273"/>
      <c r="B735" s="273"/>
      <c r="C735" s="273"/>
      <c r="D735" s="1869"/>
      <c r="E735" s="1869"/>
      <c r="F735" s="1869"/>
      <c r="G735" s="275"/>
      <c r="H735" s="269"/>
      <c r="I735" s="269"/>
      <c r="J735" s="269"/>
      <c r="K735" s="269"/>
    </row>
    <row r="736" spans="1:11" ht="15.6" customHeight="1">
      <c r="A736" s="273"/>
      <c r="B736" s="273"/>
      <c r="C736" s="273"/>
      <c r="D736" s="1869"/>
      <c r="E736" s="1869"/>
      <c r="F736" s="1869"/>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70" t="s">
        <v>1199</v>
      </c>
      <c r="E738" s="1870"/>
      <c r="F738" s="1870"/>
      <c r="G738" s="312"/>
    </row>
    <row r="739" spans="1:11" s="410" customFormat="1">
      <c r="A739" s="409"/>
      <c r="B739" s="409"/>
      <c r="C739" s="409"/>
      <c r="D739" s="1870"/>
      <c r="E739" s="1870"/>
      <c r="F739" s="1870"/>
      <c r="G739" s="312"/>
    </row>
    <row r="740" spans="1:11" s="410" customFormat="1">
      <c r="A740" s="409"/>
      <c r="B740" s="409"/>
      <c r="C740" s="409"/>
      <c r="D740" s="1870"/>
      <c r="E740" s="1870"/>
      <c r="F740" s="1870"/>
      <c r="G740" s="312"/>
    </row>
    <row r="741" spans="1:11" s="410" customFormat="1">
      <c r="A741" s="409"/>
      <c r="B741" s="409"/>
      <c r="C741" s="409"/>
      <c r="D741" s="1870"/>
      <c r="E741" s="1870"/>
      <c r="F741" s="1870"/>
      <c r="G741" s="312"/>
    </row>
    <row r="742" spans="1:11" s="410" customFormat="1">
      <c r="A742" s="409"/>
      <c r="B742" s="409"/>
      <c r="C742" s="409"/>
      <c r="D742" s="378"/>
      <c r="E742" s="312"/>
      <c r="F742" s="312"/>
      <c r="G742" s="312"/>
    </row>
    <row r="743" spans="1:11" s="410" customFormat="1" ht="14.25">
      <c r="A743" s="261"/>
      <c r="B743" s="680" t="s">
        <v>317</v>
      </c>
      <c r="C743" s="409"/>
      <c r="D743" s="1936" t="s">
        <v>1200</v>
      </c>
      <c r="E743" s="1936"/>
      <c r="F743" s="1936"/>
      <c r="G743" s="312"/>
    </row>
    <row r="744" spans="1:11" s="410" customFormat="1">
      <c r="A744" s="409"/>
      <c r="B744" s="409"/>
      <c r="C744" s="409"/>
      <c r="D744" s="1936"/>
      <c r="E744" s="1936"/>
      <c r="F744" s="1936"/>
      <c r="G744" s="312"/>
    </row>
    <row r="745" spans="1:11" s="410" customFormat="1">
      <c r="A745" s="409"/>
      <c r="B745" s="409"/>
      <c r="C745" s="409"/>
      <c r="D745" s="1936"/>
      <c r="E745" s="1936"/>
      <c r="F745" s="1936"/>
      <c r="G745" s="312"/>
    </row>
    <row r="746" spans="1:11">
      <c r="A746" s="273"/>
      <c r="B746" s="273"/>
      <c r="C746" s="273"/>
      <c r="D746" s="378"/>
      <c r="E746" s="274"/>
      <c r="F746" s="274"/>
      <c r="G746" s="275"/>
      <c r="H746" s="269"/>
      <c r="I746" s="269"/>
      <c r="J746" s="269"/>
      <c r="K746" s="269"/>
    </row>
    <row r="747" spans="1:11" ht="14.25">
      <c r="A747" s="261"/>
      <c r="B747" s="680" t="s">
        <v>317</v>
      </c>
      <c r="C747" s="273"/>
      <c r="D747" s="1870" t="s">
        <v>1201</v>
      </c>
      <c r="E747" s="1870"/>
      <c r="F747" s="1870"/>
      <c r="G747" s="275"/>
      <c r="H747" s="269"/>
      <c r="I747" s="269"/>
      <c r="J747" s="269"/>
      <c r="K747" s="269"/>
    </row>
    <row r="748" spans="1:11">
      <c r="A748" s="273"/>
      <c r="B748" s="273"/>
      <c r="C748" s="273"/>
      <c r="D748" s="1870"/>
      <c r="E748" s="1870"/>
      <c r="F748" s="187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70" t="s">
        <v>1202</v>
      </c>
      <c r="E750" s="1870"/>
      <c r="F750" s="1870"/>
      <c r="G750" s="275"/>
      <c r="H750" s="269"/>
      <c r="I750" s="269"/>
      <c r="J750" s="269"/>
      <c r="K750" s="269"/>
    </row>
    <row r="751" spans="1:11" s="683" customFormat="1">
      <c r="A751" s="273"/>
      <c r="B751" s="273"/>
      <c r="C751" s="273"/>
      <c r="D751" s="1870"/>
      <c r="E751" s="1870"/>
      <c r="F751" s="1870"/>
      <c r="G751" s="275"/>
      <c r="H751" s="269"/>
      <c r="I751" s="269"/>
      <c r="J751" s="269"/>
      <c r="K751" s="269"/>
    </row>
    <row r="752" spans="1:11" s="683" customFormat="1">
      <c r="A752" s="273"/>
      <c r="B752" s="273"/>
      <c r="C752" s="273"/>
      <c r="D752" s="1870"/>
      <c r="E752" s="1870"/>
      <c r="F752" s="187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41" t="s">
        <v>1203</v>
      </c>
      <c r="B754" s="1941"/>
      <c r="C754" s="1941"/>
      <c r="D754" s="1941"/>
      <c r="E754" s="1941"/>
      <c r="F754" s="1941"/>
      <c r="G754" s="1941"/>
    </row>
    <row r="755" spans="1:11">
      <c r="A755" s="260"/>
      <c r="B755" s="260"/>
      <c r="C755" s="260"/>
      <c r="D755" s="276"/>
      <c r="F755" s="147"/>
      <c r="G755" s="271"/>
    </row>
    <row r="756" spans="1:11">
      <c r="A756" s="273"/>
      <c r="B756" s="273"/>
      <c r="C756" s="443"/>
      <c r="D756" s="1942" t="s">
        <v>1187</v>
      </c>
      <c r="E756" s="1942"/>
      <c r="F756" s="1942"/>
      <c r="G756" s="271"/>
    </row>
    <row r="757" spans="1:11">
      <c r="A757" s="504"/>
      <c r="B757" s="504"/>
      <c r="C757" s="503"/>
      <c r="D757" s="1932" t="s">
        <v>1204</v>
      </c>
      <c r="E757" s="1932"/>
      <c r="F757" s="1932"/>
      <c r="G757" s="271"/>
    </row>
    <row r="758" spans="1:11">
      <c r="A758" s="273"/>
      <c r="B758" s="273"/>
      <c r="C758" s="443"/>
      <c r="D758" s="694"/>
      <c r="E758" s="694"/>
      <c r="F758" s="694"/>
      <c r="G758" s="271"/>
    </row>
    <row r="759" spans="1:11" ht="14.25">
      <c r="A759" s="261"/>
      <c r="B759" s="680" t="s">
        <v>317</v>
      </c>
      <c r="C759" s="443"/>
      <c r="D759" s="1933" t="s">
        <v>1072</v>
      </c>
      <c r="E759" s="1933"/>
      <c r="F759" s="1933"/>
      <c r="G759" s="271"/>
    </row>
    <row r="760" spans="1:11">
      <c r="A760" s="273"/>
      <c r="B760" s="273"/>
      <c r="C760" s="443"/>
      <c r="D760" s="693"/>
      <c r="E760" s="1934" t="s">
        <v>1188</v>
      </c>
      <c r="F760" s="1934"/>
      <c r="G760" s="271"/>
    </row>
    <row r="761" spans="1:11">
      <c r="A761" s="267"/>
      <c r="B761" s="267"/>
      <c r="C761" s="267"/>
      <c r="D761" s="135"/>
      <c r="F761" s="57"/>
      <c r="G761" s="271"/>
    </row>
    <row r="762" spans="1:11">
      <c r="A762" s="1938" t="s">
        <v>471</v>
      </c>
      <c r="B762" s="1938"/>
      <c r="C762" s="1938"/>
      <c r="D762" s="1938"/>
      <c r="E762" s="1938"/>
      <c r="F762" s="1938"/>
      <c r="G762" s="1938"/>
    </row>
    <row r="763" spans="1:11">
      <c r="A763" s="255"/>
      <c r="B763" s="674"/>
      <c r="C763" s="266"/>
      <c r="D763" s="271"/>
      <c r="E763" s="271"/>
      <c r="F763" s="271"/>
      <c r="G763" s="271"/>
    </row>
    <row r="764" spans="1:11">
      <c r="A764" s="135"/>
      <c r="B764" s="1940" t="s">
        <v>1071</v>
      </c>
      <c r="C764" s="1940"/>
      <c r="D764" s="1940"/>
      <c r="E764" s="1940"/>
      <c r="F764" s="1940"/>
      <c r="G764" s="271"/>
    </row>
    <row r="765" spans="1:11">
      <c r="A765" s="23"/>
      <c r="B765" s="676"/>
      <c r="G765" s="271"/>
    </row>
    <row r="766" spans="1:11">
      <c r="A766" s="1938" t="s">
        <v>472</v>
      </c>
      <c r="B766" s="1938"/>
      <c r="C766" s="1938"/>
      <c r="D766" s="1938"/>
      <c r="E766" s="1938"/>
      <c r="F766" s="1938"/>
      <c r="G766" s="1938"/>
    </row>
    <row r="767" spans="1:11">
      <c r="A767" s="255"/>
      <c r="B767" s="674"/>
      <c r="C767" s="255"/>
      <c r="D767" s="263"/>
      <c r="G767" s="271"/>
    </row>
    <row r="768" spans="1:11">
      <c r="A768" s="135"/>
      <c r="B768" s="1884" t="s">
        <v>470</v>
      </c>
      <c r="C768" s="1884"/>
      <c r="D768" s="1884"/>
      <c r="E768" s="1884"/>
      <c r="F768" s="1884"/>
      <c r="G768" s="271"/>
    </row>
    <row r="769" spans="1:7" ht="14.25">
      <c r="A769" s="261"/>
      <c r="B769" s="261"/>
      <c r="D769" s="135"/>
      <c r="E769" s="135"/>
      <c r="F769" s="271"/>
      <c r="G769" s="271"/>
    </row>
    <row r="770" spans="1:7">
      <c r="A770" s="1938" t="s">
        <v>473</v>
      </c>
      <c r="B770" s="1938"/>
      <c r="C770" s="1938"/>
      <c r="D770" s="1938"/>
      <c r="E770" s="1938"/>
      <c r="F770" s="1938"/>
      <c r="G770" s="1938"/>
    </row>
    <row r="771" spans="1:7">
      <c r="C771" s="260"/>
      <c r="D771" s="259"/>
      <c r="E771" s="135"/>
      <c r="F771" s="271"/>
      <c r="G771" s="271"/>
    </row>
    <row r="772" spans="1:7">
      <c r="A772" s="135"/>
      <c r="B772" s="1884" t="s">
        <v>470</v>
      </c>
      <c r="C772" s="1884"/>
      <c r="D772" s="1884"/>
      <c r="E772" s="1884"/>
      <c r="F772" s="1884"/>
      <c r="G772" s="271"/>
    </row>
    <row r="773" spans="1:7">
      <c r="A773" s="135"/>
      <c r="B773" s="135"/>
      <c r="C773" s="266"/>
      <c r="D773" s="271"/>
      <c r="E773" s="271"/>
      <c r="F773" s="271"/>
      <c r="G773" s="271"/>
    </row>
    <row r="774" spans="1:7">
      <c r="A774" s="1938" t="s">
        <v>474</v>
      </c>
      <c r="B774" s="1938"/>
      <c r="C774" s="1938"/>
      <c r="D774" s="1938"/>
      <c r="E774" s="1938"/>
      <c r="F774" s="1938"/>
      <c r="G774" s="1938"/>
    </row>
    <row r="775" spans="1:7">
      <c r="A775" s="135"/>
      <c r="B775" s="135"/>
    </row>
    <row r="776" spans="1:7">
      <c r="A776" s="135"/>
      <c r="B776" s="1884" t="s">
        <v>470</v>
      </c>
      <c r="C776" s="1884"/>
      <c r="D776" s="1884"/>
      <c r="E776" s="1884"/>
      <c r="F776" s="1884"/>
    </row>
    <row r="777" spans="1:7">
      <c r="A777" s="266"/>
      <c r="B777" s="266"/>
      <c r="C777" s="266"/>
      <c r="D777" s="258"/>
      <c r="F777" s="271"/>
    </row>
    <row r="778" spans="1:7">
      <c r="A778" s="1938" t="s">
        <v>475</v>
      </c>
      <c r="B778" s="1938"/>
      <c r="C778" s="1938"/>
      <c r="D778" s="1938"/>
      <c r="E778" s="1938"/>
      <c r="F778" s="1938"/>
      <c r="G778" s="1938"/>
    </row>
    <row r="779" spans="1:7">
      <c r="A779" s="135"/>
      <c r="B779" s="135"/>
    </row>
    <row r="780" spans="1:7">
      <c r="A780" s="135"/>
      <c r="B780" s="1884" t="s">
        <v>470</v>
      </c>
      <c r="C780" s="1884"/>
      <c r="D780" s="1884"/>
      <c r="E780" s="1884"/>
      <c r="F780" s="1884"/>
    </row>
    <row r="781" spans="1:7">
      <c r="A781" s="266"/>
      <c r="B781" s="266"/>
      <c r="C781" s="266"/>
      <c r="D781" s="258"/>
      <c r="F781" s="271"/>
    </row>
    <row r="782" spans="1:7">
      <c r="A782" s="1938" t="s">
        <v>476</v>
      </c>
      <c r="B782" s="1938"/>
      <c r="C782" s="1938"/>
      <c r="D782" s="1938"/>
      <c r="E782" s="1938"/>
      <c r="F782" s="1938"/>
      <c r="G782" s="1938"/>
    </row>
    <row r="783" spans="1:7">
      <c r="A783" s="135"/>
      <c r="B783" s="135"/>
    </row>
    <row r="784" spans="1:7">
      <c r="A784" s="135"/>
      <c r="B784" s="1884" t="s">
        <v>470</v>
      </c>
      <c r="C784" s="1884"/>
      <c r="D784" s="1884"/>
      <c r="E784" s="1884"/>
      <c r="F784" s="1884"/>
    </row>
    <row r="785" spans="1:7">
      <c r="A785" s="265"/>
      <c r="B785" s="265"/>
      <c r="C785" s="265"/>
      <c r="D785" s="277"/>
      <c r="E785" s="57"/>
      <c r="F785" s="57"/>
      <c r="G785" s="57"/>
    </row>
    <row r="786" spans="1:7">
      <c r="A786" s="1938" t="s">
        <v>191</v>
      </c>
      <c r="B786" s="1938"/>
      <c r="C786" s="1938"/>
      <c r="D786" s="1938"/>
      <c r="E786" s="1938"/>
      <c r="F786" s="1938"/>
      <c r="G786" s="1938"/>
    </row>
    <row r="787" spans="1:7">
      <c r="A787" s="135"/>
      <c r="B787" s="135"/>
    </row>
    <row r="788" spans="1:7">
      <c r="A788" s="135"/>
      <c r="B788" s="1884" t="s">
        <v>470</v>
      </c>
      <c r="C788" s="1884"/>
      <c r="D788" s="1884"/>
      <c r="E788" s="1884"/>
      <c r="F788" s="1884"/>
    </row>
    <row r="789" spans="1:7">
      <c r="A789" s="135"/>
      <c r="B789" s="135"/>
      <c r="D789" s="258"/>
    </row>
    <row r="790" spans="1:7">
      <c r="A790" s="1938" t="s">
        <v>940</v>
      </c>
      <c r="B790" s="1938"/>
      <c r="C790" s="1938"/>
      <c r="D790" s="1938"/>
      <c r="E790" s="1938"/>
      <c r="F790" s="1938"/>
      <c r="G790" s="1938"/>
    </row>
    <row r="791" spans="1:7">
      <c r="A791" s="135"/>
      <c r="B791" s="135"/>
    </row>
    <row r="792" spans="1:7">
      <c r="A792" s="135"/>
      <c r="B792" s="1884" t="s">
        <v>470</v>
      </c>
      <c r="C792" s="1884"/>
      <c r="D792" s="1884"/>
      <c r="E792" s="1884"/>
      <c r="F792" s="1884"/>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47" t="s">
        <v>2433</v>
      </c>
      <c r="B2" s="1948"/>
      <c r="C2" s="1948"/>
      <c r="D2" s="1948"/>
      <c r="E2" s="1948"/>
      <c r="F2" s="1948"/>
      <c r="G2" s="1948"/>
      <c r="H2" s="1948"/>
      <c r="I2" s="1948"/>
      <c r="J2" s="1948"/>
    </row>
    <row r="3" spans="1:10" ht="15.75">
      <c r="A3" s="1952" t="s">
        <v>683</v>
      </c>
      <c r="B3" s="1953"/>
      <c r="C3" s="1953"/>
      <c r="D3" s="1953"/>
      <c r="E3" s="1953"/>
      <c r="F3" s="1953"/>
      <c r="G3" s="1953"/>
      <c r="H3" s="1953"/>
      <c r="I3" s="1953"/>
      <c r="J3" s="1953"/>
    </row>
    <row r="4" spans="1:10" ht="15">
      <c r="A4" s="1954" t="s">
        <v>1509</v>
      </c>
      <c r="B4" s="1953"/>
      <c r="C4" s="1953"/>
      <c r="D4" s="1953"/>
      <c r="E4" s="1953"/>
      <c r="F4" s="1953"/>
      <c r="G4" s="1953"/>
      <c r="H4" s="1953"/>
      <c r="I4" s="1953"/>
      <c r="J4" s="1953"/>
    </row>
    <row r="5" spans="1:10" ht="12.75"/>
    <row r="6" spans="1:10" ht="12.75">
      <c r="A6" s="1949" t="s">
        <v>1531</v>
      </c>
      <c r="B6" s="1950"/>
      <c r="C6" s="1950"/>
      <c r="D6" s="1950"/>
      <c r="E6" s="1950"/>
      <c r="F6" s="1950"/>
      <c r="G6" s="1950"/>
      <c r="H6" s="1950"/>
      <c r="I6" s="1950"/>
      <c r="J6" s="1950"/>
    </row>
    <row r="7" spans="1:10" ht="12.75">
      <c r="A7" s="1950"/>
      <c r="B7" s="1950"/>
      <c r="C7" s="1950"/>
      <c r="D7" s="1950"/>
      <c r="E7" s="1950"/>
      <c r="F7" s="1950"/>
      <c r="G7" s="1950"/>
      <c r="H7" s="1950"/>
      <c r="I7" s="1950"/>
      <c r="J7" s="1950"/>
    </row>
    <row r="8" spans="1:10" ht="12.75">
      <c r="A8" s="1950"/>
      <c r="B8" s="1950"/>
      <c r="C8" s="1950"/>
      <c r="D8" s="1950"/>
      <c r="E8" s="1950"/>
      <c r="F8" s="1950"/>
      <c r="G8" s="1950"/>
      <c r="H8" s="1950"/>
      <c r="I8" s="1950"/>
      <c r="J8" s="1950"/>
    </row>
    <row r="9" spans="1:10" ht="30" customHeight="1">
      <c r="A9" s="1950"/>
      <c r="B9" s="1950"/>
      <c r="C9" s="1950"/>
      <c r="D9" s="1950"/>
      <c r="E9" s="1950"/>
      <c r="F9" s="1950"/>
      <c r="G9" s="1950"/>
      <c r="H9" s="1950"/>
      <c r="I9" s="1950"/>
      <c r="J9" s="1950"/>
    </row>
    <row r="10" spans="1:10" ht="12.75">
      <c r="A10" s="773"/>
      <c r="B10" s="773"/>
      <c r="C10" s="773"/>
      <c r="D10" s="773"/>
      <c r="E10" s="773"/>
      <c r="F10" s="773"/>
      <c r="G10" s="773"/>
      <c r="H10" s="773"/>
      <c r="I10" s="773"/>
      <c r="J10" s="773"/>
    </row>
    <row r="11" spans="1:10" ht="12.75">
      <c r="A11" s="1955" t="s">
        <v>1394</v>
      </c>
      <c r="B11" s="1956"/>
      <c r="C11" s="1956"/>
      <c r="D11" s="1956"/>
      <c r="E11" s="1956"/>
      <c r="F11" s="1956"/>
      <c r="G11" s="1956"/>
      <c r="H11" s="1956"/>
      <c r="I11" s="1956"/>
      <c r="J11" s="1956"/>
    </row>
    <row r="12" spans="1:10" ht="12.75">
      <c r="A12" s="1956"/>
      <c r="B12" s="1956"/>
      <c r="C12" s="1956"/>
      <c r="D12" s="1956"/>
      <c r="E12" s="1956"/>
      <c r="F12" s="1956"/>
      <c r="G12" s="1956"/>
      <c r="H12" s="1956"/>
      <c r="I12" s="1956"/>
      <c r="J12" s="1956"/>
    </row>
    <row r="13" spans="1:10" ht="12.75">
      <c r="A13" s="1956"/>
      <c r="B13" s="1956"/>
      <c r="C13" s="1956"/>
      <c r="D13" s="1956"/>
      <c r="E13" s="1956"/>
      <c r="F13" s="1956"/>
      <c r="G13" s="1956"/>
      <c r="H13" s="1956"/>
      <c r="I13" s="1956"/>
      <c r="J13" s="1956"/>
    </row>
    <row r="14" spans="1:10" ht="12.75"/>
    <row r="15" spans="1:10" ht="12.75" customHeight="1">
      <c r="A15" s="1957" t="s">
        <v>1481</v>
      </c>
      <c r="B15" s="1957"/>
      <c r="C15" s="1957"/>
      <c r="D15" s="1957"/>
      <c r="E15" s="1957"/>
      <c r="F15" s="1957"/>
      <c r="G15" s="1957"/>
      <c r="H15" s="1957"/>
      <c r="I15" s="1957"/>
      <c r="J15" s="1957"/>
    </row>
    <row r="16" spans="1:10" ht="12.75">
      <c r="A16" s="1957"/>
      <c r="B16" s="1957"/>
      <c r="C16" s="1957"/>
      <c r="D16" s="1957"/>
      <c r="E16" s="1957"/>
      <c r="F16" s="1957"/>
      <c r="G16" s="1957"/>
      <c r="H16" s="1957"/>
      <c r="I16" s="1957"/>
      <c r="J16" s="1957"/>
    </row>
    <row r="17" spans="1:10" ht="12.75">
      <c r="A17" s="1957"/>
      <c r="B17" s="1957"/>
      <c r="C17" s="1957"/>
      <c r="D17" s="1957"/>
      <c r="E17" s="1957"/>
      <c r="F17" s="1957"/>
      <c r="G17" s="1957"/>
      <c r="H17" s="1957"/>
      <c r="I17" s="1957"/>
      <c r="J17" s="1957"/>
    </row>
    <row r="18" spans="1:10" ht="12.75">
      <c r="A18" s="1958"/>
      <c r="B18" s="1958"/>
      <c r="C18" s="1958"/>
      <c r="D18" s="1958"/>
      <c r="E18" s="1958"/>
      <c r="F18" s="1958"/>
      <c r="G18" s="1958"/>
      <c r="H18" s="1958"/>
      <c r="I18" s="1958"/>
      <c r="J18" s="1958"/>
    </row>
    <row r="19" spans="1:10" ht="12.75">
      <c r="A19" s="1958"/>
      <c r="B19" s="1958"/>
      <c r="C19" s="1958"/>
      <c r="D19" s="1958"/>
      <c r="E19" s="1958"/>
      <c r="F19" s="1958"/>
      <c r="G19" s="1958"/>
      <c r="H19" s="1958"/>
      <c r="I19" s="1958"/>
      <c r="J19" s="1958"/>
    </row>
    <row r="20" spans="1:10" ht="12.75">
      <c r="A20" s="1958"/>
      <c r="B20" s="1958"/>
      <c r="C20" s="1958"/>
      <c r="D20" s="1958"/>
      <c r="E20" s="1958"/>
      <c r="F20" s="1958"/>
      <c r="G20" s="1958"/>
      <c r="H20" s="1958"/>
      <c r="I20" s="1958"/>
      <c r="J20" s="1958"/>
    </row>
    <row r="21" spans="1:10" ht="12.75">
      <c r="A21" s="774" t="s">
        <v>1395</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59" t="s">
        <v>1396</v>
      </c>
      <c r="B23" s="1953"/>
      <c r="C23" s="1953"/>
      <c r="D23" s="1953"/>
      <c r="E23" s="19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49" t="s">
        <v>1397</v>
      </c>
      <c r="B60" s="1950"/>
      <c r="C60" s="1950"/>
      <c r="D60" s="1950"/>
      <c r="E60" s="1950"/>
      <c r="F60" s="1950"/>
      <c r="G60" s="1950"/>
      <c r="H60" s="1950"/>
      <c r="I60" s="1950"/>
      <c r="J60" s="1950"/>
    </row>
    <row r="61" spans="1:10" ht="12.75">
      <c r="A61" s="1950"/>
      <c r="B61" s="1950"/>
      <c r="C61" s="1950"/>
      <c r="D61" s="1950"/>
      <c r="E61" s="1950"/>
      <c r="F61" s="1950"/>
      <c r="G61" s="1950"/>
      <c r="H61" s="1950"/>
      <c r="I61" s="1950"/>
      <c r="J61" s="1950"/>
    </row>
    <row r="62" spans="1:10" ht="12.75">
      <c r="A62" s="1950"/>
      <c r="B62" s="1950"/>
      <c r="C62" s="1950"/>
      <c r="D62" s="1950"/>
      <c r="E62" s="1950"/>
      <c r="F62" s="1950"/>
      <c r="G62" s="1950"/>
      <c r="H62" s="1950"/>
      <c r="I62" s="1950"/>
      <c r="J62" s="1950"/>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51" t="s">
        <v>1398</v>
      </c>
      <c r="B75" s="1951"/>
      <c r="C75" s="1951"/>
      <c r="D75" s="1951"/>
      <c r="E75" s="1951"/>
      <c r="F75" s="1951"/>
      <c r="G75" s="1951"/>
      <c r="H75" s="1951"/>
      <c r="I75" s="1951"/>
    </row>
    <row r="76" spans="1:9" ht="12.75">
      <c r="A76" s="1875" t="s">
        <v>1096</v>
      </c>
      <c r="B76" s="1875"/>
      <c r="C76" s="1875"/>
      <c r="D76" s="1875"/>
      <c r="E76" s="1875"/>
    </row>
    <row r="77" spans="1:9" ht="12.75">
      <c r="A77" s="1875" t="s">
        <v>1399</v>
      </c>
      <c r="B77" s="1875"/>
      <c r="C77" s="1875"/>
      <c r="D77" s="1875"/>
      <c r="E77" s="1875"/>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57" zoomScale="115" zoomScaleNormal="115" zoomScaleSheetLayoutView="100" workbookViewId="0">
      <selection activeCell="K758" sqref="K758"/>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90" t="s">
        <v>2254</v>
      </c>
      <c r="B2" s="1990"/>
      <c r="C2" s="1991"/>
      <c r="D2" s="1991"/>
      <c r="E2" s="1991"/>
      <c r="F2" s="1991"/>
      <c r="G2" s="1991"/>
    </row>
    <row r="3" spans="1:9">
      <c r="A3" s="1997" t="s">
        <v>2255</v>
      </c>
      <c r="B3" s="1997"/>
      <c r="C3" s="1991"/>
      <c r="D3" s="1991"/>
      <c r="E3" s="1991"/>
      <c r="F3" s="1991"/>
      <c r="G3" s="1991"/>
      <c r="I3" s="694"/>
    </row>
    <row r="4" spans="1:9">
      <c r="A4" s="1994"/>
      <c r="B4" s="1994"/>
      <c r="C4" s="1998"/>
      <c r="D4" s="1998"/>
      <c r="E4" s="1998"/>
      <c r="F4" s="1998"/>
      <c r="G4" s="1998"/>
      <c r="I4" s="694"/>
    </row>
    <row r="5" spans="1:9" s="792" customFormat="1">
      <c r="A5" s="1994"/>
      <c r="B5" s="1994"/>
      <c r="C5" s="1995"/>
      <c r="D5" s="1995"/>
      <c r="E5" s="1995"/>
      <c r="F5" s="1995"/>
      <c r="G5" s="1995"/>
    </row>
    <row r="6" spans="1:9" s="792" customFormat="1">
      <c r="A6" s="1992" t="s">
        <v>1257</v>
      </c>
      <c r="B6" s="1992"/>
      <c r="C6" s="1993"/>
      <c r="D6" s="1993"/>
      <c r="E6" s="1993"/>
      <c r="F6" s="1993"/>
      <c r="G6" s="1993"/>
    </row>
    <row r="7" spans="1:9" s="792" customFormat="1">
      <c r="A7" s="1992" t="s">
        <v>1258</v>
      </c>
      <c r="B7" s="1992"/>
      <c r="C7" s="1993"/>
      <c r="D7" s="1993"/>
      <c r="E7" s="1993"/>
      <c r="F7" s="1993"/>
      <c r="G7" s="1993"/>
    </row>
    <row r="8" spans="1:9">
      <c r="A8" s="793"/>
      <c r="B8" s="793"/>
      <c r="C8" s="794"/>
      <c r="D8" s="794"/>
      <c r="E8" s="794"/>
      <c r="F8" s="794"/>
    </row>
    <row r="9" spans="1:9">
      <c r="A9" s="1925" t="s">
        <v>1260</v>
      </c>
      <c r="B9" s="1925"/>
      <c r="C9" s="1925"/>
      <c r="D9" s="1925"/>
      <c r="E9" s="1925"/>
      <c r="F9" s="1925"/>
      <c r="G9" s="1925"/>
    </row>
    <row r="10" spans="1:9">
      <c r="A10" s="794"/>
      <c r="B10" s="794"/>
      <c r="E10" s="795"/>
    </row>
    <row r="11" spans="1:9" ht="13.7" customHeight="1">
      <c r="C11" s="794"/>
      <c r="D11" s="2015" t="s">
        <v>1259</v>
      </c>
      <c r="E11" s="2015"/>
      <c r="F11" s="2015"/>
    </row>
    <row r="12" spans="1:9">
      <c r="C12" s="794"/>
      <c r="D12" s="2015"/>
      <c r="E12" s="2015"/>
      <c r="F12" s="2015"/>
    </row>
    <row r="13" spans="1:9">
      <c r="A13" s="796"/>
      <c r="B13" s="796"/>
      <c r="C13" s="796"/>
      <c r="D13" s="1909" t="s">
        <v>1242</v>
      </c>
      <c r="E13" s="1909"/>
      <c r="F13" s="1909"/>
    </row>
    <row r="14" spans="1:9">
      <c r="A14" s="796"/>
      <c r="B14" s="796"/>
      <c r="C14" s="796"/>
      <c r="D14" s="797"/>
    </row>
    <row r="15" spans="1:9" ht="14.25">
      <c r="A15" s="798"/>
      <c r="B15" s="799" t="s">
        <v>2537</v>
      </c>
      <c r="C15" s="800"/>
      <c r="D15" s="1907" t="s">
        <v>1243</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25">
      <c r="A19" s="798"/>
      <c r="B19" s="799" t="s">
        <v>2538</v>
      </c>
      <c r="D19" s="1933" t="s">
        <v>1244</v>
      </c>
      <c r="E19" s="1933"/>
      <c r="F19" s="1933"/>
    </row>
    <row r="20" spans="1:7" ht="14.25">
      <c r="A20" s="798"/>
      <c r="B20" s="798"/>
      <c r="D20" s="801"/>
    </row>
    <row r="21" spans="1:7" ht="14.25">
      <c r="A21" s="798"/>
      <c r="B21" s="799" t="s">
        <v>2537</v>
      </c>
      <c r="D21" s="1907" t="s">
        <v>1245</v>
      </c>
      <c r="E21" s="1907"/>
      <c r="F21" s="1907"/>
    </row>
    <row r="22" spans="1:7" ht="14.25">
      <c r="A22" s="798"/>
      <c r="B22" s="798"/>
      <c r="D22" s="1907"/>
      <c r="E22" s="1907"/>
      <c r="F22" s="1907"/>
    </row>
    <row r="23" spans="1:7"/>
    <row r="24" spans="1:7" ht="14.25">
      <c r="A24" s="798"/>
      <c r="B24" s="799" t="s">
        <v>2538</v>
      </c>
      <c r="D24" s="1987" t="s">
        <v>1246</v>
      </c>
      <c r="E24" s="1987"/>
      <c r="F24" s="1987"/>
    </row>
    <row r="25" spans="1:7">
      <c r="D25" s="1987"/>
      <c r="E25" s="1987"/>
      <c r="F25" s="1987"/>
    </row>
    <row r="26" spans="1:7">
      <c r="D26" s="1987"/>
      <c r="E26" s="1987"/>
      <c r="F26" s="1987"/>
    </row>
    <row r="27" spans="1:7">
      <c r="D27" s="1987"/>
      <c r="E27" s="1987"/>
      <c r="F27" s="1987"/>
    </row>
    <row r="28" spans="1:7">
      <c r="D28" s="1987"/>
      <c r="E28" s="1987"/>
      <c r="F28" s="1987"/>
    </row>
    <row r="29" spans="1:7" s="792" customFormat="1">
      <c r="A29" s="802"/>
      <c r="B29" s="802"/>
      <c r="C29" s="802"/>
      <c r="D29" s="734"/>
      <c r="E29" s="803"/>
      <c r="F29" s="803"/>
      <c r="G29" s="803"/>
    </row>
    <row r="30" spans="1:7" s="792" customFormat="1">
      <c r="A30" s="802"/>
      <c r="B30" s="799" t="s">
        <v>2537</v>
      </c>
      <c r="C30" s="802"/>
      <c r="D30" s="1908" t="s">
        <v>1247</v>
      </c>
      <c r="E30" s="1908"/>
      <c r="F30" s="1908"/>
      <c r="G30" s="803"/>
    </row>
    <row r="31" spans="1:7" s="792" customFormat="1">
      <c r="A31" s="802"/>
      <c r="B31" s="802"/>
      <c r="C31" s="802"/>
      <c r="D31" s="1908"/>
      <c r="E31" s="1908"/>
      <c r="F31" s="1908"/>
      <c r="G31" s="803"/>
    </row>
    <row r="32" spans="1:7" ht="14.25">
      <c r="A32" s="798"/>
      <c r="B32" s="798"/>
      <c r="D32" s="804"/>
    </row>
    <row r="33" spans="1:6" ht="14.45" customHeight="1">
      <c r="A33" s="798"/>
      <c r="B33" s="799" t="s">
        <v>2537</v>
      </c>
      <c r="D33" s="1908" t="s">
        <v>1430</v>
      </c>
      <c r="E33" s="1908"/>
      <c r="F33" s="1908"/>
    </row>
    <row r="34" spans="1:6" ht="14.25">
      <c r="A34" s="798"/>
      <c r="B34" s="798"/>
      <c r="D34" s="1908"/>
      <c r="E34" s="1908"/>
      <c r="F34" s="1908"/>
    </row>
    <row r="35" spans="1:6" ht="14.25">
      <c r="A35" s="798"/>
      <c r="B35" s="798"/>
      <c r="D35" s="1908"/>
      <c r="E35" s="1908"/>
      <c r="F35" s="1908"/>
    </row>
    <row r="36" spans="1:6" ht="14.25">
      <c r="A36" s="798"/>
      <c r="B36" s="798"/>
      <c r="D36" s="1908"/>
      <c r="E36" s="1908"/>
      <c r="F36" s="1908"/>
    </row>
    <row r="37" spans="1:6" ht="14.25">
      <c r="A37" s="798"/>
      <c r="B37" s="798"/>
      <c r="D37" s="791"/>
    </row>
    <row r="38" spans="1:6" ht="14.25">
      <c r="A38" s="798"/>
      <c r="B38" s="799" t="s">
        <v>2537</v>
      </c>
      <c r="D38" s="1908" t="s">
        <v>1249</v>
      </c>
      <c r="E38" s="1908"/>
      <c r="F38" s="1908"/>
    </row>
    <row r="39" spans="1:6" ht="14.25">
      <c r="A39" s="798"/>
      <c r="B39" s="798"/>
      <c r="D39" s="1908"/>
      <c r="E39" s="1908"/>
      <c r="F39" s="1908"/>
    </row>
    <row r="40" spans="1:6" ht="14.25">
      <c r="A40" s="798"/>
      <c r="B40" s="798"/>
      <c r="D40" s="1908"/>
      <c r="E40" s="1908"/>
      <c r="F40" s="1908"/>
    </row>
    <row r="41" spans="1:6" ht="14.25">
      <c r="A41" s="798"/>
      <c r="B41" s="798"/>
      <c r="D41" s="1908"/>
      <c r="E41" s="1908"/>
      <c r="F41" s="1908"/>
    </row>
    <row r="42" spans="1:6" ht="14.25">
      <c r="A42" s="798"/>
      <c r="B42" s="798"/>
      <c r="D42" s="1908"/>
      <c r="E42" s="1908"/>
      <c r="F42" s="1908"/>
    </row>
    <row r="43" spans="1:6" ht="14.25">
      <c r="A43" s="798"/>
      <c r="B43" s="798"/>
      <c r="D43" s="782"/>
      <c r="E43" s="782"/>
      <c r="F43" s="782"/>
    </row>
    <row r="44" spans="1:6" ht="14.25">
      <c r="A44" s="798"/>
      <c r="B44" s="799" t="s">
        <v>2537</v>
      </c>
      <c r="D44" s="1908" t="s">
        <v>1250</v>
      </c>
      <c r="E44" s="1908"/>
      <c r="F44" s="1908"/>
    </row>
    <row r="45" spans="1:6" ht="14.25">
      <c r="A45" s="798"/>
      <c r="B45" s="798"/>
      <c r="D45" s="1908"/>
      <c r="E45" s="1908"/>
      <c r="F45" s="1908"/>
    </row>
    <row r="46" spans="1:6" ht="14.25">
      <c r="A46" s="798"/>
      <c r="B46" s="798"/>
      <c r="D46" s="1908"/>
      <c r="E46" s="1908"/>
      <c r="F46" s="1908"/>
    </row>
    <row r="47" spans="1:6" ht="23.25" customHeight="1">
      <c r="A47" s="798"/>
      <c r="B47" s="798"/>
      <c r="D47" s="1908"/>
      <c r="E47" s="1908"/>
      <c r="F47" s="1908"/>
    </row>
    <row r="48" spans="1:6" ht="14.25">
      <c r="A48" s="798"/>
      <c r="B48" s="798"/>
      <c r="D48" s="786"/>
    </row>
    <row r="49" spans="1:7" ht="14.45" customHeight="1">
      <c r="A49" s="798"/>
      <c r="B49" s="799" t="s">
        <v>2537</v>
      </c>
      <c r="D49" s="1908" t="s">
        <v>1251</v>
      </c>
      <c r="E49" s="1908"/>
      <c r="F49" s="1908"/>
    </row>
    <row r="50" spans="1:7" ht="14.25">
      <c r="A50" s="798"/>
      <c r="B50" s="798"/>
      <c r="D50" s="1908"/>
      <c r="E50" s="1908"/>
      <c r="F50" s="1908"/>
    </row>
    <row r="51" spans="1:7" ht="14.25">
      <c r="A51" s="798"/>
      <c r="B51" s="798"/>
      <c r="D51" s="1908"/>
      <c r="E51" s="1908"/>
      <c r="F51" s="1908"/>
    </row>
    <row r="52" spans="1:7" s="619" customFormat="1" ht="14.25">
      <c r="A52" s="798"/>
      <c r="B52" s="798"/>
      <c r="C52" s="805"/>
      <c r="D52" s="803"/>
      <c r="E52" s="694"/>
      <c r="F52" s="694"/>
      <c r="G52" s="694"/>
    </row>
    <row r="53" spans="1:7" s="619" customFormat="1" ht="14.25">
      <c r="A53" s="806"/>
      <c r="B53" s="799" t="s">
        <v>2538</v>
      </c>
      <c r="C53" s="807"/>
      <c r="D53" s="1908" t="s">
        <v>1252</v>
      </c>
      <c r="E53" s="1908"/>
      <c r="F53" s="1908"/>
      <c r="G53" s="694"/>
    </row>
    <row r="54" spans="1:7" s="619" customFormat="1" ht="14.25">
      <c r="A54" s="806"/>
      <c r="B54" s="806"/>
      <c r="C54" s="807"/>
      <c r="D54" s="1908"/>
      <c r="E54" s="1908"/>
      <c r="F54" s="1908"/>
      <c r="G54" s="694"/>
    </row>
    <row r="55" spans="1:7" s="792" customFormat="1">
      <c r="A55" s="802"/>
      <c r="B55" s="802"/>
      <c r="C55" s="802"/>
      <c r="D55" s="734"/>
      <c r="E55" s="803"/>
      <c r="F55" s="803"/>
      <c r="G55" s="803"/>
    </row>
    <row r="56" spans="1:7" ht="14.25">
      <c r="A56" s="798"/>
      <c r="B56" s="799" t="s">
        <v>2537</v>
      </c>
      <c r="D56" s="1908" t="s">
        <v>1253</v>
      </c>
      <c r="E56" s="1908"/>
      <c r="F56" s="1908"/>
    </row>
    <row r="57" spans="1:7">
      <c r="D57" s="1908"/>
      <c r="E57" s="1908"/>
      <c r="F57" s="1908"/>
    </row>
    <row r="58" spans="1:7">
      <c r="D58" s="1908"/>
      <c r="E58" s="1908"/>
      <c r="F58" s="1908"/>
    </row>
    <row r="59" spans="1:7">
      <c r="D59" s="694"/>
    </row>
    <row r="60" spans="1:7" ht="14.25">
      <c r="A60" s="798"/>
      <c r="B60" s="799" t="s">
        <v>2537</v>
      </c>
      <c r="D60" s="1908" t="s">
        <v>1254</v>
      </c>
      <c r="E60" s="1908"/>
      <c r="F60" s="1908"/>
    </row>
    <row r="61" spans="1:7">
      <c r="D61" s="1908"/>
      <c r="E61" s="1908"/>
      <c r="F61" s="1908"/>
    </row>
    <row r="62" spans="1:7"/>
    <row r="63" spans="1:7" ht="14.25">
      <c r="A63" s="798"/>
      <c r="B63" s="799" t="s">
        <v>2538</v>
      </c>
      <c r="D63" s="1908" t="s">
        <v>1255</v>
      </c>
      <c r="E63" s="1908"/>
      <c r="F63" s="1908"/>
    </row>
    <row r="64" spans="1:7">
      <c r="D64" s="1908"/>
      <c r="E64" s="1908"/>
      <c r="F64" s="1908"/>
    </row>
    <row r="65" spans="1:7">
      <c r="D65" s="1908"/>
      <c r="E65" s="1908"/>
      <c r="F65" s="1908"/>
    </row>
    <row r="66" spans="1:7">
      <c r="D66" s="791"/>
    </row>
    <row r="67" spans="1:7" ht="14.25">
      <c r="A67" s="798"/>
      <c r="B67" s="799" t="s">
        <v>2538</v>
      </c>
      <c r="D67" s="1907" t="s">
        <v>1256</v>
      </c>
      <c r="E67" s="1907"/>
      <c r="F67" s="1907"/>
    </row>
    <row r="68" spans="1:7">
      <c r="D68" s="1907"/>
      <c r="E68" s="1907"/>
      <c r="F68" s="1907"/>
    </row>
    <row r="69" spans="1:7" ht="14.25">
      <c r="A69" s="798"/>
      <c r="B69" s="798"/>
      <c r="D69" s="801"/>
    </row>
    <row r="70" spans="1:7">
      <c r="A70" s="1889" t="s">
        <v>1163</v>
      </c>
      <c r="B70" s="1889"/>
      <c r="C70" s="1889"/>
      <c r="D70" s="1889"/>
      <c r="E70" s="1889"/>
      <c r="F70" s="1889"/>
      <c r="G70" s="1889"/>
    </row>
    <row r="71" spans="1:7"/>
    <row r="72" spans="1:7">
      <c r="C72" s="808"/>
      <c r="D72" s="1984" t="s">
        <v>1261</v>
      </c>
      <c r="E72" s="1984"/>
      <c r="F72" s="1984"/>
    </row>
    <row r="73" spans="1:7">
      <c r="A73" s="801"/>
      <c r="B73" s="801"/>
      <c r="D73" s="1907" t="s">
        <v>1288</v>
      </c>
      <c r="E73" s="1907"/>
      <c r="F73" s="1907"/>
    </row>
    <row r="74" spans="1:7">
      <c r="A74" s="801"/>
      <c r="B74" s="801"/>
    </row>
    <row r="75" spans="1:7" ht="13.7" customHeight="1">
      <c r="A75" s="798"/>
      <c r="B75" s="799" t="s">
        <v>2538</v>
      </c>
      <c r="D75" s="1907" t="s">
        <v>1480</v>
      </c>
      <c r="E75" s="1907"/>
      <c r="F75" s="1907"/>
    </row>
    <row r="76" spans="1:7" ht="14.25">
      <c r="A76" s="798"/>
      <c r="B76" s="798"/>
      <c r="D76" s="1907"/>
      <c r="E76" s="1907"/>
      <c r="F76" s="1907"/>
    </row>
    <row r="77" spans="1:7" ht="14.25">
      <c r="A77" s="798"/>
      <c r="B77" s="798"/>
      <c r="D77" s="1907"/>
      <c r="E77" s="1907"/>
      <c r="F77" s="1907"/>
    </row>
    <row r="78" spans="1:7" ht="14.25">
      <c r="A78" s="798"/>
      <c r="B78" s="798"/>
      <c r="D78" s="1907"/>
      <c r="E78" s="1907"/>
      <c r="F78" s="1907"/>
    </row>
    <row r="79" spans="1:7" ht="14.25">
      <c r="A79" s="798"/>
      <c r="B79" s="798"/>
      <c r="D79" s="1907"/>
      <c r="E79" s="1907"/>
      <c r="F79" s="1907"/>
    </row>
    <row r="80" spans="1:7" ht="14.25">
      <c r="A80" s="798"/>
      <c r="B80" s="798"/>
      <c r="D80" s="1907"/>
      <c r="E80" s="1907"/>
      <c r="F80" s="1907"/>
    </row>
    <row r="81" spans="1:6" ht="14.25">
      <c r="A81" s="798"/>
      <c r="B81" s="798"/>
      <c r="D81" s="1907"/>
      <c r="E81" s="1907"/>
      <c r="F81" s="1907"/>
    </row>
    <row r="82" spans="1:6" ht="14.25">
      <c r="A82" s="798"/>
      <c r="B82" s="798"/>
      <c r="D82" s="1907"/>
      <c r="E82" s="1907"/>
      <c r="F82" s="1907"/>
    </row>
    <row r="83" spans="1:6" ht="14.25">
      <c r="A83" s="798"/>
      <c r="B83" s="798"/>
      <c r="D83" s="880"/>
      <c r="E83" s="880"/>
      <c r="F83" s="880"/>
    </row>
    <row r="84" spans="1:6" ht="15" customHeight="1">
      <c r="A84" s="798"/>
      <c r="B84" s="799" t="s">
        <v>2538</v>
      </c>
      <c r="D84" s="1907" t="s">
        <v>2256</v>
      </c>
      <c r="E84" s="1907"/>
      <c r="F84" s="1907"/>
    </row>
    <row r="85" spans="1:6" ht="14.25">
      <c r="A85" s="798"/>
      <c r="B85" s="798"/>
      <c r="D85" s="1907"/>
      <c r="E85" s="1907"/>
      <c r="F85" s="1907"/>
    </row>
    <row r="86" spans="1:6" ht="14.25">
      <c r="A86" s="798"/>
      <c r="B86" s="798"/>
      <c r="D86" s="1719"/>
      <c r="E86" s="1719"/>
      <c r="F86" s="1719"/>
    </row>
    <row r="87" spans="1:6" ht="14.25">
      <c r="A87" s="798"/>
      <c r="B87" s="799" t="s">
        <v>2538</v>
      </c>
      <c r="D87" s="1907" t="s">
        <v>2260</v>
      </c>
      <c r="E87" s="1907"/>
      <c r="F87" s="1907"/>
    </row>
    <row r="88" spans="1:6" ht="14.25">
      <c r="A88" s="798"/>
      <c r="B88" s="798"/>
      <c r="D88" s="1907"/>
      <c r="E88" s="1907"/>
      <c r="F88" s="1907"/>
    </row>
    <row r="89" spans="1:6" ht="14.25">
      <c r="A89" s="798"/>
      <c r="B89" s="798"/>
      <c r="D89" s="1907"/>
      <c r="E89" s="1907"/>
      <c r="F89" s="1907"/>
    </row>
    <row r="90" spans="1:6" ht="14.25">
      <c r="A90" s="798"/>
      <c r="B90" s="798"/>
      <c r="D90" s="1719"/>
      <c r="E90" s="1719"/>
      <c r="F90" s="1719"/>
    </row>
    <row r="91" spans="1:6" ht="14.25">
      <c r="A91" s="798"/>
      <c r="B91" s="799" t="s">
        <v>2538</v>
      </c>
      <c r="D91" s="1907" t="s">
        <v>2258</v>
      </c>
      <c r="E91" s="1907"/>
      <c r="F91" s="1907"/>
    </row>
    <row r="92" spans="1:6" s="1736" customFormat="1" ht="14.25">
      <c r="A92" s="1734"/>
      <c r="B92" s="1734"/>
      <c r="C92" s="1735"/>
      <c r="D92" s="1907"/>
      <c r="E92" s="1907"/>
      <c r="F92" s="1907"/>
    </row>
    <row r="93" spans="1:6" ht="14.25">
      <c r="A93" s="798"/>
      <c r="B93" s="798"/>
      <c r="D93" s="1725"/>
      <c r="E93" s="1726" t="s">
        <v>2259</v>
      </c>
      <c r="F93" s="1719"/>
    </row>
    <row r="94" spans="1:6" ht="14.25">
      <c r="A94" s="798"/>
      <c r="B94" s="798"/>
      <c r="D94" s="880"/>
      <c r="E94" s="880"/>
      <c r="F94" s="880"/>
    </row>
    <row r="95" spans="1:6" ht="14.25">
      <c r="A95" s="798"/>
      <c r="B95" s="799" t="s">
        <v>2537</v>
      </c>
      <c r="D95" s="1907" t="s">
        <v>2257</v>
      </c>
      <c r="E95" s="1907"/>
      <c r="F95" s="1907"/>
    </row>
    <row r="96" spans="1:6" ht="14.25">
      <c r="A96" s="798"/>
      <c r="B96" s="798"/>
      <c r="D96" s="1907"/>
      <c r="E96" s="1907"/>
      <c r="F96" s="1907"/>
    </row>
    <row r="97" spans="1:7" ht="14.25">
      <c r="A97" s="798"/>
      <c r="B97" s="798"/>
      <c r="D97" s="1719"/>
      <c r="E97" s="1719"/>
      <c r="F97" s="1719"/>
    </row>
    <row r="98" spans="1:7" ht="14.45" customHeight="1">
      <c r="A98" s="798"/>
      <c r="B98" s="799" t="s">
        <v>2537</v>
      </c>
      <c r="D98" s="1907" t="s">
        <v>1405</v>
      </c>
      <c r="E98" s="1907"/>
      <c r="F98" s="1907"/>
      <c r="G98" s="791"/>
    </row>
    <row r="99" spans="1:7" ht="14.25">
      <c r="A99" s="798"/>
      <c r="B99" s="798"/>
      <c r="D99" s="1907"/>
      <c r="E99" s="1907"/>
      <c r="F99" s="1907"/>
      <c r="G99" s="791"/>
    </row>
    <row r="100" spans="1:7" ht="14.25">
      <c r="A100" s="798"/>
      <c r="B100" s="798"/>
      <c r="D100" s="1907"/>
      <c r="E100" s="1907"/>
      <c r="F100" s="1907"/>
      <c r="G100" s="791"/>
    </row>
    <row r="101" spans="1:7" ht="14.25">
      <c r="A101" s="798"/>
      <c r="B101" s="798"/>
      <c r="D101" s="1907"/>
      <c r="E101" s="1907"/>
      <c r="F101" s="1907"/>
      <c r="G101" s="791"/>
    </row>
    <row r="102" spans="1:7" ht="14.25">
      <c r="A102" s="798"/>
      <c r="B102" s="798"/>
      <c r="D102" s="1907"/>
      <c r="E102" s="1907"/>
      <c r="F102" s="1907"/>
      <c r="G102" s="791"/>
    </row>
    <row r="103" spans="1:7" ht="14.25">
      <c r="A103" s="798"/>
      <c r="B103" s="798"/>
      <c r="D103" s="1907"/>
      <c r="E103" s="1907"/>
      <c r="F103" s="1907"/>
      <c r="G103" s="791"/>
    </row>
    <row r="104" spans="1:7" ht="14.25">
      <c r="A104" s="798"/>
      <c r="B104" s="798"/>
      <c r="D104" s="1907"/>
      <c r="E104" s="1907"/>
      <c r="F104" s="1907"/>
      <c r="G104" s="791"/>
    </row>
    <row r="105" spans="1:7" ht="14.25">
      <c r="A105" s="798"/>
      <c r="B105" s="798"/>
      <c r="D105" s="1907"/>
      <c r="E105" s="1907"/>
      <c r="F105" s="1907"/>
      <c r="G105" s="791"/>
    </row>
    <row r="106" spans="1:7" ht="14.25">
      <c r="A106" s="798"/>
      <c r="B106" s="798"/>
      <c r="D106" s="1907"/>
      <c r="E106" s="1907"/>
      <c r="F106" s="1907"/>
      <c r="G106" s="791"/>
    </row>
    <row r="107" spans="1:7" ht="14.25">
      <c r="A107" s="798"/>
      <c r="B107" s="798"/>
      <c r="D107" s="1907"/>
      <c r="E107" s="1907"/>
      <c r="F107" s="1907"/>
      <c r="G107" s="791"/>
    </row>
    <row r="108" spans="1:7" ht="14.25">
      <c r="A108" s="798"/>
      <c r="B108" s="798"/>
      <c r="D108" s="1907"/>
      <c r="E108" s="1907"/>
      <c r="F108" s="1907"/>
      <c r="G108" s="791"/>
    </row>
    <row r="109" spans="1:7" ht="14.25">
      <c r="A109" s="798"/>
      <c r="B109" s="798"/>
      <c r="D109" s="1907"/>
      <c r="E109" s="1907"/>
      <c r="F109" s="1907"/>
      <c r="G109" s="791"/>
    </row>
    <row r="110" spans="1:7" ht="14.25">
      <c r="A110" s="798"/>
      <c r="B110" s="798"/>
      <c r="D110" s="1907"/>
      <c r="E110" s="1907"/>
      <c r="F110" s="1907"/>
      <c r="G110" s="791"/>
    </row>
    <row r="111" spans="1:7" ht="14.25">
      <c r="A111" s="798"/>
      <c r="B111" s="798"/>
      <c r="D111" s="1907"/>
      <c r="E111" s="1907"/>
      <c r="F111" s="1907"/>
    </row>
    <row r="112" spans="1:7" ht="14.25">
      <c r="A112" s="798"/>
      <c r="B112" s="798"/>
      <c r="D112" s="1907"/>
      <c r="E112" s="1907"/>
      <c r="F112" s="1907"/>
    </row>
    <row r="113" spans="1:11" ht="14.25">
      <c r="A113" s="798"/>
      <c r="B113" s="798"/>
      <c r="D113" s="906"/>
      <c r="E113" s="906"/>
      <c r="F113" s="906"/>
    </row>
    <row r="114" spans="1:11" ht="14.25" customHeight="1">
      <c r="A114" s="798"/>
      <c r="B114" s="799" t="s">
        <v>2537</v>
      </c>
      <c r="D114" s="1927" t="s">
        <v>1263</v>
      </c>
      <c r="E114" s="1927"/>
      <c r="F114" s="1927"/>
    </row>
    <row r="115" spans="1:11" ht="14.25">
      <c r="A115" s="798"/>
      <c r="B115" s="798"/>
      <c r="D115" s="1927"/>
      <c r="E115" s="1927"/>
      <c r="F115" s="1927"/>
    </row>
    <row r="116" spans="1:11" ht="14.25">
      <c r="A116" s="798"/>
      <c r="B116" s="798"/>
      <c r="D116" s="1927"/>
      <c r="E116" s="1927"/>
      <c r="F116" s="1927"/>
    </row>
    <row r="117" spans="1:11" ht="14.25">
      <c r="A117" s="798"/>
      <c r="B117" s="798"/>
      <c r="D117" s="1927"/>
      <c r="E117" s="1927"/>
      <c r="F117" s="1927"/>
    </row>
    <row r="118" spans="1:11" ht="14.25">
      <c r="A118" s="798"/>
      <c r="B118" s="798"/>
      <c r="D118" s="1927"/>
      <c r="E118" s="1927"/>
      <c r="F118" s="1927"/>
    </row>
    <row r="119" spans="1:11" ht="14.25">
      <c r="A119" s="798"/>
      <c r="B119" s="798"/>
      <c r="D119" s="1927"/>
      <c r="E119" s="1927"/>
      <c r="F119" s="1927"/>
    </row>
    <row r="120" spans="1:11" ht="14.25">
      <c r="A120" s="798"/>
      <c r="B120" s="798"/>
      <c r="D120" s="1927"/>
      <c r="E120" s="1927"/>
      <c r="F120" s="1927"/>
    </row>
    <row r="121" spans="1:11" ht="14.25">
      <c r="A121" s="798"/>
      <c r="B121" s="798"/>
      <c r="D121" s="1927"/>
      <c r="E121" s="1927"/>
      <c r="F121" s="1927"/>
    </row>
    <row r="122" spans="1:11">
      <c r="C122" s="723"/>
      <c r="D122" s="907"/>
      <c r="E122" s="907"/>
      <c r="F122" s="907"/>
      <c r="G122" s="723"/>
      <c r="H122" s="723"/>
      <c r="I122" s="723"/>
      <c r="J122" s="723"/>
      <c r="K122" s="723"/>
    </row>
    <row r="123" spans="1:11" ht="14.25">
      <c r="A123" s="798"/>
      <c r="B123" s="799" t="s">
        <v>2538</v>
      </c>
      <c r="C123" s="723"/>
      <c r="D123" s="1927" t="s">
        <v>1265</v>
      </c>
      <c r="E123" s="1927"/>
      <c r="F123" s="1927"/>
      <c r="G123" s="723"/>
      <c r="H123" s="723"/>
      <c r="I123" s="723"/>
      <c r="J123" s="723"/>
      <c r="K123" s="723"/>
    </row>
    <row r="124" spans="1:11" ht="14.25">
      <c r="A124" s="798"/>
      <c r="B124" s="798"/>
      <c r="C124" s="723"/>
      <c r="D124" s="1927"/>
      <c r="E124" s="1927"/>
      <c r="F124" s="1927"/>
      <c r="G124" s="723"/>
      <c r="H124" s="723"/>
      <c r="I124" s="723"/>
      <c r="J124" s="723"/>
      <c r="K124" s="723"/>
    </row>
    <row r="125" spans="1:11"/>
    <row r="126" spans="1:11" ht="14.25">
      <c r="A126" s="798"/>
      <c r="B126" s="799" t="s">
        <v>2538</v>
      </c>
      <c r="C126" s="805"/>
      <c r="D126" s="1907" t="s">
        <v>1266</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25">
      <c r="A132" s="798"/>
      <c r="B132" s="799" t="s">
        <v>2538</v>
      </c>
      <c r="C132" s="805"/>
      <c r="D132" s="1908" t="s">
        <v>1267</v>
      </c>
      <c r="E132" s="1908"/>
      <c r="F132" s="1908"/>
      <c r="G132" s="673"/>
    </row>
    <row r="133" spans="1:7" s="813" customFormat="1" ht="13.7" customHeight="1">
      <c r="A133" s="810"/>
      <c r="B133" s="810"/>
      <c r="C133" s="811"/>
      <c r="D133" s="1908"/>
      <c r="E133" s="1908"/>
      <c r="F133" s="1908"/>
      <c r="G133" s="812"/>
    </row>
    <row r="134" spans="1:7" s="723" customFormat="1" ht="13.7" customHeight="1">
      <c r="A134" s="789"/>
      <c r="B134" s="789"/>
      <c r="C134" s="805"/>
      <c r="D134" s="1908"/>
      <c r="E134" s="1908"/>
      <c r="F134" s="1908"/>
      <c r="G134" s="673"/>
    </row>
    <row r="135" spans="1:7" s="723" customFormat="1" ht="13.7" customHeight="1">
      <c r="A135" s="789"/>
      <c r="B135" s="789"/>
      <c r="C135" s="805"/>
      <c r="D135" s="1908"/>
      <c r="E135" s="1908"/>
      <c r="F135" s="1908"/>
      <c r="G135" s="673"/>
    </row>
    <row r="136" spans="1:7" s="723" customFormat="1" ht="13.7" customHeight="1">
      <c r="A136" s="789"/>
      <c r="B136" s="789"/>
      <c r="C136" s="805"/>
      <c r="D136" s="1908"/>
      <c r="E136" s="1908"/>
      <c r="F136" s="1908"/>
      <c r="G136" s="673"/>
    </row>
    <row r="137" spans="1:7" s="723" customFormat="1" ht="13.7" customHeight="1">
      <c r="A137" s="814"/>
      <c r="B137" s="814"/>
      <c r="C137" s="805"/>
      <c r="D137" s="1908"/>
      <c r="E137" s="1908"/>
      <c r="F137" s="1908"/>
      <c r="G137" s="673"/>
    </row>
    <row r="138" spans="1:7" s="619" customFormat="1" ht="13.7" customHeight="1">
      <c r="A138" s="802"/>
      <c r="B138" s="802"/>
      <c r="C138" s="807"/>
      <c r="D138" s="1908"/>
      <c r="E138" s="1908"/>
      <c r="F138" s="1908"/>
      <c r="G138" s="694"/>
    </row>
    <row r="139" spans="1:7" s="619" customFormat="1" ht="13.7" customHeight="1">
      <c r="A139" s="802"/>
      <c r="B139" s="802"/>
      <c r="C139" s="807"/>
      <c r="D139" s="1908"/>
      <c r="E139" s="1908"/>
      <c r="F139" s="1908"/>
      <c r="G139" s="694"/>
    </row>
    <row r="140" spans="1:7" s="723" customFormat="1" ht="13.7" customHeight="1">
      <c r="A140" s="789"/>
      <c r="B140" s="789"/>
      <c r="C140" s="805"/>
      <c r="D140" s="1908"/>
      <c r="E140" s="1908"/>
      <c r="F140" s="1908"/>
      <c r="G140" s="673"/>
    </row>
    <row r="141" spans="1:7" s="723" customFormat="1" ht="13.7" customHeight="1">
      <c r="A141" s="789"/>
      <c r="B141" s="789"/>
      <c r="C141" s="805"/>
      <c r="D141" s="1908"/>
      <c r="E141" s="1908"/>
      <c r="F141" s="1908"/>
      <c r="G141" s="673"/>
    </row>
    <row r="142" spans="1:7" s="723" customFormat="1" ht="13.7" customHeight="1">
      <c r="A142" s="789"/>
      <c r="B142" s="789"/>
      <c r="C142" s="805"/>
      <c r="D142" s="1908"/>
      <c r="E142" s="1908"/>
      <c r="F142" s="1908"/>
      <c r="G142" s="673"/>
    </row>
    <row r="143" spans="1:7" s="723" customFormat="1" ht="13.7" customHeight="1">
      <c r="A143" s="789"/>
      <c r="B143" s="789"/>
      <c r="C143" s="805"/>
      <c r="D143" s="1908"/>
      <c r="E143" s="1908"/>
      <c r="F143" s="1908"/>
      <c r="G143" s="673"/>
    </row>
    <row r="144" spans="1:7" s="723" customFormat="1" ht="13.7" customHeight="1">
      <c r="A144" s="789"/>
      <c r="B144" s="789"/>
      <c r="C144" s="805"/>
      <c r="D144" s="797"/>
      <c r="E144" s="786"/>
      <c r="F144" s="786"/>
      <c r="G144" s="673"/>
    </row>
    <row r="145" spans="1:7" s="723" customFormat="1" ht="13.7" customHeight="1">
      <c r="A145" s="789"/>
      <c r="B145" s="799" t="s">
        <v>2538</v>
      </c>
      <c r="C145" s="805"/>
      <c r="D145" s="2000" t="s">
        <v>1375</v>
      </c>
      <c r="E145" s="2000"/>
      <c r="F145" s="2000"/>
      <c r="G145" s="673"/>
    </row>
    <row r="146" spans="1:7" s="723" customFormat="1" ht="13.7" customHeight="1">
      <c r="A146" s="789"/>
      <c r="B146" s="789"/>
      <c r="C146" s="805"/>
      <c r="D146" s="2000"/>
      <c r="E146" s="2000"/>
      <c r="F146" s="2000"/>
      <c r="G146" s="673"/>
    </row>
    <row r="147" spans="1:7" s="723" customFormat="1" ht="13.7" customHeight="1">
      <c r="A147" s="789"/>
      <c r="B147" s="789"/>
      <c r="C147" s="805"/>
      <c r="D147" s="2000"/>
      <c r="E147" s="2000"/>
      <c r="F147" s="2000"/>
      <c r="G147" s="673"/>
    </row>
    <row r="148" spans="1:7" s="723" customFormat="1" ht="13.7" customHeight="1">
      <c r="A148" s="789"/>
      <c r="B148" s="789"/>
      <c r="C148" s="805"/>
      <c r="D148" s="2000"/>
      <c r="E148" s="2000"/>
      <c r="F148" s="2000"/>
      <c r="G148" s="673"/>
    </row>
    <row r="149" spans="1:7" s="723" customFormat="1" ht="13.7" customHeight="1">
      <c r="A149" s="789"/>
      <c r="B149" s="789"/>
      <c r="C149" s="805"/>
      <c r="D149" s="2000"/>
      <c r="E149" s="2000"/>
      <c r="F149" s="2000"/>
      <c r="G149" s="673"/>
    </row>
    <row r="150" spans="1:7" s="723" customFormat="1" ht="13.7" customHeight="1">
      <c r="A150" s="789"/>
      <c r="B150" s="789"/>
      <c r="C150" s="805"/>
      <c r="D150" s="2000"/>
      <c r="E150" s="2000"/>
      <c r="F150" s="2000"/>
      <c r="G150" s="673"/>
    </row>
    <row r="151" spans="1:7" s="723" customFormat="1" ht="13.7" customHeight="1">
      <c r="A151" s="789"/>
      <c r="B151" s="789"/>
      <c r="C151" s="805"/>
      <c r="D151" s="2000"/>
      <c r="E151" s="2000"/>
      <c r="F151" s="2000"/>
      <c r="G151" s="673"/>
    </row>
    <row r="152" spans="1:7" s="723" customFormat="1" ht="13.7" customHeight="1">
      <c r="A152" s="789"/>
      <c r="B152" s="789"/>
      <c r="C152" s="805"/>
      <c r="D152" s="2000"/>
      <c r="E152" s="2000"/>
      <c r="F152" s="2000"/>
      <c r="G152" s="673"/>
    </row>
    <row r="153" spans="1:7" s="723" customFormat="1" ht="13.7" customHeight="1">
      <c r="A153" s="789"/>
      <c r="B153" s="789"/>
      <c r="C153" s="805"/>
      <c r="D153" s="2000"/>
      <c r="E153" s="2000"/>
      <c r="F153" s="2000"/>
      <c r="G153" s="673"/>
    </row>
    <row r="154" spans="1:7" s="723" customFormat="1" ht="13.7" customHeight="1">
      <c r="A154" s="789"/>
      <c r="B154" s="789"/>
      <c r="C154" s="805"/>
      <c r="D154" s="2000"/>
      <c r="E154" s="2000"/>
      <c r="F154" s="2000"/>
      <c r="G154" s="673"/>
    </row>
    <row r="155" spans="1:7" s="723" customFormat="1" ht="13.7" customHeight="1">
      <c r="A155" s="789"/>
      <c r="B155" s="789"/>
      <c r="C155" s="805"/>
      <c r="D155" s="2000"/>
      <c r="E155" s="2000"/>
      <c r="F155" s="2000"/>
      <c r="G155" s="673"/>
    </row>
    <row r="156" spans="1:7" s="723" customFormat="1" ht="13.7" customHeight="1">
      <c r="A156" s="789"/>
      <c r="B156" s="789"/>
      <c r="C156" s="805"/>
      <c r="D156" s="2000"/>
      <c r="E156" s="2000"/>
      <c r="F156" s="2000"/>
      <c r="G156" s="673"/>
    </row>
    <row r="157" spans="1:7" s="723" customFormat="1" ht="13.7" customHeight="1">
      <c r="A157" s="789"/>
      <c r="B157" s="789"/>
      <c r="C157" s="805"/>
      <c r="D157" s="2000"/>
      <c r="E157" s="2000"/>
      <c r="F157" s="2000"/>
      <c r="G157" s="673"/>
    </row>
    <row r="158" spans="1:7" s="723" customFormat="1" ht="13.7" customHeight="1">
      <c r="A158" s="789"/>
      <c r="B158" s="789"/>
      <c r="C158" s="805"/>
      <c r="D158" s="2000"/>
      <c r="E158" s="2000"/>
      <c r="F158" s="2000"/>
      <c r="G158" s="673"/>
    </row>
    <row r="159" spans="1:7" s="723" customFormat="1" ht="13.7" customHeight="1">
      <c r="A159" s="789"/>
      <c r="B159" s="789"/>
      <c r="C159" s="805"/>
      <c r="D159" s="2000"/>
      <c r="E159" s="2000"/>
      <c r="F159" s="2000"/>
      <c r="G159" s="673"/>
    </row>
    <row r="160" spans="1:7" s="723" customFormat="1" ht="13.7" customHeight="1">
      <c r="A160" s="789"/>
      <c r="B160" s="789"/>
      <c r="C160" s="805"/>
      <c r="D160" s="2000"/>
      <c r="E160" s="2000"/>
      <c r="F160" s="2000"/>
      <c r="G160" s="673"/>
    </row>
    <row r="161" spans="1:7" s="723" customFormat="1" ht="13.7" customHeight="1">
      <c r="A161" s="789"/>
      <c r="B161" s="789"/>
      <c r="C161" s="805"/>
      <c r="D161" s="2000"/>
      <c r="E161" s="2000"/>
      <c r="F161" s="2000"/>
      <c r="G161" s="673"/>
    </row>
    <row r="162" spans="1:7" s="723" customFormat="1" ht="13.7" customHeight="1">
      <c r="A162" s="789"/>
      <c r="B162" s="789"/>
      <c r="C162" s="805"/>
      <c r="D162" s="2000"/>
      <c r="E162" s="2000"/>
      <c r="F162" s="2000"/>
      <c r="G162" s="673"/>
    </row>
    <row r="163" spans="1:7" s="723" customFormat="1" ht="13.7" customHeight="1">
      <c r="A163" s="789"/>
      <c r="B163" s="789"/>
      <c r="C163" s="805"/>
      <c r="D163" s="2001" t="s">
        <v>1413</v>
      </c>
      <c r="E163" s="2001"/>
      <c r="F163" s="2001"/>
      <c r="G163" s="858"/>
    </row>
    <row r="164" spans="1:7" s="723" customFormat="1" ht="13.7" customHeight="1">
      <c r="A164" s="789"/>
      <c r="B164" s="789"/>
      <c r="C164" s="805"/>
      <c r="D164" s="1999"/>
      <c r="E164" s="1999"/>
      <c r="F164" s="1999"/>
      <c r="G164" s="1999"/>
    </row>
    <row r="165" spans="1:7" s="723" customFormat="1" ht="14.45" customHeight="1">
      <c r="A165" s="814"/>
      <c r="B165" s="799" t="s">
        <v>2537</v>
      </c>
      <c r="C165" s="815"/>
      <c r="D165" s="1881" t="s">
        <v>1441</v>
      </c>
      <c r="E165" s="1881"/>
      <c r="F165" s="1881"/>
      <c r="G165" s="816"/>
    </row>
    <row r="166" spans="1:7" s="723" customFormat="1" ht="14.45" customHeight="1">
      <c r="A166" s="814"/>
      <c r="B166" s="814"/>
      <c r="C166" s="815"/>
      <c r="D166" s="1881"/>
      <c r="E166" s="1881"/>
      <c r="F166" s="1881"/>
      <c r="G166" s="816"/>
    </row>
    <row r="167" spans="1:7" s="723" customFormat="1" ht="13.7" customHeight="1">
      <c r="A167" s="814"/>
      <c r="B167" s="814"/>
      <c r="C167" s="815"/>
      <c r="D167" s="1881"/>
      <c r="E167" s="1881"/>
      <c r="F167" s="1881"/>
      <c r="G167" s="816"/>
    </row>
    <row r="168" spans="1:7" s="723" customFormat="1" ht="13.7" customHeight="1">
      <c r="A168" s="814"/>
      <c r="B168" s="814"/>
      <c r="C168" s="815"/>
      <c r="D168" s="797"/>
      <c r="E168" s="815"/>
      <c r="F168" s="815"/>
      <c r="G168" s="816"/>
    </row>
    <row r="169" spans="1:7" s="723" customFormat="1" ht="13.7" customHeight="1">
      <c r="A169" s="814"/>
      <c r="B169" s="799" t="s">
        <v>2537</v>
      </c>
      <c r="C169" s="815"/>
      <c r="D169" s="1877" t="s">
        <v>1269</v>
      </c>
      <c r="E169" s="1877"/>
      <c r="F169" s="1877"/>
      <c r="G169" s="816"/>
    </row>
    <row r="170" spans="1:7" s="723" customFormat="1" ht="13.7" customHeight="1">
      <c r="A170" s="814"/>
      <c r="B170" s="814"/>
      <c r="C170" s="815"/>
      <c r="D170" s="1877"/>
      <c r="E170" s="1877"/>
      <c r="F170" s="1877"/>
      <c r="G170" s="816"/>
    </row>
    <row r="171" spans="1:7" s="723" customFormat="1" ht="13.7" customHeight="1">
      <c r="A171" s="814"/>
      <c r="B171" s="814"/>
      <c r="C171" s="815"/>
      <c r="D171" s="1877"/>
      <c r="E171" s="1877"/>
      <c r="F171" s="1877"/>
      <c r="G171" s="816"/>
    </row>
    <row r="172" spans="1:7" s="723" customFormat="1" ht="13.7" customHeight="1">
      <c r="A172" s="814"/>
      <c r="B172" s="814"/>
      <c r="C172" s="815"/>
      <c r="D172" s="1877"/>
      <c r="E172" s="1877"/>
      <c r="F172" s="1877"/>
      <c r="G172" s="816"/>
    </row>
    <row r="173" spans="1:7" s="723" customFormat="1" ht="13.7" customHeight="1">
      <c r="A173" s="789"/>
      <c r="B173" s="789"/>
      <c r="C173" s="805"/>
      <c r="D173" s="786"/>
      <c r="E173" s="786"/>
      <c r="F173" s="786"/>
      <c r="G173" s="673"/>
    </row>
    <row r="174" spans="1:7" s="723" customFormat="1" ht="13.7" customHeight="1">
      <c r="A174" s="789"/>
      <c r="B174" s="799" t="s">
        <v>2537</v>
      </c>
      <c r="C174" s="805"/>
      <c r="D174" s="1912" t="s">
        <v>1270</v>
      </c>
      <c r="E174" s="1912"/>
      <c r="F174" s="1912"/>
      <c r="G174" s="673"/>
    </row>
    <row r="175" spans="1:7" s="723" customFormat="1" ht="13.7" customHeight="1">
      <c r="A175" s="789"/>
      <c r="B175" s="789"/>
      <c r="C175" s="805"/>
      <c r="D175" s="1912"/>
      <c r="E175" s="1912"/>
      <c r="F175" s="1912"/>
      <c r="G175" s="673"/>
    </row>
    <row r="176" spans="1:7" s="723" customFormat="1" ht="13.7" customHeight="1">
      <c r="A176" s="789"/>
      <c r="B176" s="789"/>
      <c r="C176" s="805"/>
      <c r="D176" s="1912"/>
      <c r="E176" s="1912"/>
      <c r="F176" s="1912"/>
      <c r="G176" s="673"/>
    </row>
    <row r="177" spans="1:7" s="723" customFormat="1" ht="13.7" customHeight="1">
      <c r="A177" s="817"/>
      <c r="B177" s="817"/>
      <c r="C177" s="805"/>
      <c r="D177" s="790"/>
      <c r="E177" s="786"/>
      <c r="F177" s="786"/>
      <c r="G177" s="673"/>
    </row>
    <row r="178" spans="1:7">
      <c r="A178" s="1889" t="s">
        <v>1164</v>
      </c>
      <c r="B178" s="1889"/>
      <c r="C178" s="1889"/>
      <c r="D178" s="1889"/>
      <c r="E178" s="1889"/>
      <c r="F178" s="1889"/>
      <c r="G178" s="1889"/>
    </row>
    <row r="179" spans="1:7" ht="12" customHeight="1">
      <c r="D179" s="801"/>
      <c r="E179" s="801"/>
      <c r="F179" s="801"/>
    </row>
    <row r="180" spans="1:7">
      <c r="B180" s="1985" t="s">
        <v>470</v>
      </c>
      <c r="C180" s="1985"/>
      <c r="D180" s="1985"/>
      <c r="E180" s="1985"/>
      <c r="F180" s="1985"/>
    </row>
    <row r="181" spans="1:7" ht="12" customHeight="1">
      <c r="A181" s="794"/>
      <c r="B181" s="794"/>
      <c r="C181" s="794"/>
    </row>
    <row r="182" spans="1:7">
      <c r="A182" s="1889" t="s">
        <v>1165</v>
      </c>
      <c r="B182" s="1889"/>
      <c r="C182" s="1889"/>
      <c r="D182" s="1889"/>
      <c r="E182" s="1889"/>
      <c r="F182" s="1889"/>
      <c r="G182" s="1889"/>
    </row>
    <row r="183" spans="1:7" ht="12" customHeight="1">
      <c r="A183" s="818"/>
      <c r="B183" s="818"/>
      <c r="C183" s="819"/>
      <c r="D183" s="820"/>
      <c r="E183" s="821"/>
      <c r="F183" s="820"/>
      <c r="G183" s="820"/>
    </row>
    <row r="184" spans="1:7" ht="13.7" customHeight="1">
      <c r="A184" s="818"/>
      <c r="B184" s="818"/>
      <c r="C184" s="819"/>
      <c r="D184" s="1913" t="s">
        <v>2261</v>
      </c>
      <c r="E184" s="1913"/>
      <c r="F184" s="1913"/>
      <c r="G184" s="820"/>
    </row>
    <row r="185" spans="1:7">
      <c r="A185" s="818"/>
      <c r="B185" s="818"/>
      <c r="C185" s="819"/>
      <c r="D185" s="1913"/>
      <c r="E185" s="1913"/>
      <c r="F185" s="1913"/>
      <c r="G185" s="820"/>
    </row>
    <row r="186" spans="1:7">
      <c r="A186" s="818"/>
      <c r="B186" s="818"/>
      <c r="C186" s="819"/>
      <c r="D186" s="1914" t="s">
        <v>1406</v>
      </c>
      <c r="E186" s="1914"/>
      <c r="F186" s="1914"/>
      <c r="G186" s="820"/>
    </row>
    <row r="187" spans="1:7">
      <c r="A187" s="818"/>
      <c r="B187" s="818"/>
      <c r="C187" s="819"/>
      <c r="D187" s="1720"/>
      <c r="E187" s="1720"/>
      <c r="F187" s="1720"/>
      <c r="G187" s="820"/>
    </row>
    <row r="188" spans="1:7">
      <c r="A188" s="818"/>
      <c r="B188" s="799" t="s">
        <v>2538</v>
      </c>
      <c r="C188" s="819"/>
      <c r="D188" s="1882" t="s">
        <v>2262</v>
      </c>
      <c r="E188" s="1882"/>
      <c r="F188" s="1882"/>
      <c r="G188" s="820"/>
    </row>
    <row r="189" spans="1:7">
      <c r="A189" s="818"/>
      <c r="B189" s="818"/>
      <c r="C189" s="819"/>
      <c r="D189" s="1935" t="s">
        <v>2263</v>
      </c>
      <c r="E189" s="1935"/>
      <c r="F189" s="1935"/>
      <c r="G189" s="820"/>
    </row>
    <row r="190" spans="1:7">
      <c r="A190" s="818"/>
      <c r="B190" s="818"/>
      <c r="C190" s="819"/>
      <c r="D190" s="1737" t="s">
        <v>2264</v>
      </c>
      <c r="E190" s="1963" t="s">
        <v>2265</v>
      </c>
      <c r="F190" s="1963"/>
      <c r="G190" s="820"/>
    </row>
    <row r="191" spans="1:7">
      <c r="A191" s="818"/>
      <c r="B191" s="818"/>
      <c r="C191" s="819"/>
      <c r="D191" s="155"/>
      <c r="E191" s="155"/>
      <c r="F191" s="155"/>
      <c r="G191" s="820"/>
    </row>
    <row r="192" spans="1:7">
      <c r="A192" s="818"/>
      <c r="B192" s="799" t="s">
        <v>2537</v>
      </c>
      <c r="C192" s="819"/>
      <c r="D192" s="1935" t="s">
        <v>2266</v>
      </c>
      <c r="E192" s="1935"/>
      <c r="F192" s="1935"/>
      <c r="G192" s="820"/>
    </row>
    <row r="193" spans="1:7">
      <c r="A193" s="818"/>
      <c r="B193" s="818"/>
      <c r="C193" s="819"/>
      <c r="D193" s="1882" t="s">
        <v>2263</v>
      </c>
      <c r="E193" s="1882"/>
      <c r="F193" s="1882"/>
      <c r="G193" s="820"/>
    </row>
    <row r="194" spans="1:7">
      <c r="A194" s="818"/>
      <c r="B194" s="818"/>
      <c r="C194" s="819"/>
      <c r="D194" s="1718" t="s">
        <v>2267</v>
      </c>
      <c r="E194" s="1983" t="s">
        <v>2268</v>
      </c>
      <c r="F194" s="1983"/>
      <c r="G194" s="820"/>
    </row>
    <row r="195" spans="1:7">
      <c r="A195" s="818"/>
      <c r="B195" s="818"/>
      <c r="C195" s="819"/>
      <c r="D195" s="155"/>
      <c r="E195" s="155"/>
      <c r="F195" s="155"/>
      <c r="G195" s="820"/>
    </row>
    <row r="196" spans="1:7">
      <c r="A196" s="818"/>
      <c r="B196" s="799" t="s">
        <v>2537</v>
      </c>
      <c r="C196" s="819"/>
      <c r="D196" s="1935" t="s">
        <v>2269</v>
      </c>
      <c r="E196" s="1935"/>
      <c r="F196" s="1935"/>
      <c r="G196" s="820"/>
    </row>
    <row r="197" spans="1:7">
      <c r="A197" s="818"/>
      <c r="B197" s="818"/>
      <c r="C197" s="819"/>
      <c r="D197" s="1713" t="s">
        <v>2263</v>
      </c>
      <c r="E197" s="155"/>
      <c r="F197" s="155"/>
      <c r="G197" s="820"/>
    </row>
    <row r="198" spans="1:7">
      <c r="A198" s="818"/>
      <c r="B198" s="818"/>
      <c r="C198" s="819"/>
      <c r="D198" s="1718" t="s">
        <v>2264</v>
      </c>
      <c r="E198" s="1983" t="s">
        <v>2270</v>
      </c>
      <c r="F198" s="1983"/>
      <c r="G198" s="820"/>
    </row>
    <row r="199" spans="1:7">
      <c r="A199" s="818"/>
      <c r="B199" s="818"/>
      <c r="C199" s="819"/>
      <c r="D199" s="1720"/>
      <c r="E199" s="1720"/>
      <c r="F199" s="1720"/>
      <c r="G199" s="820"/>
    </row>
    <row r="200" spans="1:7" ht="14.25">
      <c r="A200" s="798"/>
      <c r="B200" s="799" t="s">
        <v>2537</v>
      </c>
      <c r="C200" s="819"/>
      <c r="D200" s="1907" t="s">
        <v>2271</v>
      </c>
      <c r="E200" s="1907"/>
      <c r="F200" s="1907"/>
      <c r="G200" s="820"/>
    </row>
    <row r="201" spans="1:7" ht="14.25">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2537</v>
      </c>
      <c r="C204" s="819"/>
      <c r="D204" s="1935" t="s">
        <v>2272</v>
      </c>
      <c r="E204" s="1935"/>
      <c r="F204" s="1935"/>
    </row>
    <row r="205" spans="1:7">
      <c r="A205" s="819"/>
      <c r="B205" s="819"/>
      <c r="C205" s="819"/>
      <c r="D205" s="1935" t="s">
        <v>2263</v>
      </c>
      <c r="E205" s="1935"/>
      <c r="F205" s="1935"/>
    </row>
    <row r="206" spans="1:7">
      <c r="A206" s="819"/>
      <c r="B206" s="819"/>
      <c r="C206" s="819"/>
      <c r="D206" s="1718" t="s">
        <v>2264</v>
      </c>
      <c r="E206" s="1983" t="s">
        <v>2273</v>
      </c>
      <c r="F206" s="1983"/>
    </row>
    <row r="207" spans="1:7">
      <c r="A207" s="819"/>
      <c r="B207" s="819"/>
      <c r="C207" s="819"/>
      <c r="D207" s="780"/>
      <c r="E207" s="780"/>
      <c r="F207" s="780"/>
    </row>
    <row r="208" spans="1:7" s="619" customFormat="1" ht="14.25">
      <c r="A208" s="798"/>
      <c r="B208" s="799" t="s">
        <v>2537</v>
      </c>
      <c r="C208" s="807"/>
      <c r="D208" s="1907" t="s">
        <v>1432</v>
      </c>
      <c r="E208" s="1907"/>
      <c r="F208" s="1907"/>
      <c r="G208" s="694"/>
    </row>
    <row r="209" spans="1:7" s="619" customFormat="1" ht="14.45" customHeight="1">
      <c r="A209" s="798"/>
      <c r="C209" s="807"/>
      <c r="D209" s="1907"/>
      <c r="E209" s="1907"/>
      <c r="F209" s="1907"/>
      <c r="G209" s="694"/>
    </row>
    <row r="210" spans="1:7" s="619" customFormat="1" ht="14.25">
      <c r="A210" s="798"/>
      <c r="B210" s="819"/>
      <c r="C210" s="807"/>
      <c r="D210" s="1907"/>
      <c r="E210" s="1907"/>
      <c r="F210" s="1907"/>
      <c r="G210" s="694"/>
    </row>
    <row r="211" spans="1:7" s="619" customFormat="1" ht="14.25">
      <c r="A211" s="798"/>
      <c r="B211" s="819"/>
      <c r="C211" s="807"/>
      <c r="D211" s="1907"/>
      <c r="E211" s="1907"/>
      <c r="F211" s="1907"/>
      <c r="G211" s="694"/>
    </row>
    <row r="212" spans="1:7">
      <c r="A212" s="819"/>
      <c r="B212" s="819"/>
      <c r="C212" s="819"/>
      <c r="D212" s="780"/>
      <c r="E212" s="780"/>
      <c r="F212" s="780"/>
    </row>
    <row r="213" spans="1:7">
      <c r="A213" s="1889" t="s">
        <v>1166</v>
      </c>
      <c r="B213" s="1889"/>
      <c r="C213" s="1889"/>
      <c r="D213" s="1889"/>
      <c r="E213" s="1889"/>
      <c r="F213" s="1889"/>
      <c r="G213" s="1889"/>
    </row>
    <row r="214" spans="1:7" ht="12" customHeight="1">
      <c r="D214" s="801"/>
      <c r="E214" s="801"/>
      <c r="F214" s="801"/>
    </row>
    <row r="215" spans="1:7">
      <c r="C215" s="808"/>
      <c r="D215" s="1996" t="s">
        <v>213</v>
      </c>
      <c r="E215" s="1996"/>
      <c r="F215" s="1996"/>
    </row>
    <row r="216" spans="1:7">
      <c r="A216" s="794"/>
      <c r="B216" s="794"/>
      <c r="C216" s="794"/>
      <c r="D216" s="2005" t="s">
        <v>1295</v>
      </c>
      <c r="E216" s="2005"/>
      <c r="F216" s="2005"/>
    </row>
    <row r="217" spans="1:7" ht="12" customHeight="1">
      <c r="A217" s="817"/>
      <c r="B217" s="817"/>
      <c r="C217" s="817"/>
    </row>
    <row r="218" spans="1:7" ht="13.7" customHeight="1">
      <c r="A218" s="817"/>
      <c r="C218" s="817"/>
      <c r="D218" s="1906" t="s">
        <v>579</v>
      </c>
      <c r="E218" s="1906"/>
      <c r="F218" s="1906"/>
    </row>
    <row r="219" spans="1:7" ht="14.25">
      <c r="A219" s="798"/>
      <c r="B219" s="799" t="s">
        <v>2538</v>
      </c>
      <c r="D219" s="1907" t="s">
        <v>2274</v>
      </c>
      <c r="E219" s="1907"/>
      <c r="F219" s="1907"/>
    </row>
    <row r="220" spans="1:7" ht="14.25" customHeight="1">
      <c r="A220" s="798"/>
      <c r="B220" s="798"/>
      <c r="D220" s="1907"/>
      <c r="E220" s="1907"/>
      <c r="F220" s="1907"/>
    </row>
    <row r="221" spans="1:7" ht="14.25" customHeight="1">
      <c r="A221" s="798"/>
      <c r="B221" s="798"/>
      <c r="D221" s="1907"/>
      <c r="E221" s="1907"/>
      <c r="F221" s="1907"/>
    </row>
    <row r="222" spans="1:7" ht="14.25">
      <c r="A222" s="798"/>
      <c r="B222" s="798"/>
      <c r="D222" s="1907"/>
      <c r="E222" s="1907"/>
      <c r="F222" s="1907"/>
    </row>
    <row r="223" spans="1:7" ht="14.25">
      <c r="A223" s="798"/>
      <c r="B223" s="798"/>
      <c r="D223" s="1719"/>
      <c r="E223" s="1719"/>
      <c r="F223" s="1719"/>
    </row>
    <row r="224" spans="1:7" ht="14.25">
      <c r="A224" s="798"/>
      <c r="B224" s="799" t="s">
        <v>2538</v>
      </c>
      <c r="D224" s="1907" t="s">
        <v>2275</v>
      </c>
      <c r="E224" s="1907"/>
      <c r="F224" s="1907"/>
    </row>
    <row r="225" spans="1:6" ht="14.25">
      <c r="A225" s="798"/>
      <c r="B225" s="798"/>
      <c r="D225" s="1907"/>
      <c r="E225" s="1907"/>
      <c r="F225" s="1907"/>
    </row>
    <row r="226" spans="1:6" ht="14.25">
      <c r="A226" s="798"/>
      <c r="B226" s="798"/>
      <c r="D226" s="1907"/>
      <c r="E226" s="1907"/>
      <c r="F226" s="1907"/>
    </row>
    <row r="227" spans="1:6" ht="14.25">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25">
      <c r="A230" s="798"/>
      <c r="B230" s="798"/>
      <c r="D230" s="1907" t="s">
        <v>1291</v>
      </c>
      <c r="E230" s="1907"/>
      <c r="F230" s="1907"/>
    </row>
    <row r="231" spans="1:6" ht="14.25">
      <c r="A231" s="798"/>
      <c r="B231" s="798"/>
      <c r="D231" s="1907"/>
      <c r="E231" s="1907"/>
      <c r="F231" s="1907"/>
    </row>
    <row r="232" spans="1:6" ht="14.25">
      <c r="A232" s="798"/>
      <c r="B232" s="798"/>
      <c r="D232" s="1907"/>
      <c r="E232" s="1907"/>
      <c r="F232" s="1907"/>
    </row>
    <row r="233" spans="1:6" ht="14.25">
      <c r="A233" s="798"/>
      <c r="B233" s="798"/>
      <c r="D233" s="1907"/>
      <c r="E233" s="1907"/>
      <c r="F233" s="1907"/>
    </row>
    <row r="234" spans="1:6" ht="14.25">
      <c r="A234" s="798"/>
      <c r="B234" s="798"/>
      <c r="D234" s="1907"/>
      <c r="E234" s="1907"/>
      <c r="F234" s="1907"/>
    </row>
    <row r="235" spans="1:6" ht="14.25">
      <c r="A235" s="798"/>
      <c r="B235" s="798"/>
      <c r="D235" s="801"/>
      <c r="E235" s="801"/>
      <c r="F235" s="801"/>
    </row>
    <row r="236" spans="1:6" ht="14.25">
      <c r="A236" s="798"/>
      <c r="B236" s="799" t="s">
        <v>2538</v>
      </c>
      <c r="D236" s="2002" t="s">
        <v>2279</v>
      </c>
      <c r="E236" s="2002"/>
      <c r="F236" s="2002"/>
    </row>
    <row r="237" spans="1:6" ht="14.25">
      <c r="A237" s="798"/>
      <c r="B237" s="798"/>
      <c r="D237" s="2002"/>
      <c r="E237" s="2002"/>
      <c r="F237" s="2002"/>
    </row>
    <row r="238" spans="1:6" ht="14.25">
      <c r="A238" s="798"/>
      <c r="B238" s="798"/>
      <c r="D238" s="2002"/>
      <c r="E238" s="2002"/>
      <c r="F238" s="2002"/>
    </row>
    <row r="239" spans="1:6" ht="14.25">
      <c r="A239" s="798"/>
      <c r="B239" s="798"/>
      <c r="D239" s="1985" t="s">
        <v>965</v>
      </c>
      <c r="E239" s="1985"/>
      <c r="F239" s="1985"/>
    </row>
    <row r="240" spans="1:6" ht="14.25">
      <c r="A240" s="798"/>
      <c r="B240" s="798"/>
      <c r="D240" s="801"/>
      <c r="E240" s="801"/>
      <c r="F240" s="801"/>
    </row>
    <row r="241" spans="1:7" ht="14.45" customHeight="1">
      <c r="A241" s="798"/>
      <c r="B241" s="799" t="s">
        <v>2537</v>
      </c>
      <c r="D241" s="2002" t="s">
        <v>1294</v>
      </c>
      <c r="E241" s="2002"/>
      <c r="F241" s="2002"/>
    </row>
    <row r="242" spans="1:7" ht="14.25">
      <c r="A242" s="798"/>
      <c r="B242" s="798"/>
      <c r="D242" s="2002"/>
      <c r="E242" s="2002"/>
      <c r="F242" s="2002"/>
    </row>
    <row r="243" spans="1:7" ht="14.25">
      <c r="A243" s="798"/>
      <c r="B243" s="798"/>
      <c r="D243" s="2002"/>
      <c r="E243" s="2002"/>
      <c r="F243" s="2002"/>
    </row>
    <row r="244" spans="1:7" ht="14.25">
      <c r="A244" s="798"/>
      <c r="B244" s="798"/>
      <c r="D244" s="2002"/>
      <c r="E244" s="2002"/>
      <c r="F244" s="2002"/>
    </row>
    <row r="245" spans="1:7" ht="14.25">
      <c r="A245" s="798"/>
      <c r="B245" s="798"/>
      <c r="D245" s="2002"/>
      <c r="E245" s="2002"/>
      <c r="F245" s="2002"/>
    </row>
    <row r="246" spans="1:7" ht="14.25">
      <c r="A246" s="798"/>
      <c r="B246" s="798"/>
      <c r="D246" s="1731"/>
      <c r="E246" s="1731"/>
      <c r="F246" s="1731"/>
    </row>
    <row r="247" spans="1:7" ht="14.25">
      <c r="A247" s="798"/>
      <c r="B247" s="799" t="s">
        <v>2538</v>
      </c>
      <c r="D247" s="1730" t="s">
        <v>2276</v>
      </c>
      <c r="E247" s="1731"/>
      <c r="F247" s="1731"/>
    </row>
    <row r="248" spans="1:7" ht="14.25">
      <c r="A248" s="798"/>
      <c r="B248" s="798"/>
      <c r="D248" s="1730"/>
      <c r="E248" s="1738" t="s">
        <v>2277</v>
      </c>
      <c r="F248" s="1731"/>
    </row>
    <row r="249" spans="1:7">
      <c r="D249" s="801"/>
      <c r="E249" s="801"/>
      <c r="F249" s="801"/>
    </row>
    <row r="250" spans="1:7" ht="14.25">
      <c r="A250" s="798"/>
      <c r="B250" s="799" t="s">
        <v>2538</v>
      </c>
      <c r="D250" s="1907" t="s">
        <v>1293</v>
      </c>
      <c r="E250" s="1907"/>
      <c r="F250" s="1907"/>
    </row>
    <row r="251" spans="1:7" ht="14.25">
      <c r="A251" s="798"/>
      <c r="B251" s="798"/>
      <c r="D251" s="1907"/>
      <c r="E251" s="1907"/>
      <c r="F251" s="1907"/>
    </row>
    <row r="252" spans="1:7">
      <c r="D252" s="822"/>
    </row>
    <row r="253" spans="1:7">
      <c r="A253" s="1889" t="s">
        <v>1167</v>
      </c>
      <c r="B253" s="1889"/>
      <c r="C253" s="1889"/>
      <c r="D253" s="1889"/>
      <c r="E253" s="1889"/>
      <c r="F253" s="1889"/>
      <c r="G253" s="1889"/>
    </row>
    <row r="254" spans="1:7">
      <c r="D254" s="822"/>
    </row>
    <row r="255" spans="1:7">
      <c r="C255" s="808"/>
      <c r="D255" s="1906" t="s">
        <v>1296</v>
      </c>
      <c r="E255" s="1906"/>
      <c r="F255" s="1906"/>
    </row>
    <row r="256" spans="1:7">
      <c r="A256" s="794"/>
      <c r="B256" s="794"/>
      <c r="C256" s="794"/>
      <c r="D256" s="801"/>
      <c r="E256" s="801"/>
      <c r="F256" s="801"/>
    </row>
    <row r="257" spans="1:6">
      <c r="A257" s="796"/>
      <c r="B257" s="796"/>
      <c r="C257" s="796"/>
      <c r="D257" s="1906" t="s">
        <v>276</v>
      </c>
      <c r="E257" s="1906"/>
      <c r="F257" s="1906"/>
    </row>
    <row r="258" spans="1:6" ht="14.45" customHeight="1">
      <c r="A258" s="798"/>
      <c r="B258" s="799" t="s">
        <v>2538</v>
      </c>
      <c r="D258" s="2004" t="s">
        <v>1407</v>
      </c>
      <c r="E258" s="2004"/>
      <c r="F258" s="2004"/>
    </row>
    <row r="259" spans="1:6">
      <c r="D259" s="2004"/>
      <c r="E259" s="2004"/>
      <c r="F259" s="2004"/>
    </row>
    <row r="260" spans="1:6">
      <c r="D260" s="2005" t="s">
        <v>956</v>
      </c>
      <c r="E260" s="2005"/>
      <c r="F260" s="2005"/>
    </row>
    <row r="261" spans="1:6">
      <c r="D261" s="801"/>
      <c r="E261" s="801"/>
      <c r="F261" s="801"/>
    </row>
    <row r="262" spans="1:6" ht="14.45" customHeight="1">
      <c r="A262" s="798"/>
      <c r="B262" s="799" t="s">
        <v>2537</v>
      </c>
      <c r="D262" s="2002" t="s">
        <v>2278</v>
      </c>
      <c r="E262" s="2002"/>
      <c r="F262" s="2002"/>
    </row>
    <row r="263" spans="1:6">
      <c r="D263" s="2002"/>
      <c r="E263" s="2002"/>
      <c r="F263" s="2002"/>
    </row>
    <row r="264" spans="1:6">
      <c r="D264" s="2002"/>
      <c r="E264" s="2002"/>
      <c r="F264" s="2002"/>
    </row>
    <row r="265" spans="1:6">
      <c r="D265" s="2002"/>
      <c r="E265" s="2002"/>
      <c r="F265" s="2002"/>
    </row>
    <row r="266" spans="1:6">
      <c r="D266" s="2002"/>
      <c r="E266" s="2002"/>
      <c r="F266" s="2002"/>
    </row>
    <row r="267" spans="1:6">
      <c r="D267" s="2002"/>
      <c r="E267" s="2002"/>
      <c r="F267" s="2002"/>
    </row>
    <row r="268" spans="1:6">
      <c r="D268" s="801"/>
      <c r="E268" s="801"/>
      <c r="F268" s="801"/>
    </row>
    <row r="269" spans="1:6" ht="14.25">
      <c r="A269" s="798"/>
      <c r="B269" s="799" t="s">
        <v>2537</v>
      </c>
      <c r="D269" s="1907" t="s">
        <v>1299</v>
      </c>
      <c r="E269" s="1907"/>
      <c r="F269" s="1907"/>
    </row>
    <row r="270" spans="1:6">
      <c r="D270" s="1907"/>
      <c r="E270" s="1907"/>
      <c r="F270" s="1907"/>
    </row>
    <row r="271" spans="1:6">
      <c r="D271" s="1907"/>
      <c r="E271" s="1907"/>
      <c r="F271" s="1907"/>
    </row>
    <row r="272" spans="1:6">
      <c r="D272" s="823"/>
      <c r="E272" s="801"/>
      <c r="F272" s="801"/>
    </row>
    <row r="273" spans="1:7">
      <c r="A273" s="1889" t="s">
        <v>1168</v>
      </c>
      <c r="B273" s="1889"/>
      <c r="C273" s="1889"/>
      <c r="D273" s="1889"/>
      <c r="E273" s="1889"/>
      <c r="F273" s="1889"/>
      <c r="G273" s="1889"/>
    </row>
    <row r="274" spans="1:7">
      <c r="D274" s="823"/>
      <c r="E274" s="801"/>
      <c r="F274" s="801"/>
    </row>
    <row r="275" spans="1:7">
      <c r="C275" s="794"/>
      <c r="D275" s="1984" t="s">
        <v>1301</v>
      </c>
      <c r="E275" s="1984"/>
      <c r="F275" s="1984"/>
    </row>
    <row r="276" spans="1:7">
      <c r="C276" s="794"/>
      <c r="D276" s="1984"/>
      <c r="E276" s="1984"/>
      <c r="F276" s="1984"/>
    </row>
    <row r="277" spans="1:7">
      <c r="A277" s="796"/>
      <c r="B277" s="796"/>
      <c r="C277" s="796"/>
      <c r="D277" s="623"/>
      <c r="E277" s="673"/>
      <c r="F277" s="673"/>
    </row>
    <row r="278" spans="1:7">
      <c r="C278" s="796"/>
      <c r="D278" s="1906" t="s">
        <v>214</v>
      </c>
      <c r="E278" s="1906"/>
      <c r="F278" s="1906"/>
    </row>
    <row r="279" spans="1:7" ht="15.75" customHeight="1">
      <c r="A279" s="798"/>
      <c r="B279" s="798"/>
      <c r="D279" s="1986" t="s">
        <v>1302</v>
      </c>
      <c r="E279" s="1986"/>
      <c r="F279" s="1986"/>
    </row>
    <row r="280" spans="1:7">
      <c r="E280" s="801"/>
      <c r="F280" s="801"/>
    </row>
    <row r="281" spans="1:7" ht="14.25">
      <c r="A281" s="798"/>
      <c r="B281" s="799" t="s">
        <v>2537</v>
      </c>
      <c r="D281" s="1907" t="s">
        <v>1303</v>
      </c>
      <c r="E281" s="1907"/>
      <c r="F281" s="1907"/>
    </row>
    <row r="282" spans="1:7" ht="14.25">
      <c r="A282" s="798"/>
      <c r="B282" s="798"/>
      <c r="D282" s="1907"/>
      <c r="E282" s="1907"/>
      <c r="F282" s="1907"/>
    </row>
    <row r="283" spans="1:7">
      <c r="D283" s="801"/>
      <c r="E283" s="801"/>
      <c r="F283" s="801"/>
    </row>
    <row r="284" spans="1:7" ht="14.25">
      <c r="A284" s="798"/>
      <c r="B284" s="799" t="s">
        <v>2537</v>
      </c>
      <c r="D284" s="2002" t="s">
        <v>1304</v>
      </c>
      <c r="E284" s="2002"/>
      <c r="F284" s="2002"/>
    </row>
    <row r="285" spans="1:7" ht="14.25">
      <c r="A285" s="798"/>
      <c r="B285" s="798"/>
      <c r="D285" s="2002"/>
      <c r="E285" s="2002"/>
      <c r="F285" s="2002"/>
    </row>
    <row r="286" spans="1:7" ht="14.25">
      <c r="A286" s="798"/>
      <c r="B286" s="798"/>
      <c r="D286" s="2002"/>
      <c r="E286" s="2002"/>
      <c r="F286" s="2002"/>
    </row>
    <row r="287" spans="1:7">
      <c r="D287" s="801"/>
      <c r="E287" s="801"/>
      <c r="F287" s="801"/>
    </row>
    <row r="288" spans="1:7" ht="14.25">
      <c r="A288" s="798"/>
      <c r="B288" s="799" t="s">
        <v>2537</v>
      </c>
      <c r="D288" s="1907" t="s">
        <v>1305</v>
      </c>
      <c r="E288" s="1907"/>
      <c r="F288" s="1907"/>
    </row>
    <row r="289" spans="1:7" ht="14.25">
      <c r="A289" s="798"/>
      <c r="B289" s="798"/>
      <c r="D289" s="1907"/>
      <c r="E289" s="1907"/>
      <c r="F289" s="1907"/>
    </row>
    <row r="290" spans="1:7">
      <c r="A290" s="817"/>
      <c r="B290" s="817"/>
      <c r="E290" s="801"/>
      <c r="F290" s="801"/>
    </row>
    <row r="291" spans="1:7">
      <c r="A291" s="1889" t="s">
        <v>1169</v>
      </c>
      <c r="B291" s="1889"/>
      <c r="C291" s="1889"/>
      <c r="D291" s="1889"/>
      <c r="E291" s="1889"/>
      <c r="F291" s="1889"/>
      <c r="G291" s="1889"/>
    </row>
    <row r="292" spans="1:7">
      <c r="A292" s="817"/>
      <c r="B292" s="817"/>
      <c r="D292" s="801"/>
      <c r="E292" s="801"/>
      <c r="F292" s="801"/>
    </row>
    <row r="293" spans="1:7">
      <c r="C293" s="817"/>
      <c r="D293" s="1906" t="s">
        <v>719</v>
      </c>
      <c r="E293" s="1906"/>
      <c r="F293" s="1906"/>
    </row>
    <row r="294" spans="1:7">
      <c r="C294" s="817"/>
      <c r="D294" s="1909" t="s">
        <v>1306</v>
      </c>
      <c r="E294" s="1909"/>
      <c r="F294" s="1909"/>
    </row>
    <row r="295" spans="1:7">
      <c r="C295" s="817"/>
      <c r="D295" s="824"/>
    </row>
    <row r="296" spans="1:7">
      <c r="A296" s="802"/>
      <c r="B296" s="799" t="s">
        <v>2537</v>
      </c>
      <c r="D296" s="1909" t="s">
        <v>1307</v>
      </c>
      <c r="E296" s="1909"/>
      <c r="F296" s="1909"/>
    </row>
    <row r="297" spans="1:7" s="792" customFormat="1" ht="14.25">
      <c r="A297" s="806"/>
      <c r="B297" s="806"/>
      <c r="C297" s="802"/>
      <c r="D297" s="825"/>
      <c r="E297" s="826"/>
      <c r="F297" s="826"/>
      <c r="G297" s="803"/>
    </row>
    <row r="298" spans="1:7" s="792" customFormat="1" ht="13.7" customHeight="1">
      <c r="A298" s="802"/>
      <c r="B298" s="799" t="s">
        <v>2537</v>
      </c>
      <c r="C298" s="802"/>
      <c r="D298" s="2011" t="s">
        <v>1436</v>
      </c>
      <c r="E298" s="2011"/>
      <c r="F298" s="2011"/>
      <c r="G298" s="803"/>
    </row>
    <row r="299" spans="1:7" s="792" customFormat="1" ht="14.25">
      <c r="A299" s="806"/>
      <c r="B299" s="806"/>
      <c r="C299" s="802"/>
      <c r="D299" s="2011"/>
      <c r="E299" s="2011"/>
      <c r="F299" s="2011"/>
      <c r="G299" s="803"/>
    </row>
    <row r="300" spans="1:7" s="792" customFormat="1" ht="14.25">
      <c r="A300" s="806"/>
      <c r="B300" s="806"/>
      <c r="C300" s="802"/>
      <c r="D300" s="2011"/>
      <c r="E300" s="2011"/>
      <c r="F300" s="2011"/>
      <c r="G300" s="803"/>
    </row>
    <row r="301" spans="1:7" s="792" customFormat="1" ht="14.25">
      <c r="A301" s="806"/>
      <c r="B301" s="806"/>
      <c r="C301" s="802"/>
      <c r="D301" s="2011"/>
      <c r="E301" s="2011"/>
      <c r="F301" s="2011"/>
      <c r="G301" s="803"/>
    </row>
    <row r="302" spans="1:7" s="792" customFormat="1" ht="14.25">
      <c r="A302" s="806"/>
      <c r="B302" s="806"/>
      <c r="C302" s="802"/>
      <c r="D302" s="2011"/>
      <c r="E302" s="2011"/>
      <c r="F302" s="2011"/>
      <c r="G302" s="803"/>
    </row>
    <row r="303" spans="1:7" s="792" customFormat="1" ht="14.25">
      <c r="A303" s="806"/>
      <c r="B303" s="806"/>
      <c r="C303" s="802"/>
      <c r="D303" s="825"/>
      <c r="E303" s="826"/>
      <c r="F303" s="826"/>
      <c r="G303" s="803"/>
    </row>
    <row r="304" spans="1:7" s="792" customFormat="1" ht="13.7" customHeight="1">
      <c r="A304" s="802"/>
      <c r="B304" s="799" t="s">
        <v>2537</v>
      </c>
      <c r="C304" s="802"/>
      <c r="D304" s="2011" t="s">
        <v>1309</v>
      </c>
      <c r="E304" s="2011"/>
      <c r="F304" s="2011"/>
      <c r="G304" s="803"/>
    </row>
    <row r="305" spans="1:7" s="792" customFormat="1">
      <c r="A305" s="802"/>
      <c r="B305" s="802"/>
      <c r="C305" s="802"/>
      <c r="D305" s="2011"/>
      <c r="E305" s="2011"/>
      <c r="F305" s="2011"/>
      <c r="G305" s="803"/>
    </row>
    <row r="306" spans="1:7" s="792" customFormat="1" ht="14.25">
      <c r="A306" s="806"/>
      <c r="B306" s="806"/>
      <c r="C306" s="802"/>
      <c r="D306" s="825"/>
      <c r="E306" s="826"/>
      <c r="F306" s="826"/>
      <c r="G306" s="803"/>
    </row>
    <row r="307" spans="1:7">
      <c r="A307" s="802"/>
      <c r="B307" s="799" t="s">
        <v>2537</v>
      </c>
      <c r="D307" s="1909" t="s">
        <v>1310</v>
      </c>
      <c r="E307" s="1909"/>
      <c r="F307" s="1909"/>
    </row>
    <row r="308" spans="1:7">
      <c r="E308" s="801"/>
      <c r="F308" s="801"/>
    </row>
    <row r="309" spans="1:7" ht="14.25">
      <c r="A309" s="798"/>
      <c r="B309" s="799" t="s">
        <v>2537</v>
      </c>
      <c r="D309" s="2002" t="s">
        <v>1464</v>
      </c>
      <c r="E309" s="2002"/>
      <c r="F309" s="2002"/>
    </row>
    <row r="310" spans="1:7" ht="14.25">
      <c r="A310" s="798"/>
      <c r="B310" s="798"/>
      <c r="D310" s="2002"/>
      <c r="E310" s="2002"/>
      <c r="F310" s="2002"/>
    </row>
    <row r="311" spans="1:7" ht="14.25">
      <c r="A311" s="798"/>
      <c r="B311" s="798"/>
      <c r="D311" s="2002"/>
      <c r="E311" s="2002"/>
      <c r="F311" s="2002"/>
    </row>
    <row r="312" spans="1:7" ht="14.25">
      <c r="A312" s="798"/>
      <c r="B312" s="798"/>
      <c r="D312" s="2002"/>
      <c r="E312" s="2002"/>
      <c r="F312" s="2002"/>
    </row>
    <row r="313" spans="1:7" ht="14.25">
      <c r="A313" s="798"/>
      <c r="B313" s="798"/>
      <c r="D313" s="2002"/>
      <c r="E313" s="2002"/>
      <c r="F313" s="2002"/>
    </row>
    <row r="314" spans="1:7" ht="14.25">
      <c r="A314" s="798"/>
      <c r="B314" s="798"/>
      <c r="D314" s="2002"/>
      <c r="E314" s="2002"/>
      <c r="F314" s="2002"/>
    </row>
    <row r="315" spans="1:7" ht="14.25">
      <c r="A315" s="798"/>
      <c r="B315" s="798"/>
      <c r="D315" s="2002"/>
      <c r="E315" s="2002"/>
      <c r="F315" s="2002"/>
    </row>
    <row r="316" spans="1:7" ht="14.25">
      <c r="A316" s="798"/>
      <c r="B316" s="798"/>
      <c r="D316" s="2002"/>
      <c r="E316" s="2002"/>
      <c r="F316" s="2002"/>
    </row>
    <row r="317" spans="1:7" ht="14.25">
      <c r="A317" s="798"/>
      <c r="B317" s="798"/>
      <c r="D317" s="2002"/>
      <c r="E317" s="2002"/>
      <c r="F317" s="2002"/>
    </row>
    <row r="318" spans="1:7" ht="14.25">
      <c r="A318" s="798"/>
      <c r="B318" s="798"/>
      <c r="D318" s="2002"/>
      <c r="E318" s="2002"/>
      <c r="F318" s="2002"/>
    </row>
    <row r="319" spans="1:7" ht="14.25">
      <c r="A319" s="798"/>
      <c r="B319" s="798"/>
      <c r="D319" s="2002"/>
      <c r="E319" s="2002"/>
      <c r="F319" s="2002"/>
    </row>
    <row r="320" spans="1:7" ht="14.25">
      <c r="A320" s="798"/>
      <c r="B320" s="798"/>
      <c r="D320" s="2002"/>
      <c r="E320" s="2002"/>
      <c r="F320" s="2002"/>
    </row>
    <row r="321" spans="1:7" ht="14.25">
      <c r="A321" s="798"/>
      <c r="B321" s="798"/>
      <c r="D321" s="2002"/>
      <c r="E321" s="2002"/>
      <c r="F321" s="2002"/>
    </row>
    <row r="322" spans="1:7" ht="14.25">
      <c r="A322" s="798"/>
      <c r="B322" s="798"/>
      <c r="D322" s="2002"/>
      <c r="E322" s="2002"/>
      <c r="F322" s="2002"/>
    </row>
    <row r="323" spans="1:7" ht="14.25">
      <c r="A323" s="798"/>
      <c r="B323" s="798"/>
      <c r="D323" s="2002"/>
      <c r="E323" s="2002"/>
      <c r="F323" s="2002"/>
    </row>
    <row r="324" spans="1:7">
      <c r="D324" s="801"/>
      <c r="E324" s="801"/>
      <c r="F324" s="801"/>
    </row>
    <row r="325" spans="1:7" ht="14.25">
      <c r="A325" s="798"/>
      <c r="B325" s="799" t="s">
        <v>2537</v>
      </c>
      <c r="D325" s="2002" t="s">
        <v>1312</v>
      </c>
      <c r="E325" s="2002"/>
      <c r="F325" s="2002"/>
    </row>
    <row r="326" spans="1:7">
      <c r="D326" s="2002"/>
      <c r="E326" s="2002"/>
      <c r="F326" s="2002"/>
    </row>
    <row r="327" spans="1:7">
      <c r="D327" s="2002"/>
      <c r="E327" s="2002"/>
      <c r="F327" s="2002"/>
    </row>
    <row r="328" spans="1:7">
      <c r="D328" s="2002"/>
      <c r="E328" s="2002"/>
      <c r="F328" s="2002"/>
    </row>
    <row r="329" spans="1:7">
      <c r="D329" s="2002"/>
      <c r="E329" s="2002"/>
      <c r="F329" s="2002"/>
    </row>
    <row r="330" spans="1:7">
      <c r="D330" s="2002"/>
      <c r="E330" s="2002"/>
      <c r="F330" s="2002"/>
    </row>
    <row r="331" spans="1:7">
      <c r="D331" s="2002"/>
      <c r="E331" s="2002"/>
      <c r="F331" s="2002"/>
    </row>
    <row r="332" spans="1:7">
      <c r="D332" s="2002"/>
      <c r="E332" s="2002"/>
      <c r="F332" s="2002"/>
    </row>
    <row r="333" spans="1:7">
      <c r="D333" s="2002"/>
      <c r="E333" s="2002"/>
      <c r="F333" s="2002"/>
    </row>
    <row r="334" spans="1:7">
      <c r="D334" s="801"/>
      <c r="E334" s="801"/>
      <c r="F334" s="801"/>
    </row>
    <row r="335" spans="1:7" ht="14.25">
      <c r="A335" s="798"/>
      <c r="B335" s="799" t="s">
        <v>2537</v>
      </c>
      <c r="D335" s="1907" t="s">
        <v>1515</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5" thickBot="1">
      <c r="D342" s="2003" t="s">
        <v>1062</v>
      </c>
      <c r="E342" s="2003"/>
      <c r="F342" s="2003"/>
      <c r="G342" s="791"/>
    </row>
    <row r="343" spans="1:9" ht="13.5" thickTop="1">
      <c r="D343" s="2012" t="s">
        <v>1314</v>
      </c>
      <c r="E343" s="2012"/>
      <c r="F343" s="2012"/>
      <c r="G343" s="791"/>
    </row>
    <row r="344" spans="1:9">
      <c r="A344" s="815"/>
      <c r="B344" s="815"/>
      <c r="C344" s="815"/>
      <c r="D344" s="787"/>
      <c r="E344" s="787"/>
      <c r="F344" s="801"/>
      <c r="G344" s="791"/>
    </row>
    <row r="345" spans="1:9" ht="14.25">
      <c r="A345" s="798"/>
      <c r="B345" s="799" t="s">
        <v>2537</v>
      </c>
      <c r="C345" s="815"/>
      <c r="D345" s="1903" t="s">
        <v>1315</v>
      </c>
      <c r="E345" s="1903"/>
      <c r="F345" s="1903"/>
      <c r="G345" s="791"/>
    </row>
    <row r="346" spans="1:9">
      <c r="A346" s="815"/>
      <c r="B346" s="815"/>
      <c r="C346" s="815"/>
      <c r="D346" s="787"/>
      <c r="E346" s="787"/>
      <c r="F346" s="801"/>
      <c r="G346" s="791"/>
    </row>
    <row r="347" spans="1:9">
      <c r="A347" s="815"/>
      <c r="B347" s="799" t="s">
        <v>2537</v>
      </c>
      <c r="C347" s="815"/>
      <c r="D347" s="1898" t="s">
        <v>1439</v>
      </c>
      <c r="E347" s="1898"/>
      <c r="F347" s="1898"/>
      <c r="G347" s="791"/>
    </row>
    <row r="348" spans="1:9">
      <c r="A348" s="815"/>
      <c r="B348" s="815"/>
      <c r="C348" s="815"/>
      <c r="D348" s="1898"/>
      <c r="E348" s="1898"/>
      <c r="F348" s="1898"/>
      <c r="G348" s="791"/>
    </row>
    <row r="349" spans="1:9">
      <c r="A349" s="815"/>
      <c r="B349" s="815"/>
      <c r="C349" s="815"/>
      <c r="D349" s="1898"/>
      <c r="E349" s="1898"/>
      <c r="F349" s="1898"/>
      <c r="G349" s="791"/>
    </row>
    <row r="350" spans="1:9">
      <c r="A350" s="815"/>
      <c r="B350" s="815"/>
      <c r="C350" s="815"/>
      <c r="D350" s="1898"/>
      <c r="E350" s="1898"/>
      <c r="F350" s="1898"/>
      <c r="G350" s="791"/>
    </row>
    <row r="351" spans="1:9">
      <c r="A351" s="815"/>
      <c r="B351" s="815"/>
      <c r="C351" s="815"/>
      <c r="D351" s="1898"/>
      <c r="E351" s="1898"/>
      <c r="F351" s="1898"/>
      <c r="G351" s="791"/>
      <c r="I351" s="1790"/>
    </row>
    <row r="352" spans="1:9">
      <c r="A352" s="815"/>
      <c r="B352" s="815"/>
      <c r="C352" s="815"/>
      <c r="D352" s="1898"/>
      <c r="E352" s="1898"/>
      <c r="F352" s="1898"/>
      <c r="G352" s="791"/>
      <c r="I352" s="1790"/>
    </row>
    <row r="353" spans="1:9">
      <c r="A353" s="815"/>
      <c r="B353" s="815"/>
      <c r="C353" s="815"/>
      <c r="D353" s="1898"/>
      <c r="E353" s="1898"/>
      <c r="F353" s="1898"/>
      <c r="G353" s="791"/>
      <c r="I353" s="1790"/>
    </row>
    <row r="354" spans="1:9">
      <c r="A354" s="815"/>
      <c r="B354" s="815"/>
      <c r="C354" s="815"/>
      <c r="D354" s="1898"/>
      <c r="E354" s="1898"/>
      <c r="F354" s="1898"/>
      <c r="G354" s="791"/>
      <c r="I354" s="1790"/>
    </row>
    <row r="355" spans="1:9">
      <c r="A355" s="815"/>
      <c r="B355" s="815"/>
      <c r="C355" s="815"/>
      <c r="D355" s="1898"/>
      <c r="E355" s="1898"/>
      <c r="F355" s="1898"/>
      <c r="G355" s="791"/>
      <c r="I355" s="1790"/>
    </row>
    <row r="356" spans="1:9">
      <c r="A356" s="815"/>
      <c r="B356" s="815"/>
      <c r="C356" s="815"/>
      <c r="D356" s="1898"/>
      <c r="E356" s="1898"/>
      <c r="F356" s="1898"/>
      <c r="G356" s="791"/>
      <c r="I356" s="1790"/>
    </row>
    <row r="357" spans="1:9">
      <c r="A357" s="815"/>
      <c r="B357" s="815"/>
      <c r="C357" s="815"/>
      <c r="D357" s="1898"/>
      <c r="E357" s="1898"/>
      <c r="F357" s="1898"/>
      <c r="G357" s="791"/>
    </row>
    <row r="358" spans="1:9">
      <c r="A358" s="815"/>
      <c r="B358" s="815"/>
      <c r="C358" s="815"/>
      <c r="D358" s="1898"/>
      <c r="E358" s="1898"/>
      <c r="F358" s="1898"/>
      <c r="G358" s="791"/>
    </row>
    <row r="359" spans="1:9" s="1790" customFormat="1">
      <c r="A359" s="1795"/>
      <c r="B359" s="1795"/>
      <c r="C359" s="1795"/>
      <c r="D359" s="1797"/>
      <c r="E359" s="1797"/>
      <c r="F359" s="1797"/>
    </row>
    <row r="360" spans="1:9" ht="12.4" customHeight="1">
      <c r="A360" s="815"/>
      <c r="B360" s="799" t="s">
        <v>2537</v>
      </c>
      <c r="C360" s="815"/>
      <c r="D360" s="2016" t="s">
        <v>1440</v>
      </c>
      <c r="E360" s="2016"/>
      <c r="F360" s="2016"/>
      <c r="G360" s="791"/>
    </row>
    <row r="361" spans="1:9">
      <c r="A361" s="815"/>
      <c r="B361" s="815"/>
      <c r="C361" s="815"/>
      <c r="D361" s="2016"/>
      <c r="E361" s="2016"/>
      <c r="F361" s="2016"/>
      <c r="G361" s="791"/>
    </row>
    <row r="362" spans="1:9">
      <c r="A362" s="815"/>
      <c r="B362" s="815"/>
      <c r="C362" s="815"/>
      <c r="D362" s="2016"/>
      <c r="E362" s="2016"/>
      <c r="F362" s="2016"/>
      <c r="G362" s="791"/>
    </row>
    <row r="363" spans="1:9">
      <c r="A363" s="815"/>
      <c r="B363" s="815"/>
      <c r="C363" s="815"/>
      <c r="D363" s="2016"/>
      <c r="E363" s="2016"/>
      <c r="F363" s="2016"/>
      <c r="G363" s="791"/>
    </row>
    <row r="364" spans="1:9" s="1790" customFormat="1">
      <c r="A364" s="1795"/>
      <c r="B364" s="1795"/>
      <c r="C364" s="1795"/>
      <c r="D364" s="1796"/>
      <c r="E364" s="1796"/>
      <c r="F364" s="1796"/>
    </row>
    <row r="365" spans="1:9" s="1790" customFormat="1">
      <c r="A365" s="1795"/>
      <c r="B365" s="1793" t="s">
        <v>2537</v>
      </c>
      <c r="C365" s="1795"/>
      <c r="D365" s="1790" t="s">
        <v>2419</v>
      </c>
      <c r="E365" s="1796"/>
      <c r="F365" s="1796"/>
    </row>
    <row r="366" spans="1:9" s="1790" customFormat="1">
      <c r="A366" s="1795"/>
      <c r="B366" s="1795"/>
      <c r="C366" s="1795"/>
      <c r="D366" s="1790" t="s">
        <v>2420</v>
      </c>
      <c r="E366" s="1796"/>
      <c r="F366" s="1796"/>
    </row>
    <row r="367" spans="1:9" s="1790" customFormat="1">
      <c r="A367" s="1795"/>
      <c r="B367" s="1795"/>
      <c r="C367" s="1795"/>
      <c r="D367" s="1790" t="s">
        <v>2421</v>
      </c>
      <c r="E367" s="1796"/>
      <c r="F367" s="1796"/>
    </row>
    <row r="368" spans="1:9" s="1790" customFormat="1">
      <c r="A368" s="1795"/>
      <c r="B368" s="1795"/>
      <c r="C368" s="1795"/>
      <c r="D368" s="1790" t="s">
        <v>2422</v>
      </c>
      <c r="E368" s="1796"/>
      <c r="F368" s="1796"/>
    </row>
    <row r="369" spans="1:7" s="1790" customFormat="1">
      <c r="A369" s="1795"/>
      <c r="B369" s="1795"/>
      <c r="C369" s="1795"/>
      <c r="D369" s="1790" t="s">
        <v>2423</v>
      </c>
      <c r="E369" s="1796"/>
      <c r="F369" s="1796"/>
    </row>
    <row r="370" spans="1:7" s="1790" customFormat="1">
      <c r="A370" s="1795"/>
      <c r="B370" s="1795"/>
      <c r="C370" s="1795"/>
      <c r="D370" s="1790" t="s">
        <v>2424</v>
      </c>
      <c r="E370" s="1796"/>
      <c r="F370" s="1796"/>
    </row>
    <row r="371" spans="1:7">
      <c r="A371" s="815"/>
      <c r="B371" s="815"/>
      <c r="C371" s="815"/>
      <c r="D371" s="791"/>
      <c r="E371" s="787"/>
      <c r="F371" s="801"/>
      <c r="G371" s="791"/>
    </row>
    <row r="372" spans="1:7" ht="14.25">
      <c r="A372" s="798"/>
      <c r="B372" s="799" t="s">
        <v>2537</v>
      </c>
      <c r="C372" s="815"/>
      <c r="D372" s="1896" t="s">
        <v>1317</v>
      </c>
      <c r="E372" s="1896"/>
      <c r="F372" s="1896"/>
      <c r="G372" s="791"/>
    </row>
    <row r="373" spans="1:7">
      <c r="A373" s="815"/>
      <c r="B373" s="815"/>
      <c r="C373" s="815"/>
      <c r="D373" s="1896"/>
      <c r="E373" s="1896"/>
      <c r="F373" s="1896"/>
      <c r="G373" s="791"/>
    </row>
    <row r="374" spans="1:7">
      <c r="A374" s="815"/>
      <c r="B374" s="815"/>
      <c r="C374" s="815"/>
      <c r="D374" s="1896"/>
      <c r="E374" s="1896"/>
      <c r="F374" s="1896"/>
      <c r="G374" s="791"/>
    </row>
    <row r="375" spans="1:7">
      <c r="A375" s="815"/>
      <c r="B375" s="815"/>
      <c r="C375" s="815"/>
      <c r="D375" s="1896"/>
      <c r="E375" s="1896"/>
      <c r="F375" s="1896"/>
      <c r="G375" s="791"/>
    </row>
    <row r="376" spans="1:7">
      <c r="A376" s="815"/>
      <c r="B376" s="815"/>
      <c r="C376" s="815"/>
      <c r="D376" s="827"/>
      <c r="E376" s="787"/>
      <c r="F376" s="801"/>
      <c r="G376" s="791"/>
    </row>
    <row r="377" spans="1:7">
      <c r="A377" s="815"/>
      <c r="B377" s="815"/>
      <c r="C377" s="815"/>
      <c r="D377" s="1896" t="s">
        <v>1318</v>
      </c>
      <c r="E377" s="1896"/>
      <c r="F377" s="1896"/>
      <c r="G377" s="791"/>
    </row>
    <row r="378" spans="1:7">
      <c r="A378" s="815"/>
      <c r="B378" s="815"/>
      <c r="C378" s="815"/>
      <c r="D378" s="1896"/>
      <c r="E378" s="1896"/>
      <c r="F378" s="1896"/>
      <c r="G378" s="791"/>
    </row>
    <row r="379" spans="1:7">
      <c r="A379" s="815"/>
      <c r="B379" s="815"/>
      <c r="C379" s="815"/>
      <c r="D379" s="1896"/>
      <c r="E379" s="1896"/>
      <c r="F379" s="1896"/>
      <c r="G379" s="791"/>
    </row>
    <row r="380" spans="1:7">
      <c r="A380" s="815"/>
      <c r="B380" s="815"/>
      <c r="C380" s="815"/>
      <c r="D380" s="1896"/>
      <c r="E380" s="1896"/>
      <c r="F380" s="1896"/>
      <c r="G380" s="791"/>
    </row>
    <row r="381" spans="1:7" ht="18" customHeight="1">
      <c r="A381" s="815"/>
      <c r="B381" s="815"/>
      <c r="C381" s="815"/>
      <c r="D381" s="1896"/>
      <c r="E381" s="1896"/>
      <c r="F381" s="1896"/>
      <c r="G381" s="791"/>
    </row>
    <row r="382" spans="1:7">
      <c r="A382" s="815"/>
      <c r="B382" s="815"/>
      <c r="C382" s="815"/>
      <c r="D382" s="1896"/>
      <c r="E382" s="1896"/>
      <c r="F382" s="1896"/>
      <c r="G382" s="791"/>
    </row>
    <row r="383" spans="1:7">
      <c r="A383" s="815"/>
      <c r="B383" s="815"/>
      <c r="C383" s="815"/>
      <c r="D383" s="1896"/>
      <c r="E383" s="1896"/>
      <c r="F383" s="1896"/>
      <c r="G383" s="791"/>
    </row>
    <row r="384" spans="1:7">
      <c r="A384" s="815"/>
      <c r="B384" s="815"/>
      <c r="C384" s="815"/>
      <c r="D384" s="1896"/>
      <c r="E384" s="1896"/>
      <c r="F384" s="1896"/>
      <c r="G384" s="791"/>
    </row>
    <row r="385" spans="1:7" ht="8.25" customHeight="1">
      <c r="A385" s="815"/>
      <c r="B385" s="815"/>
      <c r="C385" s="815"/>
      <c r="D385" s="1896"/>
      <c r="E385" s="1896"/>
      <c r="F385" s="1896"/>
      <c r="G385" s="791"/>
    </row>
    <row r="386" spans="1:7" ht="13.7" customHeight="1">
      <c r="A386" s="815"/>
      <c r="B386" s="815"/>
      <c r="C386" s="815"/>
      <c r="D386" s="1897" t="s">
        <v>1319</v>
      </c>
      <c r="E386" s="1897"/>
      <c r="F386" s="1897"/>
      <c r="G386" s="791"/>
    </row>
    <row r="387" spans="1:7">
      <c r="A387" s="815"/>
      <c r="B387" s="815"/>
      <c r="C387" s="815"/>
      <c r="D387" s="1897"/>
      <c r="E387" s="1897"/>
      <c r="F387" s="1897"/>
      <c r="G387" s="791"/>
    </row>
    <row r="388" spans="1:7">
      <c r="A388" s="815"/>
      <c r="B388" s="815"/>
      <c r="C388" s="815"/>
      <c r="D388" s="1897"/>
      <c r="E388" s="1897"/>
      <c r="F388" s="1897"/>
      <c r="G388" s="791"/>
    </row>
    <row r="389" spans="1:7">
      <c r="A389" s="815"/>
      <c r="B389" s="815"/>
      <c r="C389" s="815"/>
      <c r="D389" s="1897"/>
      <c r="E389" s="1897"/>
      <c r="F389" s="1897"/>
      <c r="G389" s="791"/>
    </row>
    <row r="390" spans="1:7">
      <c r="A390" s="815"/>
      <c r="B390" s="815"/>
      <c r="C390" s="815"/>
      <c r="D390" s="1897"/>
      <c r="E390" s="1897"/>
      <c r="F390" s="1897"/>
      <c r="G390" s="791"/>
    </row>
    <row r="391" spans="1:7">
      <c r="A391" s="815"/>
      <c r="B391" s="815"/>
      <c r="C391" s="815"/>
      <c r="D391" s="1897"/>
      <c r="E391" s="1897"/>
      <c r="F391" s="1897"/>
      <c r="G391" s="791"/>
    </row>
    <row r="392" spans="1:7">
      <c r="A392" s="815"/>
      <c r="B392" s="815"/>
      <c r="C392" s="815"/>
      <c r="D392" s="1897"/>
      <c r="E392" s="1897"/>
      <c r="F392" s="1897"/>
      <c r="G392" s="791"/>
    </row>
    <row r="393" spans="1:7">
      <c r="A393" s="815"/>
      <c r="B393" s="815"/>
      <c r="C393" s="815"/>
      <c r="D393" s="1897"/>
      <c r="E393" s="1897"/>
      <c r="F393" s="1897"/>
      <c r="G393" s="791"/>
    </row>
    <row r="394" spans="1:7">
      <c r="A394" s="815"/>
      <c r="B394" s="815"/>
      <c r="C394" s="815"/>
      <c r="D394" s="1897"/>
      <c r="E394" s="1897"/>
      <c r="F394" s="1897"/>
      <c r="G394" s="791"/>
    </row>
    <row r="395" spans="1:7">
      <c r="A395" s="815"/>
      <c r="B395" s="815"/>
      <c r="C395" s="815"/>
      <c r="D395" s="1897"/>
      <c r="E395" s="1897"/>
      <c r="F395" s="1897"/>
      <c r="G395" s="791"/>
    </row>
    <row r="396" spans="1:7">
      <c r="A396" s="815"/>
      <c r="B396" s="815"/>
      <c r="C396" s="815"/>
      <c r="D396" s="1897"/>
      <c r="E396" s="1897"/>
      <c r="F396" s="1897"/>
      <c r="G396" s="791"/>
    </row>
    <row r="397" spans="1:7">
      <c r="A397" s="815"/>
      <c r="B397" s="815"/>
      <c r="C397" s="815"/>
      <c r="D397" s="1897"/>
      <c r="E397" s="1897"/>
      <c r="F397" s="1897"/>
      <c r="G397" s="791"/>
    </row>
    <row r="398" spans="1:7">
      <c r="A398" s="815"/>
      <c r="B398" s="815"/>
      <c r="C398" s="828"/>
      <c r="D398" s="1897"/>
      <c r="E398" s="1897"/>
      <c r="F398" s="1897"/>
      <c r="G398" s="791"/>
    </row>
    <row r="399" spans="1:7">
      <c r="A399" s="815"/>
      <c r="B399" s="815"/>
      <c r="C399" s="828"/>
      <c r="D399" s="1897"/>
      <c r="E399" s="1897"/>
      <c r="F399" s="1897"/>
      <c r="G399" s="791"/>
    </row>
    <row r="400" spans="1:7">
      <c r="A400" s="815"/>
      <c r="B400" s="815"/>
      <c r="C400" s="815"/>
      <c r="D400" s="1897"/>
      <c r="E400" s="1897"/>
      <c r="F400" s="1897"/>
      <c r="G400" s="791"/>
    </row>
    <row r="401" spans="1:7">
      <c r="A401" s="815"/>
      <c r="B401" s="815"/>
      <c r="C401" s="828"/>
      <c r="D401" s="1897"/>
      <c r="E401" s="1897"/>
      <c r="F401" s="1897"/>
      <c r="G401" s="791"/>
    </row>
    <row r="402" spans="1:7">
      <c r="A402" s="815"/>
      <c r="B402" s="815"/>
      <c r="C402" s="828"/>
      <c r="D402" s="1897"/>
      <c r="E402" s="1897"/>
      <c r="F402" s="1897"/>
      <c r="G402" s="791"/>
    </row>
    <row r="403" spans="1:7">
      <c r="A403" s="815"/>
      <c r="B403" s="815"/>
      <c r="C403" s="828"/>
      <c r="D403" s="1897"/>
      <c r="E403" s="1897"/>
      <c r="F403" s="1897"/>
      <c r="G403" s="791"/>
    </row>
    <row r="404" spans="1:7">
      <c r="A404" s="815"/>
      <c r="B404" s="815"/>
      <c r="C404" s="815"/>
      <c r="D404" s="827"/>
      <c r="E404" s="787"/>
      <c r="F404" s="801"/>
      <c r="G404" s="791"/>
    </row>
    <row r="405" spans="1:7">
      <c r="A405" s="815"/>
      <c r="B405" s="799" t="s">
        <v>2537</v>
      </c>
      <c r="C405" s="815"/>
      <c r="D405" s="1897" t="s">
        <v>1320</v>
      </c>
      <c r="E405" s="1897"/>
      <c r="F405" s="1897"/>
      <c r="G405" s="791"/>
    </row>
    <row r="406" spans="1:7">
      <c r="A406" s="815"/>
      <c r="B406" s="815"/>
      <c r="C406" s="815"/>
      <c r="D406" s="1897"/>
      <c r="E406" s="1897"/>
      <c r="F406" s="1897"/>
      <c r="G406" s="791"/>
    </row>
    <row r="407" spans="1:7">
      <c r="A407" s="815"/>
      <c r="B407" s="815"/>
      <c r="C407" s="815"/>
      <c r="D407" s="905"/>
      <c r="E407" s="905"/>
      <c r="F407" s="905"/>
      <c r="G407" s="791"/>
    </row>
    <row r="408" spans="1:7" ht="14.45" customHeight="1">
      <c r="A408" s="798"/>
      <c r="B408" s="799" t="s">
        <v>2537</v>
      </c>
      <c r="D408" s="1897" t="s">
        <v>1537</v>
      </c>
      <c r="E408" s="1897"/>
      <c r="F408" s="1897"/>
    </row>
    <row r="409" spans="1:7" ht="14.45" customHeight="1">
      <c r="A409" s="798"/>
      <c r="D409" s="1897"/>
      <c r="E409" s="1897"/>
      <c r="F409" s="1897"/>
    </row>
    <row r="410" spans="1:7" ht="14.45" customHeight="1">
      <c r="A410" s="798"/>
      <c r="D410" s="1897"/>
      <c r="E410" s="1897"/>
      <c r="F410" s="1897"/>
    </row>
    <row r="411" spans="1:7" ht="14.45" customHeight="1">
      <c r="A411" s="798"/>
      <c r="D411" s="1897"/>
      <c r="E411" s="1897"/>
      <c r="F411" s="1897"/>
    </row>
    <row r="412" spans="1:7" ht="14.45" customHeight="1">
      <c r="A412" s="798"/>
      <c r="D412" s="1897"/>
      <c r="E412" s="1897"/>
      <c r="F412" s="1897"/>
    </row>
    <row r="413" spans="1:7" ht="14.45" customHeight="1">
      <c r="A413" s="798"/>
      <c r="D413" s="880"/>
      <c r="E413" s="880"/>
      <c r="F413" s="880"/>
    </row>
    <row r="414" spans="1:7" ht="13.7" customHeight="1">
      <c r="A414" s="798"/>
      <c r="B414" s="799" t="s">
        <v>2537</v>
      </c>
      <c r="C414" s="815"/>
      <c r="D414" s="1898" t="s">
        <v>1465</v>
      </c>
      <c r="E414" s="1898"/>
      <c r="F414" s="1898"/>
      <c r="G414" s="791"/>
    </row>
    <row r="415" spans="1:7" ht="14.25">
      <c r="A415" s="829"/>
      <c r="B415" s="829"/>
      <c r="C415" s="815"/>
      <c r="D415" s="1898"/>
      <c r="E415" s="1898"/>
      <c r="F415" s="1898"/>
      <c r="G415" s="791"/>
    </row>
    <row r="416" spans="1:7" ht="14.25">
      <c r="A416" s="829"/>
      <c r="B416" s="829"/>
      <c r="C416" s="815"/>
      <c r="D416" s="1898"/>
      <c r="E416" s="1898"/>
      <c r="F416" s="1898"/>
      <c r="G416" s="791"/>
    </row>
    <row r="417" spans="1:7" ht="14.25">
      <c r="A417" s="829"/>
      <c r="B417" s="829"/>
      <c r="C417" s="815"/>
      <c r="D417" s="1898"/>
      <c r="E417" s="1898"/>
      <c r="F417" s="1898"/>
      <c r="G417" s="791"/>
    </row>
    <row r="418" spans="1:7" ht="15.75" customHeight="1">
      <c r="A418" s="829"/>
      <c r="B418" s="829"/>
      <c r="C418" s="815"/>
      <c r="D418" s="2013" t="s">
        <v>1516</v>
      </c>
      <c r="E418" s="1898"/>
      <c r="F418" s="1898"/>
      <c r="G418" s="791"/>
    </row>
    <row r="419" spans="1:7">
      <c r="D419" s="801"/>
      <c r="E419" s="801"/>
      <c r="F419" s="801"/>
      <c r="G419" s="791"/>
    </row>
    <row r="420" spans="1:7" ht="14.25">
      <c r="A420" s="798"/>
      <c r="B420" s="799" t="s">
        <v>2537</v>
      </c>
      <c r="C420" s="830"/>
      <c r="D420" s="1907" t="s">
        <v>1322</v>
      </c>
      <c r="E420" s="1907"/>
      <c r="F420" s="1907"/>
      <c r="G420" s="791"/>
    </row>
    <row r="421" spans="1:7" ht="14.25">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25">
      <c r="A452" s="798"/>
      <c r="B452" s="799" t="s">
        <v>2537</v>
      </c>
      <c r="C452" s="830"/>
      <c r="D452" s="1909" t="s">
        <v>1323</v>
      </c>
      <c r="E452" s="1909"/>
      <c r="F452" s="1909"/>
    </row>
    <row r="453" spans="1:7">
      <c r="D453" s="1899" t="s">
        <v>1462</v>
      </c>
      <c r="E453" s="1899"/>
      <c r="F453" s="1899"/>
    </row>
    <row r="454" spans="1:7">
      <c r="D454" s="2002" t="s">
        <v>1461</v>
      </c>
      <c r="E454" s="2002"/>
      <c r="F454" s="2002"/>
    </row>
    <row r="455" spans="1:7">
      <c r="D455" s="2002"/>
      <c r="E455" s="2002"/>
      <c r="F455" s="2002"/>
    </row>
    <row r="456" spans="1:7">
      <c r="D456" s="2002"/>
      <c r="E456" s="2002"/>
      <c r="F456" s="2002"/>
    </row>
    <row r="457" spans="1:7">
      <c r="D457" s="801"/>
      <c r="E457" s="801"/>
      <c r="F457" s="801"/>
      <c r="G457" s="791"/>
    </row>
    <row r="458" spans="1:7" ht="14.25">
      <c r="A458" s="798"/>
      <c r="B458" s="799" t="s">
        <v>2537</v>
      </c>
      <c r="C458" s="830"/>
      <c r="D458" s="1907" t="s">
        <v>1325</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25">
      <c r="B462" s="799" t="s">
        <v>2537</v>
      </c>
      <c r="C462" s="798"/>
      <c r="D462" s="2002" t="s">
        <v>1408</v>
      </c>
      <c r="E462" s="2002"/>
      <c r="F462" s="2002"/>
      <c r="G462" s="791"/>
    </row>
    <row r="463" spans="1:7">
      <c r="D463" s="2002"/>
      <c r="E463" s="2002"/>
      <c r="F463" s="2002"/>
      <c r="G463" s="791"/>
    </row>
    <row r="464" spans="1:7">
      <c r="D464" s="801"/>
      <c r="E464" s="801"/>
      <c r="F464" s="801"/>
      <c r="G464" s="791"/>
    </row>
    <row r="465" spans="1:7" ht="14.25">
      <c r="B465" s="799" t="s">
        <v>2537</v>
      </c>
      <c r="C465" s="798"/>
      <c r="D465" s="2002" t="s">
        <v>1327</v>
      </c>
      <c r="E465" s="2002"/>
      <c r="F465" s="2002"/>
      <c r="G465" s="791"/>
    </row>
    <row r="466" spans="1:7">
      <c r="D466" s="2002"/>
      <c r="E466" s="2002"/>
      <c r="F466" s="2002"/>
      <c r="G466" s="791"/>
    </row>
    <row r="467" spans="1:7">
      <c r="D467" s="2002"/>
      <c r="E467" s="2002"/>
      <c r="F467" s="2002"/>
      <c r="G467" s="791"/>
    </row>
    <row r="468" spans="1:7">
      <c r="D468" s="2002"/>
      <c r="E468" s="2002"/>
      <c r="F468" s="2002"/>
      <c r="G468" s="791"/>
    </row>
    <row r="469" spans="1:7">
      <c r="B469" s="799" t="s">
        <v>2537</v>
      </c>
      <c r="D469" s="2002"/>
      <c r="E469" s="2002"/>
      <c r="F469" s="2002"/>
      <c r="G469" s="791"/>
    </row>
    <row r="470" spans="1:7">
      <c r="A470" s="791"/>
      <c r="B470" s="791"/>
      <c r="C470" s="791"/>
      <c r="D470" s="2002"/>
      <c r="E470" s="2002"/>
      <c r="F470" s="2002"/>
      <c r="G470" s="791"/>
    </row>
    <row r="471" spans="1:7">
      <c r="A471" s="791"/>
      <c r="C471" s="791"/>
      <c r="D471" s="2002"/>
      <c r="E471" s="2002"/>
      <c r="F471" s="2002"/>
      <c r="G471" s="791"/>
    </row>
    <row r="472" spans="1:7">
      <c r="A472" s="791"/>
      <c r="B472" s="799" t="s">
        <v>2537</v>
      </c>
      <c r="C472" s="791"/>
      <c r="D472" s="2002"/>
      <c r="E472" s="2002"/>
      <c r="F472" s="2002"/>
      <c r="G472" s="791"/>
    </row>
    <row r="473" spans="1:7">
      <c r="A473" s="791"/>
      <c r="B473" s="791"/>
      <c r="C473" s="791"/>
      <c r="D473" s="2002"/>
      <c r="E473" s="2002"/>
      <c r="F473" s="2002"/>
      <c r="G473" s="791"/>
    </row>
    <row r="474" spans="1:7">
      <c r="A474" s="791"/>
      <c r="C474" s="791"/>
      <c r="D474" s="2002"/>
      <c r="E474" s="2002"/>
      <c r="F474" s="2002"/>
      <c r="G474" s="791"/>
    </row>
    <row r="475" spans="1:7">
      <c r="A475" s="791"/>
      <c r="C475" s="791"/>
      <c r="D475" s="2002"/>
      <c r="E475" s="2002"/>
      <c r="F475" s="2002"/>
      <c r="G475" s="791"/>
    </row>
    <row r="476" spans="1:7">
      <c r="A476" s="791"/>
      <c r="B476" s="799" t="s">
        <v>2537</v>
      </c>
      <c r="C476" s="791"/>
      <c r="D476" s="2002"/>
      <c r="E476" s="2002"/>
      <c r="F476" s="2002"/>
      <c r="G476" s="791"/>
    </row>
    <row r="477" spans="1:7">
      <c r="A477" s="791"/>
      <c r="B477" s="791"/>
      <c r="C477" s="791"/>
      <c r="D477" s="2002"/>
      <c r="E477" s="2002"/>
      <c r="F477" s="2002"/>
      <c r="G477" s="791"/>
    </row>
    <row r="478" spans="1:7">
      <c r="A478" s="791"/>
      <c r="B478" s="799" t="s">
        <v>2537</v>
      </c>
      <c r="C478" s="791"/>
      <c r="D478" s="2002"/>
      <c r="E478" s="2002"/>
      <c r="F478" s="2002"/>
      <c r="G478" s="791"/>
    </row>
    <row r="479" spans="1:7">
      <c r="A479" s="791"/>
      <c r="B479" s="791"/>
      <c r="C479" s="791"/>
      <c r="D479" s="833"/>
      <c r="E479" s="833"/>
      <c r="F479" s="833"/>
      <c r="G479" s="791"/>
    </row>
    <row r="480" spans="1:7">
      <c r="A480" s="791"/>
      <c r="B480" s="799" t="s">
        <v>2537</v>
      </c>
      <c r="C480" s="791"/>
      <c r="D480" s="2002" t="s">
        <v>1328</v>
      </c>
      <c r="E480" s="2002"/>
      <c r="F480" s="2002"/>
      <c r="G480" s="791"/>
    </row>
    <row r="481" spans="1:7">
      <c r="A481" s="791"/>
      <c r="B481" s="791"/>
      <c r="C481" s="791"/>
      <c r="D481" s="2002"/>
      <c r="E481" s="2002"/>
      <c r="F481" s="2002"/>
      <c r="G481" s="791"/>
    </row>
    <row r="482" spans="1:7">
      <c r="A482" s="791"/>
      <c r="B482" s="791"/>
      <c r="C482" s="791"/>
      <c r="D482" s="2002"/>
      <c r="E482" s="2002"/>
      <c r="F482" s="2002"/>
      <c r="G482" s="791"/>
    </row>
    <row r="483" spans="1:7">
      <c r="A483" s="791"/>
      <c r="B483" s="791"/>
      <c r="C483" s="791"/>
      <c r="D483" s="2002"/>
      <c r="E483" s="2002"/>
      <c r="F483" s="2002"/>
      <c r="G483" s="791"/>
    </row>
    <row r="484" spans="1:7">
      <c r="D484" s="2002"/>
      <c r="E484" s="2002"/>
      <c r="F484" s="2002"/>
    </row>
    <row r="485" spans="1:7">
      <c r="D485" s="801"/>
      <c r="E485" s="801"/>
      <c r="F485" s="801"/>
    </row>
    <row r="486" spans="1:7">
      <c r="B486" s="799" t="s">
        <v>2537</v>
      </c>
      <c r="D486" s="2005" t="s">
        <v>1329</v>
      </c>
      <c r="E486" s="2005"/>
      <c r="F486" s="2005"/>
    </row>
    <row r="487" spans="1:7">
      <c r="A487" s="801"/>
      <c r="B487" s="801"/>
    </row>
    <row r="488" spans="1:7">
      <c r="A488" s="1889" t="s">
        <v>1170</v>
      </c>
      <c r="B488" s="1889"/>
      <c r="C488" s="1889"/>
      <c r="D488" s="1889"/>
      <c r="E488" s="1889"/>
      <c r="F488" s="1889"/>
      <c r="G488" s="1889"/>
    </row>
    <row r="489" spans="1:7">
      <c r="A489" s="801"/>
      <c r="B489" s="801"/>
    </row>
    <row r="490" spans="1:7">
      <c r="D490" s="1885" t="s">
        <v>950</v>
      </c>
      <c r="E490" s="1885"/>
      <c r="F490" s="1885"/>
    </row>
    <row r="491" spans="1:7" s="792" customFormat="1" ht="14.25">
      <c r="A491" s="806"/>
      <c r="B491" s="806"/>
      <c r="C491" s="802"/>
      <c r="D491" s="1886" t="s">
        <v>1330</v>
      </c>
      <c r="E491" s="1886"/>
      <c r="F491" s="1886"/>
      <c r="G491" s="803"/>
    </row>
    <row r="492" spans="1:7" s="792" customFormat="1" ht="14.25">
      <c r="A492" s="806"/>
      <c r="B492" s="806"/>
      <c r="C492" s="802"/>
      <c r="D492" s="788"/>
      <c r="E492" s="673"/>
      <c r="F492" s="673"/>
      <c r="G492" s="803"/>
    </row>
    <row r="493" spans="1:7" s="792" customFormat="1" ht="14.25">
      <c r="A493" s="798"/>
      <c r="B493" s="799" t="s">
        <v>2537</v>
      </c>
      <c r="C493" s="802"/>
      <c r="D493" s="1887" t="s">
        <v>1331</v>
      </c>
      <c r="E493" s="1887"/>
      <c r="F493" s="1887"/>
      <c r="G493" s="803"/>
    </row>
    <row r="494" spans="1:7" s="792" customFormat="1" ht="14.25">
      <c r="A494" s="798"/>
      <c r="B494" s="798"/>
      <c r="C494" s="802"/>
      <c r="D494" s="1887"/>
      <c r="E494" s="1887"/>
      <c r="F494" s="1887"/>
      <c r="G494" s="803"/>
    </row>
    <row r="495" spans="1:7" s="792" customFormat="1" ht="14.25">
      <c r="A495" s="798"/>
      <c r="B495" s="798"/>
      <c r="C495" s="802"/>
      <c r="D495" s="786"/>
      <c r="E495" s="673"/>
      <c r="F495" s="673"/>
      <c r="G495" s="803"/>
    </row>
    <row r="496" spans="1:7" ht="12.75" customHeight="1">
      <c r="B496" s="799" t="s">
        <v>2537</v>
      </c>
      <c r="D496" s="1888" t="s">
        <v>1517</v>
      </c>
      <c r="E496" s="1888"/>
      <c r="F496" s="1888"/>
    </row>
    <row r="497" spans="1:7" ht="14.25">
      <c r="A497" s="798"/>
      <c r="D497" s="1888"/>
      <c r="E497" s="1888"/>
      <c r="F497" s="1888"/>
    </row>
    <row r="498" spans="1:7" ht="14.25">
      <c r="A498" s="798"/>
      <c r="B498" s="798"/>
      <c r="D498" s="1888"/>
      <c r="E498" s="1888"/>
      <c r="F498" s="1888"/>
    </row>
    <row r="499" spans="1:7" ht="14.25">
      <c r="A499" s="798"/>
      <c r="B499" s="798"/>
      <c r="D499" s="1888"/>
      <c r="E499" s="1888"/>
      <c r="F499" s="1888"/>
    </row>
    <row r="500" spans="1:7" ht="14.25">
      <c r="A500" s="798"/>
      <c r="D500" s="895"/>
      <c r="E500" s="895"/>
      <c r="F500" s="895"/>
      <c r="G500" s="791"/>
    </row>
    <row r="501" spans="1:7" ht="14.25">
      <c r="A501" s="798"/>
      <c r="B501" s="799" t="s">
        <v>2537</v>
      </c>
      <c r="D501" s="1909" t="s">
        <v>1334</v>
      </c>
      <c r="E501" s="1909"/>
      <c r="F501" s="1909"/>
      <c r="G501" s="791"/>
    </row>
    <row r="502" spans="1:7" ht="14.25">
      <c r="A502" s="798"/>
      <c r="B502" s="798"/>
      <c r="D502" s="786"/>
      <c r="E502" s="673"/>
      <c r="F502" s="673"/>
      <c r="G502" s="791"/>
    </row>
    <row r="503" spans="1:7" ht="14.25">
      <c r="A503" s="798"/>
      <c r="B503" s="799" t="s">
        <v>2537</v>
      </c>
      <c r="D503" s="1907" t="s">
        <v>1335</v>
      </c>
      <c r="E503" s="1907"/>
      <c r="F503" s="1907"/>
      <c r="G503" s="791"/>
    </row>
    <row r="504" spans="1:7" ht="14.25">
      <c r="A504" s="798"/>
      <c r="D504" s="1907"/>
      <c r="E504" s="1907"/>
      <c r="F504" s="1907"/>
      <c r="G504" s="791"/>
    </row>
    <row r="505" spans="1:7">
      <c r="A505" s="817"/>
      <c r="B505" s="817"/>
      <c r="D505" s="734"/>
      <c r="E505" s="673"/>
      <c r="F505" s="673"/>
      <c r="G505" s="791"/>
    </row>
    <row r="506" spans="1:7">
      <c r="A506" s="817"/>
      <c r="B506" s="799" t="s">
        <v>2537</v>
      </c>
      <c r="D506" s="1909" t="s">
        <v>1336</v>
      </c>
      <c r="E506" s="1909"/>
      <c r="F506" s="1909"/>
      <c r="G506" s="791"/>
    </row>
    <row r="507" spans="1:7" ht="14.25">
      <c r="A507" s="798"/>
      <c r="B507" s="798"/>
      <c r="D507" s="801"/>
    </row>
    <row r="508" spans="1:7">
      <c r="A508" s="1889" t="s">
        <v>1171</v>
      </c>
      <c r="B508" s="1889"/>
      <c r="C508" s="1889"/>
      <c r="D508" s="1889"/>
      <c r="E508" s="1889"/>
      <c r="F508" s="1889"/>
      <c r="G508" s="1889"/>
    </row>
    <row r="509" spans="1:7" s="723" customFormat="1" ht="12" customHeight="1">
      <c r="A509" s="798"/>
      <c r="B509" s="798"/>
      <c r="C509" s="805"/>
      <c r="D509" s="786"/>
      <c r="E509" s="673"/>
      <c r="F509" s="673"/>
      <c r="G509" s="673"/>
    </row>
    <row r="510" spans="1:7" s="723" customFormat="1">
      <c r="A510" s="802"/>
      <c r="B510" s="802"/>
      <c r="C510" s="834"/>
      <c r="D510" s="2017" t="s">
        <v>853</v>
      </c>
      <c r="E510" s="2017"/>
      <c r="F510" s="2017"/>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2538</v>
      </c>
      <c r="C514" s="800"/>
      <c r="D514" s="1881" t="s">
        <v>2280</v>
      </c>
      <c r="E514" s="1881"/>
      <c r="F514" s="1881"/>
      <c r="G514" s="673"/>
    </row>
    <row r="515" spans="1:7" s="723" customFormat="1">
      <c r="A515" s="796"/>
      <c r="B515" s="796"/>
      <c r="C515" s="800"/>
      <c r="D515" s="1881"/>
      <c r="E515" s="1881"/>
      <c r="F515" s="1881"/>
      <c r="G515" s="673"/>
    </row>
    <row r="516" spans="1:7" s="723" customFormat="1">
      <c r="A516" s="796"/>
      <c r="B516" s="796"/>
      <c r="C516" s="800"/>
      <c r="D516" s="1712"/>
      <c r="E516" s="1712"/>
      <c r="F516" s="1712"/>
      <c r="G516" s="673"/>
    </row>
    <row r="517" spans="1:7" s="723" customFormat="1">
      <c r="A517" s="796"/>
      <c r="B517" s="799" t="s">
        <v>2537</v>
      </c>
      <c r="C517" s="805"/>
      <c r="D517" s="1881" t="s">
        <v>1209</v>
      </c>
      <c r="E517" s="1881"/>
      <c r="F517" s="1881"/>
      <c r="G517" s="673"/>
    </row>
    <row r="518" spans="1:7" s="723" customFormat="1">
      <c r="A518" s="796"/>
      <c r="B518" s="796"/>
      <c r="C518" s="805"/>
      <c r="D518" s="1881"/>
      <c r="E518" s="1881"/>
      <c r="F518" s="1881"/>
      <c r="G518" s="673"/>
    </row>
    <row r="519" spans="1:7" s="723" customFormat="1">
      <c r="A519" s="796"/>
      <c r="B519" s="796"/>
      <c r="C519" s="800"/>
      <c r="D519" s="1881"/>
      <c r="E519" s="1881"/>
      <c r="F519" s="1881"/>
      <c r="G519" s="673"/>
    </row>
    <row r="520" spans="1:7" s="723" customFormat="1">
      <c r="A520" s="796"/>
      <c r="B520" s="796"/>
      <c r="C520" s="800"/>
      <c r="D520" s="835"/>
      <c r="E520" s="673"/>
      <c r="F520" s="786"/>
      <c r="G520" s="673"/>
    </row>
    <row r="521" spans="1:7" s="723" customFormat="1" ht="13.15" customHeight="1">
      <c r="A521" s="796"/>
      <c r="B521" s="799" t="s">
        <v>2537</v>
      </c>
      <c r="C521" s="800"/>
      <c r="D521" s="1987" t="s">
        <v>1235</v>
      </c>
      <c r="E521" s="1987"/>
      <c r="F521" s="1987"/>
      <c r="G521" s="673"/>
    </row>
    <row r="522" spans="1:7" s="723" customFormat="1">
      <c r="A522" s="796"/>
      <c r="B522" s="796"/>
      <c r="C522" s="800"/>
      <c r="D522" s="1987"/>
      <c r="E522" s="1987"/>
      <c r="F522" s="1987"/>
      <c r="G522" s="673"/>
    </row>
    <row r="523" spans="1:7" s="723" customFormat="1" ht="12" customHeight="1">
      <c r="A523" s="801"/>
      <c r="B523" s="801"/>
      <c r="C523" s="809"/>
      <c r="D523" s="801"/>
      <c r="E523" s="673"/>
      <c r="F523" s="837"/>
      <c r="G523" s="673"/>
    </row>
    <row r="524" spans="1:7">
      <c r="A524" s="1889" t="s">
        <v>1172</v>
      </c>
      <c r="B524" s="1889"/>
      <c r="C524" s="1889"/>
      <c r="D524" s="1889"/>
      <c r="E524" s="1889"/>
      <c r="F524" s="1889"/>
      <c r="G524" s="1889"/>
    </row>
    <row r="525" spans="1:7">
      <c r="A525" s="801"/>
      <c r="B525" s="801"/>
      <c r="C525" s="830"/>
      <c r="F525" s="838"/>
    </row>
    <row r="526" spans="1:7">
      <c r="B526" s="1985" t="s">
        <v>470</v>
      </c>
      <c r="C526" s="1985"/>
      <c r="D526" s="1985"/>
      <c r="E526" s="1985"/>
      <c r="F526" s="1985"/>
    </row>
    <row r="527" spans="1:7">
      <c r="A527" s="801"/>
      <c r="B527" s="801"/>
      <c r="C527" s="830"/>
      <c r="D527" s="801"/>
      <c r="F527" s="801"/>
    </row>
    <row r="528" spans="1:7">
      <c r="A528" s="1939" t="s">
        <v>1173</v>
      </c>
      <c r="B528" s="1939"/>
      <c r="C528" s="1939"/>
      <c r="D528" s="1939"/>
      <c r="E528" s="1939"/>
      <c r="F528" s="1939"/>
      <c r="G528" s="1939"/>
    </row>
    <row r="529" spans="1:7">
      <c r="A529" s="801"/>
      <c r="B529" s="801"/>
      <c r="C529" s="830"/>
      <c r="D529" s="801"/>
      <c r="F529" s="801"/>
    </row>
    <row r="530" spans="1:7">
      <c r="C530" s="830"/>
      <c r="D530" s="1906" t="s">
        <v>720</v>
      </c>
      <c r="E530" s="1906"/>
      <c r="F530" s="1906"/>
    </row>
    <row r="531" spans="1:7">
      <c r="C531" s="830"/>
      <c r="D531" s="1909" t="s">
        <v>1230</v>
      </c>
      <c r="E531" s="1909"/>
      <c r="F531" s="1909"/>
    </row>
    <row r="532" spans="1:7">
      <c r="C532" s="830"/>
      <c r="D532" s="786"/>
      <c r="E532" s="786"/>
      <c r="F532" s="786"/>
    </row>
    <row r="533" spans="1:7" ht="13.7" customHeight="1">
      <c r="A533" s="798"/>
      <c r="B533" s="799" t="s">
        <v>2538</v>
      </c>
      <c r="C533" s="830"/>
      <c r="D533" s="1909" t="s">
        <v>951</v>
      </c>
      <c r="E533" s="1909"/>
      <c r="F533" s="1909"/>
      <c r="G533" s="791"/>
    </row>
    <row r="534" spans="1:7" ht="13.7" customHeight="1">
      <c r="A534" s="830"/>
      <c r="B534" s="830"/>
      <c r="C534" s="830"/>
      <c r="D534" s="786"/>
      <c r="E534" s="619"/>
      <c r="F534" s="619"/>
      <c r="G534" s="791"/>
    </row>
    <row r="535" spans="1:7" ht="14.25">
      <c r="A535" s="798"/>
      <c r="B535" s="799" t="s">
        <v>2538</v>
      </c>
      <c r="C535" s="830"/>
      <c r="D535" s="1907" t="s">
        <v>1231</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25">
      <c r="A538" s="798"/>
      <c r="B538" s="799" t="s">
        <v>2538</v>
      </c>
      <c r="C538" s="830"/>
      <c r="D538" s="1907" t="s">
        <v>1232</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25">
      <c r="A541" s="798"/>
      <c r="B541" s="799" t="s">
        <v>2538</v>
      </c>
      <c r="C541" s="830"/>
      <c r="D541" s="1907" t="s">
        <v>1233</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25">
      <c r="A544" s="798"/>
      <c r="B544" s="799" t="s">
        <v>2538</v>
      </c>
      <c r="C544" s="830"/>
      <c r="D544" s="1907" t="s">
        <v>1234</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25">
      <c r="A548" s="798"/>
      <c r="B548" s="799" t="s">
        <v>2537</v>
      </c>
      <c r="C548" s="830"/>
      <c r="D548" s="1987" t="s">
        <v>1352</v>
      </c>
      <c r="E548" s="1987"/>
      <c r="F548" s="1987"/>
    </row>
    <row r="549" spans="1:7">
      <c r="A549" s="830"/>
      <c r="B549" s="830"/>
      <c r="C549" s="830"/>
      <c r="D549" s="1987"/>
      <c r="E549" s="1987"/>
      <c r="F549" s="1987"/>
    </row>
    <row r="550" spans="1:7">
      <c r="A550" s="830"/>
      <c r="B550" s="830"/>
      <c r="C550" s="830"/>
      <c r="D550" s="801"/>
      <c r="E550" s="801"/>
      <c r="F550" s="801"/>
    </row>
    <row r="551" spans="1:7" ht="14.25">
      <c r="A551" s="798"/>
      <c r="B551" s="799" t="s">
        <v>2537</v>
      </c>
      <c r="C551" s="830"/>
      <c r="D551" s="1907" t="s">
        <v>1236</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25">
      <c r="A554" s="798"/>
      <c r="B554" s="799" t="s">
        <v>2538</v>
      </c>
      <c r="C554" s="830"/>
      <c r="D554" s="1909" t="s">
        <v>1237</v>
      </c>
      <c r="E554" s="1909"/>
      <c r="F554" s="1909"/>
      <c r="G554" s="820"/>
    </row>
    <row r="555" spans="1:7">
      <c r="A555" s="817"/>
      <c r="B555" s="817"/>
      <c r="C555" s="830"/>
      <c r="D555" s="1909" t="s">
        <v>883</v>
      </c>
      <c r="E555" s="1909"/>
      <c r="F555" s="1909"/>
      <c r="G555" s="820"/>
    </row>
    <row r="556" spans="1:7">
      <c r="A556" s="817"/>
      <c r="B556" s="817"/>
      <c r="C556" s="830"/>
      <c r="D556" s="673"/>
      <c r="E556" s="1986" t="s">
        <v>1238</v>
      </c>
      <c r="F556" s="1986"/>
      <c r="G556" s="820"/>
    </row>
    <row r="557" spans="1:7" ht="14.25">
      <c r="A557" s="798"/>
      <c r="B557" s="798"/>
      <c r="C557" s="830"/>
      <c r="E557" s="801"/>
      <c r="F557" s="801"/>
      <c r="G557" s="820"/>
    </row>
    <row r="558" spans="1:7" ht="14.25">
      <c r="A558" s="798"/>
      <c r="B558" s="799" t="s">
        <v>2538</v>
      </c>
      <c r="C558" s="830"/>
      <c r="D558" s="2014" t="s">
        <v>1239</v>
      </c>
      <c r="E558" s="2014"/>
      <c r="F558" s="2014"/>
      <c r="G558" s="820"/>
    </row>
    <row r="559" spans="1:7">
      <c r="C559" s="830"/>
      <c r="D559" s="1907" t="s">
        <v>1240</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25">
      <c r="A563" s="798"/>
      <c r="B563" s="799" t="s">
        <v>2538</v>
      </c>
      <c r="C563" s="830"/>
      <c r="D563" s="1907" t="s">
        <v>1241</v>
      </c>
      <c r="E563" s="1907"/>
      <c r="F563" s="1907"/>
      <c r="G563" s="820"/>
    </row>
    <row r="564" spans="1:7" ht="14.25">
      <c r="A564" s="798"/>
      <c r="B564" s="798"/>
      <c r="C564" s="830"/>
      <c r="D564" s="1907"/>
      <c r="E564" s="1907"/>
      <c r="F564" s="1907"/>
      <c r="G564" s="820"/>
    </row>
    <row r="565" spans="1:7" ht="14.25">
      <c r="A565" s="798"/>
      <c r="B565" s="798"/>
      <c r="C565" s="830"/>
      <c r="D565" s="1907"/>
      <c r="E565" s="1907"/>
      <c r="F565" s="1907"/>
      <c r="G565" s="820"/>
    </row>
    <row r="566" spans="1:7" ht="14.25">
      <c r="A566" s="798"/>
      <c r="B566" s="798"/>
      <c r="C566" s="830"/>
      <c r="D566" s="1907"/>
      <c r="E566" s="1907"/>
      <c r="F566" s="1907"/>
      <c r="G566" s="820"/>
    </row>
    <row r="567" spans="1:7" ht="14.25">
      <c r="A567" s="798"/>
      <c r="B567" s="798"/>
      <c r="C567" s="830"/>
      <c r="D567" s="801"/>
      <c r="E567" s="801"/>
      <c r="F567" s="801"/>
      <c r="G567" s="820"/>
    </row>
    <row r="568" spans="1:7">
      <c r="A568" s="1889" t="s">
        <v>1174</v>
      </c>
      <c r="B568" s="1889"/>
      <c r="C568" s="1889"/>
      <c r="D568" s="1889"/>
      <c r="E568" s="1889"/>
      <c r="F568" s="1889"/>
      <c r="G568" s="1889"/>
    </row>
    <row r="569" spans="1:7">
      <c r="A569" s="830"/>
      <c r="B569" s="830"/>
      <c r="C569" s="830"/>
      <c r="E569" s="801"/>
      <c r="F569" s="801"/>
      <c r="G569" s="820"/>
    </row>
    <row r="570" spans="1:7" ht="12.75" customHeight="1">
      <c r="C570" s="794"/>
      <c r="D570" s="1984" t="s">
        <v>216</v>
      </c>
      <c r="E570" s="1984"/>
      <c r="F570" s="1984"/>
      <c r="G570" s="820"/>
    </row>
    <row r="571" spans="1:7">
      <c r="A571" s="796"/>
      <c r="B571" s="796"/>
      <c r="C571" s="796"/>
      <c r="D571" s="1912" t="s">
        <v>1190</v>
      </c>
      <c r="E571" s="1912"/>
      <c r="F571" s="1912"/>
      <c r="G571" s="820"/>
    </row>
    <row r="572" spans="1:7">
      <c r="A572" s="791"/>
      <c r="B572" s="791"/>
      <c r="C572" s="796"/>
      <c r="D572" s="839"/>
      <c r="G572" s="820"/>
    </row>
    <row r="573" spans="1:7">
      <c r="A573" s="796"/>
      <c r="B573" s="799" t="s">
        <v>2538</v>
      </c>
      <c r="D573" s="1912" t="s">
        <v>957</v>
      </c>
      <c r="E573" s="1912"/>
      <c r="F573" s="1912"/>
      <c r="G573" s="820"/>
    </row>
    <row r="574" spans="1:7">
      <c r="A574" s="817"/>
      <c r="B574" s="817"/>
      <c r="D574" s="815"/>
    </row>
    <row r="575" spans="1:7">
      <c r="A575" s="817"/>
      <c r="B575" s="799" t="s">
        <v>2538</v>
      </c>
      <c r="D575" s="1888" t="s">
        <v>1191</v>
      </c>
      <c r="E575" s="1888"/>
      <c r="F575" s="1888"/>
    </row>
    <row r="576" spans="1:7">
      <c r="A576" s="817"/>
      <c r="B576" s="817"/>
      <c r="D576" s="1888"/>
      <c r="E576" s="1888"/>
      <c r="F576" s="1888"/>
      <c r="G576" s="791"/>
    </row>
    <row r="577" spans="1:7">
      <c r="A577" s="817"/>
      <c r="B577" s="817"/>
      <c r="D577" s="1888"/>
      <c r="E577" s="1888"/>
      <c r="F577" s="1888"/>
      <c r="G577" s="791"/>
    </row>
    <row r="578" spans="1:7">
      <c r="A578" s="817"/>
      <c r="B578" s="817"/>
      <c r="D578" s="1888"/>
      <c r="E578" s="1888"/>
      <c r="F578" s="1888"/>
      <c r="G578" s="791"/>
    </row>
    <row r="579" spans="1:7">
      <c r="A579" s="817"/>
      <c r="B579" s="799" t="s">
        <v>2537</v>
      </c>
      <c r="D579" s="1888" t="s">
        <v>1192</v>
      </c>
      <c r="E579" s="1888"/>
      <c r="F579" s="1888"/>
      <c r="G579" s="791"/>
    </row>
    <row r="580" spans="1:7">
      <c r="A580" s="817"/>
      <c r="B580" s="817"/>
      <c r="D580" s="1888"/>
      <c r="E580" s="1888"/>
      <c r="F580" s="1888"/>
      <c r="G580" s="791"/>
    </row>
    <row r="581" spans="1:7">
      <c r="A581" s="817"/>
      <c r="B581" s="817"/>
      <c r="D581" s="1888"/>
      <c r="E581" s="1888"/>
      <c r="F581" s="1888"/>
      <c r="G581" s="791"/>
    </row>
    <row r="582" spans="1:7">
      <c r="A582" s="817"/>
      <c r="B582" s="817"/>
      <c r="D582" s="1888"/>
      <c r="E582" s="1888"/>
      <c r="F582" s="1888"/>
      <c r="G582" s="791"/>
    </row>
    <row r="583" spans="1:7">
      <c r="A583" s="817"/>
      <c r="B583" s="817"/>
      <c r="D583" s="784"/>
      <c r="E583" s="784"/>
      <c r="F583" s="784"/>
      <c r="G583" s="791"/>
    </row>
    <row r="584" spans="1:7">
      <c r="A584" s="817"/>
      <c r="B584" s="799" t="s">
        <v>2538</v>
      </c>
      <c r="D584" s="1888" t="s">
        <v>1193</v>
      </c>
      <c r="E584" s="1888"/>
      <c r="F584" s="1888"/>
      <c r="G584" s="791"/>
    </row>
    <row r="585" spans="1:7">
      <c r="A585" s="817"/>
      <c r="B585" s="817"/>
      <c r="D585" s="1888"/>
      <c r="E585" s="1888"/>
      <c r="F585" s="1888"/>
      <c r="G585" s="791"/>
    </row>
    <row r="586" spans="1:7">
      <c r="A586" s="817"/>
      <c r="B586" s="817"/>
      <c r="D586" s="839"/>
      <c r="G586" s="791"/>
    </row>
    <row r="587" spans="1:7">
      <c r="A587" s="817"/>
      <c r="B587" s="799" t="s">
        <v>2537</v>
      </c>
      <c r="D587" s="1912" t="s">
        <v>1194</v>
      </c>
      <c r="E587" s="1912"/>
      <c r="F587" s="1912"/>
      <c r="G587" s="791"/>
    </row>
    <row r="588" spans="1:7">
      <c r="A588" s="817"/>
      <c r="B588" s="817"/>
      <c r="D588" s="1912"/>
      <c r="E588" s="1912"/>
      <c r="F588" s="1912"/>
      <c r="G588" s="791"/>
    </row>
    <row r="589" spans="1:7">
      <c r="A589" s="817"/>
      <c r="B589" s="817"/>
      <c r="D589" s="839"/>
      <c r="G589" s="791"/>
    </row>
    <row r="590" spans="1:7" ht="14.25">
      <c r="A590" s="798"/>
      <c r="B590" s="799" t="s">
        <v>2538</v>
      </c>
      <c r="D590" s="1912" t="s">
        <v>952</v>
      </c>
      <c r="E590" s="1912"/>
      <c r="F590" s="1912"/>
      <c r="G590" s="791"/>
    </row>
    <row r="591" spans="1:7" ht="14.25">
      <c r="A591" s="798"/>
      <c r="B591" s="798"/>
      <c r="D591" s="839"/>
      <c r="G591" s="791"/>
    </row>
    <row r="592" spans="1:7">
      <c r="A592" s="1889" t="s">
        <v>1175</v>
      </c>
      <c r="B592" s="1889"/>
      <c r="C592" s="1889"/>
      <c r="D592" s="1889"/>
      <c r="E592" s="1889"/>
      <c r="F592" s="1889"/>
      <c r="G592" s="1889"/>
    </row>
    <row r="593" spans="1:7"/>
    <row r="594" spans="1:7">
      <c r="D594" s="1906" t="s">
        <v>1275</v>
      </c>
      <c r="E594" s="1906"/>
      <c r="F594" s="1906"/>
    </row>
    <row r="595" spans="1:7">
      <c r="D595" s="1945" t="s">
        <v>1276</v>
      </c>
      <c r="E595" s="1945"/>
      <c r="F595" s="1945"/>
    </row>
    <row r="596" spans="1:7">
      <c r="D596" s="781"/>
      <c r="E596" s="723"/>
      <c r="F596" s="723"/>
    </row>
    <row r="597" spans="1:7" s="792" customFormat="1" ht="14.25">
      <c r="A597" s="806"/>
      <c r="B597" s="799" t="s">
        <v>2538</v>
      </c>
      <c r="C597" s="802"/>
      <c r="D597" s="1908" t="s">
        <v>1277</v>
      </c>
      <c r="E597" s="1908"/>
      <c r="F597" s="1908"/>
      <c r="G597" s="803"/>
    </row>
    <row r="598" spans="1:7">
      <c r="D598" s="1908"/>
      <c r="E598" s="1908"/>
      <c r="F598" s="1908"/>
    </row>
    <row r="599" spans="1:7">
      <c r="D599" s="1908"/>
      <c r="E599" s="1908"/>
      <c r="F599" s="1908"/>
    </row>
    <row r="600" spans="1:7"/>
    <row r="601" spans="1:7">
      <c r="A601" s="1889" t="s">
        <v>1176</v>
      </c>
      <c r="B601" s="1889"/>
      <c r="C601" s="1889"/>
      <c r="D601" s="1889"/>
      <c r="E601" s="1889"/>
      <c r="F601" s="1889"/>
      <c r="G601" s="1889"/>
    </row>
    <row r="602" spans="1:7">
      <c r="A602" s="801"/>
      <c r="B602" s="801"/>
      <c r="G602" s="820"/>
    </row>
    <row r="603" spans="1:7">
      <c r="A603" s="840"/>
      <c r="B603" s="840"/>
      <c r="C603" s="794"/>
      <c r="D603" s="1946" t="s">
        <v>1278</v>
      </c>
      <c r="E603" s="1946"/>
      <c r="F603" s="1946"/>
      <c r="G603" s="820"/>
    </row>
    <row r="604" spans="1:7">
      <c r="A604" s="840"/>
      <c r="B604" s="840"/>
      <c r="C604" s="794"/>
      <c r="D604" s="1946"/>
      <c r="E604" s="1946"/>
      <c r="F604" s="1946"/>
      <c r="G604" s="820"/>
    </row>
    <row r="605" spans="1:7">
      <c r="C605" s="796"/>
      <c r="D605" s="1945" t="s">
        <v>1279</v>
      </c>
      <c r="E605" s="1945"/>
      <c r="F605" s="1945"/>
      <c r="G605" s="820"/>
    </row>
    <row r="606" spans="1:7">
      <c r="C606" s="796"/>
      <c r="D606" s="781"/>
      <c r="E606" s="781"/>
      <c r="F606" s="781"/>
      <c r="G606" s="820"/>
    </row>
    <row r="607" spans="1:7">
      <c r="A607" s="817"/>
      <c r="B607" s="799" t="s">
        <v>2538</v>
      </c>
      <c r="D607" s="1945" t="s">
        <v>454</v>
      </c>
      <c r="E607" s="1945"/>
      <c r="F607" s="1945"/>
      <c r="G607" s="820"/>
    </row>
    <row r="608" spans="1:7">
      <c r="C608" s="841"/>
      <c r="E608" s="791"/>
      <c r="G608" s="820"/>
    </row>
    <row r="609" spans="1:7">
      <c r="A609" s="817"/>
      <c r="B609" s="799" t="s">
        <v>2538</v>
      </c>
      <c r="D609" s="1905" t="s">
        <v>1280</v>
      </c>
      <c r="E609" s="1905"/>
      <c r="F609" s="1905"/>
      <c r="G609" s="820"/>
    </row>
    <row r="610" spans="1:7">
      <c r="D610" s="1905"/>
      <c r="E610" s="1905"/>
      <c r="F610" s="1905"/>
      <c r="G610" s="820"/>
    </row>
    <row r="611" spans="1:7">
      <c r="D611" s="791"/>
      <c r="G611" s="820"/>
    </row>
    <row r="612" spans="1:7">
      <c r="B612" s="799" t="s">
        <v>2538</v>
      </c>
      <c r="D612" s="1905" t="s">
        <v>1281</v>
      </c>
      <c r="E612" s="1905"/>
      <c r="F612" s="1905"/>
      <c r="G612" s="820"/>
    </row>
    <row r="613" spans="1:7">
      <c r="C613" s="841"/>
      <c r="D613" s="1905"/>
      <c r="E613" s="1905"/>
      <c r="F613" s="1905"/>
      <c r="G613" s="820"/>
    </row>
    <row r="614" spans="1:7">
      <c r="C614" s="841"/>
      <c r="G614" s="820"/>
    </row>
    <row r="615" spans="1:7">
      <c r="B615" s="799" t="s">
        <v>2537</v>
      </c>
      <c r="C615" s="841"/>
      <c r="D615" s="1905" t="s">
        <v>1282</v>
      </c>
      <c r="E615" s="1905"/>
      <c r="F615" s="1905"/>
      <c r="G615" s="820"/>
    </row>
    <row r="616" spans="1:7">
      <c r="C616" s="841"/>
      <c r="D616" s="1905"/>
      <c r="E616" s="1905"/>
      <c r="F616" s="1905"/>
      <c r="G616" s="820"/>
    </row>
    <row r="617" spans="1:7">
      <c r="C617" s="841"/>
      <c r="G617" s="820"/>
    </row>
    <row r="618" spans="1:7">
      <c r="A618" s="1889" t="s">
        <v>1177</v>
      </c>
      <c r="B618" s="1889"/>
      <c r="C618" s="1889"/>
      <c r="D618" s="1889"/>
      <c r="E618" s="1889"/>
      <c r="F618" s="1889"/>
      <c r="G618" s="1889"/>
    </row>
    <row r="619" spans="1:7">
      <c r="A619" s="842"/>
      <c r="B619" s="842"/>
      <c r="C619" s="842"/>
      <c r="G619" s="820"/>
    </row>
    <row r="620" spans="1:7">
      <c r="C620" s="817"/>
      <c r="D620" s="1906" t="s">
        <v>1283</v>
      </c>
      <c r="E620" s="1906"/>
      <c r="F620" s="1906"/>
      <c r="G620" s="820"/>
    </row>
    <row r="621" spans="1:7">
      <c r="A621" s="817"/>
      <c r="B621" s="817"/>
      <c r="C621" s="819"/>
      <c r="D621" s="795"/>
      <c r="G621" s="820"/>
    </row>
    <row r="622" spans="1:7" ht="14.25">
      <c r="A622" s="798"/>
      <c r="B622" s="799" t="s">
        <v>2538</v>
      </c>
      <c r="C622" s="819"/>
      <c r="D622" s="1907" t="s">
        <v>1511</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25">
      <c r="A629" s="798"/>
      <c r="B629" s="799" t="s">
        <v>2537</v>
      </c>
      <c r="C629" s="819"/>
      <c r="D629" s="1907" t="s">
        <v>1285</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25">
      <c r="A632" s="798"/>
      <c r="B632" s="799" t="s">
        <v>2537</v>
      </c>
      <c r="C632" s="830"/>
      <c r="D632" s="1908" t="s">
        <v>1446</v>
      </c>
      <c r="E632" s="1908"/>
      <c r="F632" s="1908"/>
      <c r="G632" s="820"/>
    </row>
    <row r="633" spans="1:7" ht="14.25">
      <c r="A633" s="798"/>
      <c r="B633" s="798"/>
      <c r="C633" s="830"/>
      <c r="D633" s="1908"/>
      <c r="E633" s="1908"/>
      <c r="F633" s="1908"/>
      <c r="G633" s="820"/>
    </row>
    <row r="634" spans="1:7" ht="14.25">
      <c r="A634" s="798"/>
      <c r="B634" s="798"/>
      <c r="C634" s="830"/>
      <c r="D634" s="1908"/>
      <c r="E634" s="1908"/>
      <c r="F634" s="1908"/>
      <c r="G634" s="820"/>
    </row>
    <row r="635" spans="1:7">
      <c r="A635" s="830"/>
      <c r="B635" s="799" t="s">
        <v>2537</v>
      </c>
      <c r="C635" s="830"/>
      <c r="D635" s="1909" t="s">
        <v>1287</v>
      </c>
      <c r="E635" s="1909"/>
      <c r="F635" s="1909"/>
      <c r="G635" s="820"/>
    </row>
    <row r="636" spans="1:7">
      <c r="A636" s="830"/>
      <c r="B636" s="830"/>
      <c r="C636" s="830"/>
      <c r="D636" s="728"/>
      <c r="E636" s="728"/>
      <c r="F636" s="728"/>
      <c r="G636" s="820"/>
    </row>
    <row r="637" spans="1:7">
      <c r="A637" s="1889" t="s">
        <v>1178</v>
      </c>
      <c r="B637" s="1889"/>
      <c r="C637" s="1889"/>
      <c r="D637" s="1889"/>
      <c r="E637" s="1889"/>
      <c r="F637" s="1889"/>
      <c r="G637" s="1889"/>
    </row>
    <row r="638" spans="1:7">
      <c r="A638" s="801"/>
      <c r="B638" s="801"/>
      <c r="C638" s="830"/>
      <c r="D638" s="843"/>
      <c r="E638" s="843"/>
      <c r="F638" s="843"/>
      <c r="G638" s="820"/>
    </row>
    <row r="639" spans="1:7">
      <c r="C639" s="842"/>
      <c r="D639" s="2007" t="s">
        <v>1337</v>
      </c>
      <c r="E639" s="2007"/>
      <c r="F639" s="2007"/>
      <c r="G639" s="820"/>
    </row>
    <row r="640" spans="1:7">
      <c r="A640" s="796"/>
      <c r="B640" s="796"/>
      <c r="C640" s="796"/>
      <c r="D640" s="2008" t="s">
        <v>1338</v>
      </c>
      <c r="E640" s="2008"/>
      <c r="F640" s="2008"/>
      <c r="G640" s="820"/>
    </row>
    <row r="641" spans="1:7">
      <c r="A641" s="796"/>
      <c r="B641" s="796"/>
      <c r="C641" s="796"/>
      <c r="D641" s="728"/>
      <c r="E641" s="728"/>
      <c r="F641" s="728"/>
      <c r="G641" s="820"/>
    </row>
    <row r="642" spans="1:7" ht="12.75" customHeight="1">
      <c r="B642" s="799" t="s">
        <v>2537</v>
      </c>
      <c r="C642" s="830"/>
      <c r="D642" s="2000" t="s">
        <v>1533</v>
      </c>
      <c r="E642" s="2000"/>
      <c r="F642" s="2000"/>
    </row>
    <row r="643" spans="1:7">
      <c r="D643" s="2000"/>
      <c r="E643" s="2000"/>
      <c r="F643" s="2000"/>
    </row>
    <row r="644" spans="1:7">
      <c r="D644" s="2000"/>
      <c r="E644" s="2000"/>
      <c r="F644" s="2000"/>
    </row>
    <row r="645" spans="1:7">
      <c r="D645" s="2000"/>
      <c r="E645" s="2000"/>
      <c r="F645" s="2000"/>
    </row>
    <row r="646" spans="1:7" ht="14.45" customHeight="1">
      <c r="A646" s="798"/>
      <c r="B646" s="798"/>
      <c r="C646" s="830"/>
      <c r="D646" s="902"/>
      <c r="E646" s="902"/>
      <c r="F646" s="902"/>
      <c r="G646" s="820"/>
    </row>
    <row r="647" spans="1:7" ht="12.75" customHeight="1">
      <c r="A647" s="796"/>
      <c r="B647" s="799" t="s">
        <v>2537</v>
      </c>
      <c r="C647" s="830"/>
      <c r="D647" s="2000" t="s">
        <v>1536</v>
      </c>
      <c r="E647" s="2000"/>
      <c r="F647" s="2000"/>
      <c r="G647" s="820"/>
    </row>
    <row r="648" spans="1:7" ht="14.25">
      <c r="A648" s="796"/>
      <c r="B648" s="798"/>
      <c r="C648" s="830"/>
      <c r="D648" s="2000"/>
      <c r="E648" s="2000"/>
      <c r="F648" s="2000"/>
      <c r="G648" s="820"/>
    </row>
    <row r="649" spans="1:7" ht="14.25">
      <c r="A649" s="796"/>
      <c r="B649" s="798"/>
      <c r="C649" s="830"/>
      <c r="D649" s="2000"/>
      <c r="E649" s="2000"/>
      <c r="F649" s="2000"/>
      <c r="G649" s="820"/>
    </row>
    <row r="650" spans="1:7" ht="14.25">
      <c r="A650" s="796"/>
      <c r="B650" s="798"/>
      <c r="C650" s="830"/>
      <c r="D650" s="2000"/>
      <c r="E650" s="2000"/>
      <c r="F650" s="2000"/>
      <c r="G650" s="820"/>
    </row>
    <row r="651" spans="1:7" ht="14.25">
      <c r="A651" s="796"/>
      <c r="B651" s="798"/>
      <c r="C651" s="830"/>
      <c r="D651" s="2000"/>
      <c r="E651" s="2000"/>
      <c r="F651" s="2000"/>
      <c r="G651" s="820"/>
    </row>
    <row r="652" spans="1:7" ht="14.25" customHeight="1">
      <c r="A652" s="796"/>
      <c r="B652" s="798"/>
      <c r="C652" s="830"/>
      <c r="F652" s="903"/>
      <c r="G652" s="820"/>
    </row>
    <row r="653" spans="1:7" ht="12.75" customHeight="1">
      <c r="A653" s="796"/>
      <c r="B653" s="799" t="s">
        <v>2537</v>
      </c>
      <c r="C653" s="830"/>
      <c r="D653" s="2000" t="s">
        <v>1534</v>
      </c>
      <c r="E653" s="2000"/>
      <c r="F653" s="2000"/>
      <c r="G653" s="820"/>
    </row>
    <row r="654" spans="1:7" ht="14.25">
      <c r="A654" s="796"/>
      <c r="B654" s="798"/>
      <c r="C654" s="830"/>
      <c r="D654" s="2000"/>
      <c r="E654" s="2000"/>
      <c r="F654" s="2000"/>
      <c r="G654" s="820"/>
    </row>
    <row r="655" spans="1:7" ht="14.25">
      <c r="A655" s="798"/>
      <c r="B655" s="798"/>
      <c r="C655" s="830"/>
      <c r="D655" s="2000"/>
      <c r="E655" s="2000"/>
      <c r="F655" s="2000"/>
      <c r="G655" s="820"/>
    </row>
    <row r="656" spans="1:7" ht="14.25">
      <c r="A656" s="798"/>
      <c r="B656" s="798"/>
      <c r="C656" s="830"/>
      <c r="D656" s="2000"/>
      <c r="E656" s="2000"/>
      <c r="F656" s="2000"/>
      <c r="G656" s="820"/>
    </row>
    <row r="657" spans="1:11" ht="14.25">
      <c r="A657" s="798"/>
      <c r="B657" s="798"/>
      <c r="C657" s="830"/>
      <c r="D657" s="894"/>
      <c r="E657" s="894"/>
      <c r="F657" s="894"/>
      <c r="G657" s="820"/>
    </row>
    <row r="658" spans="1:11" ht="12.75" customHeight="1">
      <c r="A658" s="796"/>
      <c r="B658" s="799" t="s">
        <v>2537</v>
      </c>
      <c r="C658" s="830"/>
      <c r="D658" s="2000" t="s">
        <v>1535</v>
      </c>
      <c r="E658" s="2000"/>
      <c r="F658" s="2000"/>
      <c r="G658" s="820"/>
    </row>
    <row r="659" spans="1:11" ht="12.75" customHeight="1">
      <c r="A659" s="796"/>
      <c r="B659" s="798"/>
      <c r="C659" s="830"/>
      <c r="D659" s="2000"/>
      <c r="E659" s="2000"/>
      <c r="F659" s="2000"/>
      <c r="G659" s="820"/>
    </row>
    <row r="660" spans="1:11" ht="12.75" customHeight="1">
      <c r="A660" s="796"/>
      <c r="B660" s="798"/>
      <c r="C660" s="830"/>
      <c r="D660" s="2000"/>
      <c r="E660" s="2000"/>
      <c r="F660" s="2000"/>
      <c r="G660" s="820"/>
    </row>
    <row r="661" spans="1:11" ht="12.75" customHeight="1">
      <c r="A661" s="796"/>
      <c r="B661" s="798"/>
      <c r="C661" s="830"/>
      <c r="D661" s="2000"/>
      <c r="E661" s="2000"/>
      <c r="F661" s="2000"/>
      <c r="G661" s="820"/>
    </row>
    <row r="662" spans="1:11" ht="12.75" customHeight="1">
      <c r="A662" s="796"/>
      <c r="B662" s="798"/>
      <c r="C662" s="830"/>
      <c r="D662" s="2000"/>
      <c r="E662" s="2000"/>
      <c r="F662" s="2000"/>
      <c r="G662" s="820"/>
    </row>
    <row r="663" spans="1:11" ht="12.75" customHeight="1">
      <c r="A663" s="796"/>
      <c r="B663" s="798"/>
      <c r="C663" s="830"/>
      <c r="D663" s="2000"/>
      <c r="E663" s="2000"/>
      <c r="F663" s="2000"/>
      <c r="G663" s="820"/>
    </row>
    <row r="664" spans="1:11" ht="12.75" customHeight="1">
      <c r="A664" s="796"/>
      <c r="B664" s="798"/>
      <c r="C664" s="830"/>
      <c r="D664" s="2000"/>
      <c r="E664" s="2000"/>
      <c r="F664" s="2000"/>
      <c r="G664" s="820"/>
    </row>
    <row r="665" spans="1:11" ht="12.75" customHeight="1">
      <c r="A665" s="796"/>
      <c r="B665" s="798"/>
      <c r="C665" s="830"/>
      <c r="D665" s="2000"/>
      <c r="E665" s="2000"/>
      <c r="F665" s="2000"/>
      <c r="G665" s="820"/>
    </row>
    <row r="666" spans="1:11" ht="12.75" customHeight="1">
      <c r="A666" s="796"/>
      <c r="B666" s="798"/>
      <c r="C666" s="830"/>
      <c r="D666" s="2000"/>
      <c r="E666" s="2000"/>
      <c r="F666" s="2000"/>
      <c r="G666" s="820"/>
    </row>
    <row r="667" spans="1:11">
      <c r="A667" s="830"/>
      <c r="B667" s="830"/>
      <c r="C667" s="830"/>
      <c r="D667" s="843"/>
      <c r="E667" s="843"/>
      <c r="F667" s="843"/>
      <c r="G667" s="820"/>
    </row>
    <row r="668" spans="1:11">
      <c r="A668" s="1889" t="s">
        <v>1179</v>
      </c>
      <c r="B668" s="1889"/>
      <c r="C668" s="1889"/>
      <c r="D668" s="1889"/>
      <c r="E668" s="1889"/>
      <c r="F668" s="1889"/>
      <c r="G668" s="1889"/>
      <c r="H668" s="844"/>
      <c r="I668" s="844"/>
      <c r="J668" s="844"/>
      <c r="K668" s="844"/>
    </row>
    <row r="669" spans="1:11">
      <c r="A669" s="736"/>
      <c r="B669" s="736"/>
      <c r="C669" s="736"/>
      <c r="D669" s="736"/>
      <c r="E669" s="736"/>
      <c r="F669" s="736"/>
      <c r="G669" s="736"/>
      <c r="H669" s="844"/>
      <c r="I669" s="844"/>
      <c r="J669" s="844"/>
      <c r="K669" s="844"/>
    </row>
    <row r="670" spans="1:11">
      <c r="C670" s="842"/>
      <c r="D670" s="1906" t="s">
        <v>104</v>
      </c>
      <c r="E670" s="1906"/>
      <c r="F670" s="1906"/>
      <c r="G670" s="820"/>
      <c r="H670" s="844"/>
      <c r="I670" s="844"/>
      <c r="J670" s="844"/>
      <c r="K670" s="844"/>
    </row>
    <row r="671" spans="1:11">
      <c r="A671" s="842"/>
      <c r="B671" s="842"/>
      <c r="C671" s="842"/>
      <c r="D671" s="1906" t="s">
        <v>128</v>
      </c>
      <c r="E671" s="1906"/>
      <c r="F671" s="1906"/>
      <c r="G671" s="820"/>
      <c r="H671" s="844"/>
      <c r="I671" s="844"/>
      <c r="J671" s="844"/>
      <c r="K671" s="844"/>
    </row>
    <row r="672" spans="1:11">
      <c r="A672" s="796"/>
      <c r="B672" s="796"/>
      <c r="C672" s="796"/>
      <c r="D672" s="1909" t="s">
        <v>1215</v>
      </c>
      <c r="E672" s="1909"/>
      <c r="F672" s="1909"/>
      <c r="G672" s="820"/>
      <c r="H672" s="844"/>
      <c r="I672" s="844"/>
      <c r="J672" s="844"/>
      <c r="K672" s="844"/>
    </row>
    <row r="673" spans="1:11">
      <c r="A673" s="796"/>
      <c r="B673" s="796"/>
      <c r="C673" s="796"/>
      <c r="G673" s="820"/>
      <c r="H673" s="844"/>
      <c r="I673" s="844"/>
      <c r="J673" s="844"/>
      <c r="K673" s="844"/>
    </row>
    <row r="674" spans="1:11" ht="14.25">
      <c r="A674" s="798"/>
      <c r="B674" s="799" t="s">
        <v>2538</v>
      </c>
      <c r="C674" s="796"/>
      <c r="D674" s="1909" t="s">
        <v>953</v>
      </c>
      <c r="E674" s="1909"/>
      <c r="F674" s="1909"/>
      <c r="G674" s="820"/>
      <c r="H674" s="844"/>
      <c r="I674" s="844"/>
      <c r="J674" s="844"/>
      <c r="K674" s="844"/>
    </row>
    <row r="675" spans="1:11">
      <c r="A675" s="796"/>
      <c r="B675" s="796"/>
      <c r="C675" s="796"/>
      <c r="D675" s="1909" t="s">
        <v>964</v>
      </c>
      <c r="E675" s="1909"/>
      <c r="F675" s="1909"/>
      <c r="G675" s="820"/>
      <c r="H675" s="844"/>
      <c r="I675" s="844"/>
      <c r="J675" s="844"/>
      <c r="K675" s="844"/>
    </row>
    <row r="676" spans="1:11">
      <c r="A676" s="796"/>
      <c r="B676" s="796"/>
      <c r="C676" s="796"/>
      <c r="D676" s="673"/>
      <c r="E676" s="1988" t="s">
        <v>1216</v>
      </c>
      <c r="F676" s="1988"/>
      <c r="G676" s="820"/>
      <c r="H676" s="844"/>
      <c r="I676" s="844"/>
      <c r="J676" s="844"/>
      <c r="K676" s="844"/>
    </row>
    <row r="677" spans="1:11">
      <c r="A677" s="796"/>
      <c r="B677" s="796"/>
      <c r="C677" s="796"/>
      <c r="D677" s="673"/>
      <c r="E677" s="1988"/>
      <c r="F677" s="1988"/>
      <c r="G677" s="820"/>
      <c r="H677" s="844"/>
      <c r="I677" s="844"/>
      <c r="J677" s="844"/>
      <c r="K677" s="844"/>
    </row>
    <row r="678" spans="1:11">
      <c r="A678" s="796"/>
      <c r="B678" s="796"/>
      <c r="C678" s="796"/>
      <c r="D678" s="845"/>
      <c r="E678" s="801"/>
      <c r="G678" s="820"/>
      <c r="H678" s="844"/>
      <c r="I678" s="844"/>
      <c r="J678" s="844"/>
      <c r="K678" s="844"/>
    </row>
    <row r="679" spans="1:11" ht="14.25">
      <c r="A679" s="798"/>
      <c r="B679" s="799" t="s">
        <v>2537</v>
      </c>
      <c r="C679" s="796"/>
      <c r="D679" s="1907" t="s">
        <v>1412</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25">
      <c r="A683" s="798"/>
      <c r="B683" s="799" t="s">
        <v>2538</v>
      </c>
      <c r="C683" s="796"/>
      <c r="D683" s="1909" t="s">
        <v>993</v>
      </c>
      <c r="E683" s="1909"/>
      <c r="F683" s="1909"/>
      <c r="G683" s="820"/>
      <c r="H683" s="844"/>
      <c r="I683" s="844"/>
      <c r="J683" s="844"/>
      <c r="K683" s="844"/>
    </row>
    <row r="684" spans="1:11" ht="14.25">
      <c r="A684" s="798"/>
      <c r="B684" s="798"/>
      <c r="C684" s="796"/>
      <c r="D684" s="1909" t="s">
        <v>964</v>
      </c>
      <c r="E684" s="1909"/>
      <c r="F684" s="1909"/>
      <c r="G684" s="820"/>
      <c r="H684" s="844"/>
      <c r="I684" s="844"/>
      <c r="J684" s="844"/>
      <c r="K684" s="844"/>
    </row>
    <row r="685" spans="1:11">
      <c r="A685" s="796"/>
      <c r="B685" s="796"/>
      <c r="C685" s="796"/>
      <c r="D685" s="673"/>
      <c r="E685" s="1986" t="s">
        <v>1218</v>
      </c>
      <c r="F685" s="1986"/>
      <c r="G685" s="820"/>
      <c r="H685" s="844"/>
      <c r="I685" s="844"/>
      <c r="J685" s="844"/>
      <c r="K685" s="844"/>
    </row>
    <row r="686" spans="1:11">
      <c r="A686" s="796"/>
      <c r="B686" s="796"/>
      <c r="C686" s="796"/>
      <c r="D686" s="795"/>
      <c r="G686" s="820"/>
      <c r="H686" s="844"/>
      <c r="I686" s="844"/>
      <c r="J686" s="844"/>
      <c r="K686" s="844"/>
    </row>
    <row r="687" spans="1:11" ht="14.25">
      <c r="A687" s="798"/>
      <c r="B687" s="799" t="s">
        <v>2537</v>
      </c>
      <c r="C687" s="796"/>
      <c r="D687" s="1987" t="s">
        <v>1228</v>
      </c>
      <c r="E687" s="1987"/>
      <c r="F687" s="1987"/>
      <c r="G687" s="820"/>
      <c r="H687" s="844"/>
      <c r="I687" s="844"/>
      <c r="J687" s="844"/>
      <c r="K687" s="844"/>
    </row>
    <row r="688" spans="1:11">
      <c r="A688" s="796"/>
      <c r="B688" s="796"/>
      <c r="C688" s="796"/>
      <c r="D688" s="1987"/>
      <c r="E688" s="1987"/>
      <c r="F688" s="1987"/>
      <c r="G688" s="820"/>
      <c r="H688" s="844"/>
      <c r="I688" s="844"/>
      <c r="J688" s="844"/>
      <c r="K688" s="844"/>
    </row>
    <row r="689" spans="1:11">
      <c r="A689" s="796"/>
      <c r="B689" s="796"/>
      <c r="C689" s="796"/>
      <c r="D689" s="1987"/>
      <c r="E689" s="1987"/>
      <c r="F689" s="1987"/>
      <c r="G689" s="820"/>
      <c r="H689" s="844"/>
      <c r="I689" s="844"/>
      <c r="J689" s="844"/>
      <c r="K689" s="844"/>
    </row>
    <row r="690" spans="1:11">
      <c r="A690" s="796"/>
      <c r="B690" s="796"/>
      <c r="C690" s="796"/>
      <c r="D690" s="1987"/>
      <c r="E690" s="1987"/>
      <c r="F690" s="1987"/>
      <c r="G690" s="820"/>
      <c r="H690" s="844"/>
      <c r="I690" s="844"/>
      <c r="J690" s="844"/>
      <c r="K690" s="844"/>
    </row>
    <row r="691" spans="1:11">
      <c r="A691" s="796"/>
      <c r="B691" s="796"/>
      <c r="C691" s="796"/>
      <c r="D691" s="1987"/>
      <c r="E691" s="1987"/>
      <c r="F691" s="1987"/>
      <c r="G691" s="820"/>
      <c r="H691" s="844"/>
      <c r="I691" s="844"/>
      <c r="J691" s="844"/>
      <c r="K691" s="844"/>
    </row>
    <row r="692" spans="1:11" s="792" customFormat="1">
      <c r="A692" s="836"/>
      <c r="B692" s="836"/>
      <c r="C692" s="836"/>
      <c r="D692" s="1987"/>
      <c r="E692" s="1987"/>
      <c r="F692" s="1987"/>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2537</v>
      </c>
      <c r="C694" s="836"/>
      <c r="D694" s="1987" t="s">
        <v>1414</v>
      </c>
      <c r="E694" s="1987"/>
      <c r="F694" s="1987"/>
      <c r="G694" s="846"/>
      <c r="H694" s="847"/>
      <c r="I694" s="847"/>
      <c r="J694" s="847"/>
      <c r="K694" s="847"/>
    </row>
    <row r="695" spans="1:11" s="792" customFormat="1">
      <c r="A695" s="836"/>
      <c r="B695" s="836"/>
      <c r="C695" s="836"/>
      <c r="D695" s="1987"/>
      <c r="E695" s="1987"/>
      <c r="F695" s="1987"/>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2537</v>
      </c>
      <c r="C697" s="796"/>
      <c r="D697" s="1987" t="s">
        <v>1219</v>
      </c>
      <c r="E697" s="1987"/>
      <c r="F697" s="1987"/>
      <c r="G697" s="820"/>
      <c r="H697" s="844"/>
      <c r="I697" s="844"/>
      <c r="J697" s="844"/>
      <c r="K697" s="844"/>
    </row>
    <row r="698" spans="1:11">
      <c r="A698" s="796"/>
      <c r="B698" s="796"/>
      <c r="C698" s="796"/>
      <c r="D698" s="1987"/>
      <c r="E698" s="1987"/>
      <c r="F698" s="1987"/>
      <c r="G698" s="820"/>
      <c r="H698" s="844"/>
      <c r="I698" s="844"/>
      <c r="J698" s="844"/>
      <c r="K698" s="844"/>
    </row>
    <row r="699" spans="1:11">
      <c r="A699" s="796"/>
      <c r="B699" s="796"/>
      <c r="C699" s="796"/>
      <c r="D699" s="1987"/>
      <c r="E699" s="1987"/>
      <c r="F699" s="1987"/>
      <c r="G699" s="820"/>
      <c r="H699" s="844"/>
      <c r="I699" s="844"/>
      <c r="J699" s="844"/>
      <c r="K699" s="844"/>
    </row>
    <row r="700" spans="1:11" ht="15" customHeight="1">
      <c r="A700" s="796"/>
      <c r="B700" s="796"/>
      <c r="C700" s="796"/>
      <c r="D700" s="1987"/>
      <c r="E700" s="1987"/>
      <c r="F700" s="1987"/>
      <c r="G700" s="820"/>
      <c r="H700" s="844"/>
      <c r="I700" s="844"/>
      <c r="J700" s="844"/>
      <c r="K700" s="844"/>
    </row>
    <row r="701" spans="1:11" ht="15" customHeight="1">
      <c r="A701" s="796"/>
      <c r="B701" s="796"/>
      <c r="C701" s="796"/>
      <c r="D701" s="1987"/>
      <c r="E701" s="1987"/>
      <c r="F701" s="1987"/>
      <c r="G701" s="820"/>
      <c r="H701" s="844"/>
      <c r="I701" s="844"/>
      <c r="J701" s="844"/>
      <c r="K701" s="844"/>
    </row>
    <row r="702" spans="1:11">
      <c r="A702" s="796"/>
      <c r="B702" s="796"/>
      <c r="C702" s="796"/>
      <c r="D702" s="1987"/>
      <c r="E702" s="1987"/>
      <c r="F702" s="1987"/>
      <c r="G702" s="820"/>
      <c r="H702" s="844"/>
      <c r="I702" s="844"/>
      <c r="J702" s="844"/>
      <c r="K702" s="844"/>
    </row>
    <row r="703" spans="1:11">
      <c r="A703" s="796"/>
      <c r="B703" s="796"/>
      <c r="C703" s="796"/>
      <c r="D703" s="1987"/>
      <c r="E703" s="1987"/>
      <c r="F703" s="1987"/>
      <c r="G703" s="820"/>
      <c r="H703" s="844"/>
      <c r="I703" s="844"/>
      <c r="J703" s="844"/>
      <c r="K703" s="844"/>
    </row>
    <row r="704" spans="1:11">
      <c r="A704" s="796"/>
      <c r="B704" s="796"/>
      <c r="C704" s="796"/>
      <c r="D704" s="1987"/>
      <c r="E704" s="1987"/>
      <c r="F704" s="1987"/>
      <c r="G704" s="820"/>
      <c r="H704" s="844"/>
      <c r="I704" s="844"/>
      <c r="J704" s="844"/>
      <c r="K704" s="844"/>
    </row>
    <row r="705" spans="1:11" ht="15" customHeight="1">
      <c r="A705" s="796"/>
      <c r="B705" s="796"/>
      <c r="C705" s="796"/>
      <c r="D705" s="1987"/>
      <c r="E705" s="1987"/>
      <c r="F705" s="1987"/>
      <c r="G705" s="820"/>
      <c r="H705" s="844"/>
      <c r="I705" s="844"/>
      <c r="J705" s="844"/>
      <c r="K705" s="844"/>
    </row>
    <row r="706" spans="1:11">
      <c r="A706" s="796"/>
      <c r="B706" s="796"/>
      <c r="C706" s="796"/>
      <c r="D706" s="1987"/>
      <c r="E706" s="1987"/>
      <c r="F706" s="1987"/>
      <c r="G706" s="820"/>
      <c r="H706" s="844"/>
      <c r="I706" s="844"/>
      <c r="J706" s="844"/>
      <c r="K706" s="844"/>
    </row>
    <row r="707" spans="1:11">
      <c r="A707" s="796"/>
      <c r="B707" s="796"/>
      <c r="C707" s="796"/>
      <c r="D707" s="1987"/>
      <c r="E707" s="1987"/>
      <c r="F707" s="1987"/>
      <c r="G707" s="820"/>
      <c r="H707" s="844"/>
      <c r="I707" s="844"/>
      <c r="J707" s="844"/>
      <c r="K707" s="844"/>
    </row>
    <row r="708" spans="1:11">
      <c r="A708" s="796"/>
      <c r="B708" s="796"/>
      <c r="C708" s="796"/>
      <c r="D708" s="1987"/>
      <c r="E708" s="1987"/>
      <c r="F708" s="1987"/>
      <c r="G708" s="820"/>
      <c r="H708" s="844"/>
      <c r="I708" s="844"/>
      <c r="J708" s="844"/>
      <c r="K708" s="844"/>
    </row>
    <row r="709" spans="1:11">
      <c r="A709" s="796"/>
      <c r="B709" s="796"/>
      <c r="C709" s="796"/>
      <c r="D709" s="1987"/>
      <c r="E709" s="1987"/>
      <c r="F709" s="1987"/>
      <c r="G709" s="820"/>
      <c r="H709" s="844"/>
      <c r="I709" s="844"/>
      <c r="J709" s="844"/>
      <c r="K709" s="844"/>
    </row>
    <row r="710" spans="1:11">
      <c r="A710" s="796"/>
      <c r="B710" s="799" t="s">
        <v>2537</v>
      </c>
      <c r="C710" s="796"/>
      <c r="D710" s="1987" t="s">
        <v>1226</v>
      </c>
      <c r="E710" s="1987"/>
      <c r="F710" s="1987"/>
      <c r="G710" s="820"/>
      <c r="H710" s="844"/>
      <c r="I710" s="844"/>
      <c r="J710" s="844"/>
      <c r="K710" s="844"/>
    </row>
    <row r="711" spans="1:11">
      <c r="A711" s="796"/>
      <c r="B711" s="796"/>
      <c r="C711" s="796"/>
      <c r="D711" s="1987"/>
      <c r="E711" s="1987"/>
      <c r="F711" s="1987"/>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2537</v>
      </c>
      <c r="C713" s="796"/>
      <c r="D713" s="1987" t="s">
        <v>1227</v>
      </c>
      <c r="E713" s="1987"/>
      <c r="F713" s="1987"/>
      <c r="G713" s="820"/>
      <c r="H713" s="844"/>
      <c r="I713" s="844"/>
      <c r="J713" s="844"/>
      <c r="K713" s="844"/>
    </row>
    <row r="714" spans="1:11">
      <c r="A714" s="796"/>
      <c r="B714" s="796"/>
      <c r="C714" s="796"/>
      <c r="D714" s="1987"/>
      <c r="E714" s="1987"/>
      <c r="F714" s="1987"/>
      <c r="G714" s="820"/>
      <c r="H714" s="844"/>
      <c r="I714" s="844"/>
      <c r="J714" s="844"/>
      <c r="K714" s="844"/>
    </row>
    <row r="715" spans="1:11">
      <c r="A715" s="796"/>
      <c r="B715" s="796"/>
      <c r="C715" s="796"/>
      <c r="D715" s="1987"/>
      <c r="E715" s="1987"/>
      <c r="F715" s="1987"/>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2537</v>
      </c>
      <c r="C717" s="796"/>
      <c r="D717" s="1987" t="s">
        <v>1220</v>
      </c>
      <c r="E717" s="1987"/>
      <c r="F717" s="1987"/>
      <c r="G717" s="820"/>
      <c r="H717" s="844"/>
      <c r="I717" s="844"/>
      <c r="J717" s="844"/>
      <c r="K717" s="844"/>
    </row>
    <row r="718" spans="1:11">
      <c r="A718" s="796"/>
      <c r="B718" s="796"/>
      <c r="C718" s="796"/>
      <c r="D718" s="1987"/>
      <c r="E718" s="1987"/>
      <c r="F718" s="1987"/>
      <c r="G718" s="820"/>
      <c r="H718" s="844"/>
      <c r="I718" s="844"/>
      <c r="J718" s="844"/>
      <c r="K718" s="844"/>
    </row>
    <row r="719" spans="1:11">
      <c r="A719" s="796"/>
      <c r="B719" s="796"/>
      <c r="C719" s="796"/>
      <c r="D719" s="1987"/>
      <c r="E719" s="1987"/>
      <c r="F719" s="1987"/>
      <c r="G719" s="820"/>
      <c r="H719" s="844"/>
      <c r="I719" s="844"/>
      <c r="J719" s="844"/>
      <c r="K719" s="844"/>
    </row>
    <row r="720" spans="1:11">
      <c r="A720" s="796"/>
      <c r="B720" s="796"/>
      <c r="C720" s="796"/>
      <c r="D720" s="803"/>
      <c r="G720" s="820"/>
      <c r="H720" s="844"/>
      <c r="I720" s="844"/>
      <c r="J720" s="844"/>
      <c r="K720" s="844"/>
    </row>
    <row r="721" spans="1:11">
      <c r="A721" s="796"/>
      <c r="B721" s="799" t="s">
        <v>2537</v>
      </c>
      <c r="C721" s="796"/>
      <c r="D721" s="1987" t="s">
        <v>1221</v>
      </c>
      <c r="E721" s="1987"/>
      <c r="F721" s="1987"/>
      <c r="G721" s="820"/>
      <c r="H721" s="844"/>
      <c r="I721" s="844"/>
      <c r="J721" s="844"/>
      <c r="K721" s="844"/>
    </row>
    <row r="722" spans="1:11">
      <c r="A722" s="796"/>
      <c r="B722" s="796"/>
      <c r="C722" s="796"/>
      <c r="D722" s="1987"/>
      <c r="E722" s="1987"/>
      <c r="F722" s="1987"/>
      <c r="G722" s="820"/>
      <c r="H722" s="844"/>
      <c r="I722" s="844"/>
      <c r="J722" s="844"/>
      <c r="K722" s="844"/>
    </row>
    <row r="723" spans="1:11">
      <c r="A723" s="796"/>
      <c r="B723" s="796"/>
      <c r="C723" s="796"/>
      <c r="D723" s="1987"/>
      <c r="E723" s="1987"/>
      <c r="F723" s="1987"/>
      <c r="G723" s="820"/>
      <c r="H723" s="844"/>
      <c r="I723" s="844"/>
      <c r="J723" s="844"/>
      <c r="K723" s="844"/>
    </row>
    <row r="724" spans="1:11">
      <c r="A724" s="796"/>
      <c r="B724" s="796"/>
      <c r="C724" s="796"/>
      <c r="D724" s="791"/>
      <c r="G724" s="820"/>
      <c r="H724" s="844"/>
      <c r="I724" s="844"/>
      <c r="J724" s="844"/>
      <c r="K724" s="844"/>
    </row>
    <row r="725" spans="1:11" ht="14.25">
      <c r="A725" s="798"/>
      <c r="B725" s="799" t="s">
        <v>2537</v>
      </c>
      <c r="C725" s="796"/>
      <c r="D725" s="1907" t="s">
        <v>1222</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25">
      <c r="A730" s="798"/>
      <c r="B730" s="799" t="s">
        <v>2537</v>
      </c>
      <c r="C730" s="796"/>
      <c r="D730" s="1987" t="s">
        <v>1355</v>
      </c>
      <c r="E730" s="1987"/>
      <c r="F730" s="1987"/>
      <c r="G730" s="820"/>
      <c r="H730" s="844"/>
      <c r="I730" s="844"/>
      <c r="J730" s="844"/>
      <c r="K730" s="844"/>
    </row>
    <row r="731" spans="1:11">
      <c r="A731" s="796"/>
      <c r="B731" s="796"/>
      <c r="C731" s="796"/>
      <c r="D731" s="1987"/>
      <c r="E731" s="1987"/>
      <c r="F731" s="1987"/>
      <c r="G731" s="820"/>
      <c r="H731" s="844"/>
      <c r="I731" s="844"/>
      <c r="J731" s="844"/>
      <c r="K731" s="844"/>
    </row>
    <row r="732" spans="1:11">
      <c r="A732" s="796"/>
      <c r="B732" s="796"/>
      <c r="C732" s="796"/>
      <c r="D732" s="1987"/>
      <c r="E732" s="1987"/>
      <c r="F732" s="1987"/>
      <c r="G732" s="820"/>
      <c r="H732" s="844"/>
      <c r="I732" s="844"/>
      <c r="J732" s="844"/>
      <c r="K732" s="844"/>
    </row>
    <row r="733" spans="1:11">
      <c r="A733" s="796"/>
      <c r="B733" s="796"/>
      <c r="C733" s="796"/>
      <c r="D733" s="1987"/>
      <c r="E733" s="1987"/>
      <c r="F733" s="1987"/>
      <c r="G733" s="820"/>
      <c r="H733" s="844"/>
      <c r="I733" s="844"/>
      <c r="J733" s="844"/>
      <c r="K733" s="844"/>
    </row>
    <row r="734" spans="1:11">
      <c r="A734" s="796"/>
      <c r="B734" s="796"/>
      <c r="C734" s="796"/>
      <c r="D734" s="1987"/>
      <c r="E734" s="1987"/>
      <c r="F734" s="1987"/>
      <c r="G734" s="820"/>
      <c r="H734" s="844"/>
      <c r="I734" s="844"/>
      <c r="J734" s="844"/>
      <c r="K734" s="844"/>
    </row>
    <row r="735" spans="1:11">
      <c r="A735" s="796"/>
      <c r="B735" s="796"/>
      <c r="C735" s="796"/>
      <c r="D735" s="1987"/>
      <c r="E735" s="1987"/>
      <c r="F735" s="1987"/>
      <c r="G735" s="820"/>
      <c r="H735" s="844"/>
      <c r="I735" s="844"/>
      <c r="J735" s="844"/>
      <c r="K735" s="844"/>
    </row>
    <row r="736" spans="1:11">
      <c r="A736" s="796"/>
      <c r="B736" s="796"/>
      <c r="C736" s="796"/>
      <c r="D736" s="1987"/>
      <c r="E736" s="1987"/>
      <c r="F736" s="1987"/>
      <c r="G736" s="820"/>
      <c r="H736" s="844"/>
      <c r="I736" s="844"/>
      <c r="J736" s="844"/>
      <c r="K736" s="844"/>
    </row>
    <row r="737" spans="1:11">
      <c r="A737" s="796"/>
      <c r="B737" s="796"/>
      <c r="C737" s="796"/>
      <c r="D737" s="1937" t="s">
        <v>1223</v>
      </c>
      <c r="E737" s="1937"/>
      <c r="F737" s="1937"/>
      <c r="G737" s="820"/>
      <c r="H737" s="844"/>
      <c r="I737" s="844"/>
      <c r="J737" s="844"/>
      <c r="K737" s="844"/>
    </row>
    <row r="738" spans="1:11">
      <c r="A738" s="796"/>
      <c r="B738" s="796"/>
      <c r="C738" s="796"/>
      <c r="D738" s="783"/>
      <c r="G738" s="820"/>
      <c r="H738" s="844"/>
      <c r="I738" s="844"/>
      <c r="J738" s="844"/>
      <c r="K738" s="844"/>
    </row>
    <row r="739" spans="1:11">
      <c r="A739" s="1939" t="s">
        <v>1180</v>
      </c>
      <c r="B739" s="1939"/>
      <c r="C739" s="1939"/>
      <c r="D739" s="1939"/>
      <c r="E739" s="1939"/>
      <c r="F739" s="1939"/>
      <c r="G739" s="1939"/>
      <c r="H739" s="844"/>
      <c r="I739" s="844"/>
      <c r="J739" s="844"/>
      <c r="K739" s="844"/>
    </row>
    <row r="740" spans="1:11">
      <c r="A740" s="796"/>
      <c r="B740" s="796"/>
      <c r="C740" s="796"/>
      <c r="D740" s="823"/>
      <c r="G740" s="849"/>
      <c r="H740" s="844"/>
      <c r="I740" s="844"/>
      <c r="J740" s="844"/>
      <c r="K740" s="844"/>
    </row>
    <row r="741" spans="1:11" ht="13.7" customHeight="1">
      <c r="C741" s="796"/>
      <c r="D741" s="1984" t="s">
        <v>1196</v>
      </c>
      <c r="E741" s="1984"/>
      <c r="F741" s="1984"/>
      <c r="G741" s="849"/>
      <c r="H741" s="844"/>
      <c r="I741" s="844"/>
      <c r="J741" s="844"/>
      <c r="K741" s="844"/>
    </row>
    <row r="742" spans="1:11">
      <c r="A742" s="796"/>
      <c r="B742" s="796"/>
      <c r="C742" s="796"/>
      <c r="D742" s="1933" t="s">
        <v>1197</v>
      </c>
      <c r="E742" s="1933"/>
      <c r="F742" s="1933"/>
      <c r="G742" s="849"/>
      <c r="H742" s="844"/>
      <c r="I742" s="844"/>
      <c r="J742" s="844"/>
      <c r="K742" s="844"/>
    </row>
    <row r="743" spans="1:11">
      <c r="A743" s="796"/>
      <c r="B743" s="796"/>
      <c r="C743" s="796"/>
      <c r="G743" s="849"/>
      <c r="H743" s="844"/>
      <c r="I743" s="844"/>
      <c r="J743" s="844"/>
      <c r="K743" s="844"/>
    </row>
    <row r="744" spans="1:11" s="792" customFormat="1" ht="14.25">
      <c r="A744" s="798"/>
      <c r="B744" s="799" t="s">
        <v>2538</v>
      </c>
      <c r="C744" s="789"/>
      <c r="D744" s="1907" t="s">
        <v>1198</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2538</v>
      </c>
      <c r="C751" s="853"/>
      <c r="D751" s="1908" t="s">
        <v>1466</v>
      </c>
      <c r="E751" s="1908"/>
      <c r="F751" s="1908"/>
      <c r="G751" s="854"/>
    </row>
    <row r="752" spans="1:11" s="855" customFormat="1">
      <c r="A752" s="853"/>
      <c r="B752" s="853"/>
      <c r="C752" s="853"/>
      <c r="D752" s="1908"/>
      <c r="E752" s="1908"/>
      <c r="F752" s="1908"/>
      <c r="G752" s="854"/>
    </row>
    <row r="753" spans="1:11" s="855" customFormat="1">
      <c r="A753" s="853"/>
      <c r="B753" s="853"/>
      <c r="C753" s="853"/>
      <c r="D753" s="1908"/>
      <c r="E753" s="1908"/>
      <c r="F753" s="1908"/>
      <c r="G753" s="854"/>
    </row>
    <row r="754" spans="1:11" s="855" customFormat="1">
      <c r="A754" s="853"/>
      <c r="B754" s="853"/>
      <c r="C754" s="853"/>
      <c r="D754" s="1908"/>
      <c r="E754" s="1908"/>
      <c r="F754" s="1908"/>
      <c r="G754" s="854"/>
    </row>
    <row r="755" spans="1:11" s="855" customFormat="1">
      <c r="A755" s="853"/>
      <c r="B755" s="853"/>
      <c r="C755" s="853"/>
      <c r="D755" s="839"/>
      <c r="E755" s="854"/>
      <c r="F755" s="854"/>
      <c r="G755" s="854"/>
    </row>
    <row r="756" spans="1:11" s="855" customFormat="1" ht="14.25">
      <c r="A756" s="798"/>
      <c r="B756" s="799" t="s">
        <v>2538</v>
      </c>
      <c r="C756" s="853"/>
      <c r="D756" s="1989" t="s">
        <v>1467</v>
      </c>
      <c r="E756" s="1989"/>
      <c r="F756" s="1989"/>
      <c r="G756" s="854"/>
    </row>
    <row r="757" spans="1:11" s="855" customFormat="1">
      <c r="A757" s="853"/>
      <c r="B757" s="853"/>
      <c r="C757" s="853"/>
      <c r="D757" s="1989"/>
      <c r="E757" s="1989"/>
      <c r="F757" s="1989"/>
      <c r="G757" s="854"/>
    </row>
    <row r="758" spans="1:11" s="855" customFormat="1">
      <c r="A758" s="853"/>
      <c r="B758" s="853"/>
      <c r="C758" s="853"/>
      <c r="D758" s="1989"/>
      <c r="E758" s="1989"/>
      <c r="F758" s="1989"/>
      <c r="G758" s="854"/>
    </row>
    <row r="759" spans="1:11">
      <c r="A759" s="802"/>
      <c r="B759" s="802"/>
      <c r="C759" s="802"/>
      <c r="D759" s="839"/>
      <c r="E759" s="851"/>
      <c r="F759" s="851"/>
      <c r="G759" s="850"/>
      <c r="H759" s="844"/>
      <c r="I759" s="844"/>
      <c r="J759" s="844"/>
      <c r="K759" s="844"/>
    </row>
    <row r="760" spans="1:11" ht="14.25">
      <c r="A760" s="798"/>
      <c r="B760" s="799" t="s">
        <v>2537</v>
      </c>
      <c r="C760" s="802"/>
      <c r="D760" s="1908" t="s">
        <v>1409</v>
      </c>
      <c r="E760" s="1908"/>
      <c r="F760" s="1908"/>
      <c r="G760" s="850"/>
      <c r="H760" s="844"/>
      <c r="I760" s="844"/>
      <c r="J760" s="844"/>
      <c r="K760" s="844"/>
    </row>
    <row r="761" spans="1:11">
      <c r="A761" s="802"/>
      <c r="B761" s="802"/>
      <c r="C761" s="802"/>
      <c r="D761" s="1908"/>
      <c r="E761" s="1908"/>
      <c r="F761" s="1908"/>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2537</v>
      </c>
      <c r="C763" s="802"/>
      <c r="D763" s="1908" t="s">
        <v>1431</v>
      </c>
      <c r="E763" s="1908"/>
      <c r="F763" s="1908"/>
      <c r="G763" s="850"/>
      <c r="H763" s="844"/>
      <c r="I763" s="844"/>
      <c r="J763" s="844"/>
      <c r="K763" s="844"/>
    </row>
    <row r="764" spans="1:11">
      <c r="A764" s="802"/>
      <c r="B764" s="802"/>
      <c r="C764" s="802"/>
      <c r="D764" s="1908"/>
      <c r="E764" s="1908"/>
      <c r="F764" s="1908"/>
      <c r="G764" s="850"/>
      <c r="H764" s="844"/>
      <c r="I764" s="844"/>
      <c r="J764" s="844"/>
      <c r="K764" s="844"/>
    </row>
    <row r="765" spans="1:11">
      <c r="A765" s="802"/>
      <c r="B765" s="802"/>
      <c r="C765" s="802"/>
      <c r="D765" s="1908"/>
      <c r="E765" s="1908"/>
      <c r="F765" s="1908"/>
      <c r="G765" s="850"/>
      <c r="H765" s="844"/>
      <c r="I765" s="844"/>
      <c r="J765" s="844"/>
      <c r="K765" s="844"/>
    </row>
    <row r="766" spans="1:11">
      <c r="A766" s="802"/>
      <c r="B766" s="802"/>
      <c r="C766" s="802"/>
      <c r="D766" s="782"/>
      <c r="E766" s="782"/>
      <c r="F766" s="782"/>
      <c r="G766" s="850"/>
      <c r="H766" s="844"/>
      <c r="I766" s="844"/>
      <c r="J766" s="844"/>
      <c r="K766" s="844"/>
    </row>
    <row r="767" spans="1:11">
      <c r="A767" s="2009" t="s">
        <v>2378</v>
      </c>
      <c r="B767" s="2009"/>
      <c r="C767" s="2009"/>
      <c r="D767" s="2009"/>
      <c r="E767" s="2009"/>
      <c r="F767" s="2009"/>
      <c r="G767" s="2009"/>
    </row>
    <row r="768" spans="1:11">
      <c r="A768" s="93"/>
      <c r="B768" s="93"/>
      <c r="C768" s="1739"/>
      <c r="D768" s="155"/>
      <c r="E768" s="155"/>
      <c r="F768" s="155"/>
      <c r="G768" s="687"/>
    </row>
    <row r="769" spans="1:7">
      <c r="A769" s="93"/>
      <c r="B769" s="93"/>
      <c r="C769" s="1739"/>
      <c r="D769" s="2010" t="s">
        <v>2445</v>
      </c>
      <c r="E769" s="2010"/>
      <c r="F769" s="2010"/>
      <c r="G769" s="687"/>
    </row>
    <row r="770" spans="1:7">
      <c r="A770" s="93"/>
      <c r="B770" s="93"/>
      <c r="C770" s="1739"/>
      <c r="D770" s="2006" t="s">
        <v>2281</v>
      </c>
      <c r="E770" s="2006"/>
      <c r="F770" s="2006"/>
      <c r="G770" s="687"/>
    </row>
    <row r="771" spans="1:7">
      <c r="A771" s="93"/>
      <c r="B771" s="93"/>
      <c r="C771" s="1739"/>
      <c r="D771" s="734"/>
      <c r="E771" s="734"/>
      <c r="F771" s="734"/>
      <c r="G771" s="687"/>
    </row>
    <row r="772" spans="1:7">
      <c r="A772" s="93"/>
      <c r="B772" s="799" t="s">
        <v>2538</v>
      </c>
      <c r="C772" s="1739"/>
      <c r="D772" s="1929" t="s">
        <v>2282</v>
      </c>
      <c r="E772" s="1929"/>
      <c r="F772" s="1929"/>
      <c r="G772" s="687"/>
    </row>
    <row r="773" spans="1:7">
      <c r="A773" s="93"/>
      <c r="B773" s="93"/>
      <c r="C773" s="1739"/>
      <c r="D773" s="1929"/>
      <c r="E773" s="1929"/>
      <c r="F773" s="1929"/>
      <c r="G773" s="687"/>
    </row>
    <row r="774" spans="1:7">
      <c r="A774" s="721"/>
      <c r="B774" s="721"/>
      <c r="C774" s="314"/>
      <c r="D774" s="1929"/>
      <c r="E774" s="1929"/>
      <c r="F774" s="1929"/>
      <c r="G774" s="1740"/>
    </row>
    <row r="775" spans="1:7">
      <c r="A775" s="1733"/>
      <c r="B775" s="1733"/>
      <c r="C775" s="1741"/>
      <c r="D775" s="1716"/>
      <c r="E775" s="687"/>
      <c r="F775" s="687"/>
      <c r="G775" s="687"/>
    </row>
    <row r="776" spans="1:7">
      <c r="A776" s="267"/>
      <c r="B776" s="799" t="s">
        <v>2537</v>
      </c>
      <c r="C776" s="1742"/>
      <c r="D776" s="1929" t="s">
        <v>2283</v>
      </c>
      <c r="E776" s="1929"/>
      <c r="F776" s="1929"/>
      <c r="G776" s="687"/>
    </row>
    <row r="777" spans="1:7">
      <c r="A777" s="1743"/>
      <c r="B777" s="1743"/>
      <c r="C777" s="1744"/>
      <c r="D777" s="1929"/>
      <c r="E777" s="1929"/>
      <c r="F777" s="1929"/>
      <c r="G777" s="687"/>
    </row>
    <row r="778" spans="1:7">
      <c r="A778" s="267"/>
      <c r="B778" s="267"/>
      <c r="C778" s="1742"/>
      <c r="D778" s="1929"/>
      <c r="E778" s="1929"/>
      <c r="F778" s="1929"/>
      <c r="G778" s="687"/>
    </row>
    <row r="779" spans="1:7">
      <c r="A779" s="721"/>
      <c r="B779" s="721"/>
      <c r="C779" s="314"/>
      <c r="D779" s="6"/>
      <c r="E779" s="1745"/>
      <c r="F779" s="1745"/>
      <c r="G779" s="1746"/>
    </row>
    <row r="780" spans="1:7" ht="14.25">
      <c r="A780" s="715"/>
      <c r="B780" s="799" t="s">
        <v>2537</v>
      </c>
      <c r="C780" s="1747"/>
      <c r="D780" s="1929" t="s">
        <v>2284</v>
      </c>
      <c r="E780" s="1929"/>
      <c r="F780" s="1929"/>
      <c r="G780" s="1746"/>
    </row>
    <row r="781" spans="1:7" ht="14.25">
      <c r="A781" s="715"/>
      <c r="B781" s="715"/>
      <c r="C781" s="1747"/>
      <c r="D781" s="1929"/>
      <c r="E781" s="1929"/>
      <c r="F781" s="1929"/>
      <c r="G781" s="1746"/>
    </row>
    <row r="782" spans="1:7" ht="14.25">
      <c r="A782" s="715"/>
      <c r="B782" s="715"/>
      <c r="C782" s="1747"/>
      <c r="D782" s="1929"/>
      <c r="E782" s="1929"/>
      <c r="F782" s="1929"/>
      <c r="G782" s="1746"/>
    </row>
    <row r="783" spans="1:7" ht="14.25">
      <c r="A783" s="715"/>
      <c r="B783" s="715"/>
      <c r="C783" s="1747"/>
      <c r="D783" s="1713"/>
      <c r="E783" s="6"/>
      <c r="F783" s="6"/>
      <c r="G783" s="1746"/>
    </row>
    <row r="784" spans="1:7" ht="14.25">
      <c r="A784" s="715"/>
      <c r="B784" s="799" t="s">
        <v>2537</v>
      </c>
      <c r="C784" s="1747"/>
      <c r="D784" s="1929" t="s">
        <v>2285</v>
      </c>
      <c r="E784" s="1929"/>
      <c r="F784" s="1929"/>
      <c r="G784" s="1746"/>
    </row>
    <row r="785" spans="1:7" ht="14.25">
      <c r="A785" s="715"/>
      <c r="B785" s="715"/>
      <c r="C785" s="1747"/>
      <c r="D785" s="1929"/>
      <c r="E785" s="1929"/>
      <c r="F785" s="1929"/>
      <c r="G785" s="1746"/>
    </row>
    <row r="786" spans="1:7" ht="14.25">
      <c r="A786" s="715"/>
      <c r="B786" s="715"/>
      <c r="C786" s="1747"/>
      <c r="D786" s="1929"/>
      <c r="E786" s="1929"/>
      <c r="F786" s="1929"/>
      <c r="G786" s="1746"/>
    </row>
    <row r="787" spans="1:7" ht="14.25">
      <c r="A787" s="715"/>
      <c r="B787" s="715"/>
      <c r="C787" s="1747"/>
      <c r="D787" s="1929"/>
      <c r="E787" s="1929"/>
      <c r="F787" s="1929"/>
      <c r="G787" s="1746"/>
    </row>
    <row r="788" spans="1:7" ht="14.25">
      <c r="A788" s="715"/>
      <c r="B788" s="715"/>
      <c r="C788" s="1747"/>
      <c r="D788" s="1929"/>
      <c r="E788" s="1929"/>
      <c r="F788" s="1929"/>
      <c r="G788" s="1746"/>
    </row>
    <row r="789" spans="1:7" ht="14.25">
      <c r="A789" s="715"/>
      <c r="B789" s="715"/>
      <c r="C789" s="1747"/>
      <c r="D789" s="1929"/>
      <c r="E789" s="1929"/>
      <c r="F789" s="1929"/>
      <c r="G789" s="1746"/>
    </row>
    <row r="790" spans="1:7" ht="14.25">
      <c r="A790" s="715"/>
      <c r="B790" s="715"/>
      <c r="C790" s="1747"/>
      <c r="D790" s="1929" t="s">
        <v>2379</v>
      </c>
      <c r="E790" s="1929"/>
      <c r="F790" s="1929"/>
      <c r="G790" s="1746"/>
    </row>
    <row r="791" spans="1:7" ht="14.25">
      <c r="A791" s="715"/>
      <c r="B791" s="715"/>
      <c r="C791" s="1747"/>
      <c r="D791" s="1929"/>
      <c r="E791" s="1929"/>
      <c r="F791" s="1929"/>
      <c r="G791" s="1746"/>
    </row>
    <row r="792" spans="1:7" ht="14.25">
      <c r="A792" s="715"/>
      <c r="B792" s="715"/>
      <c r="C792" s="1747"/>
      <c r="D792" s="1929"/>
      <c r="E792" s="1929"/>
      <c r="F792" s="1929"/>
      <c r="G792" s="1746"/>
    </row>
    <row r="793" spans="1:7" ht="14.25">
      <c r="A793" s="715"/>
      <c r="B793" s="557"/>
      <c r="C793" s="1747"/>
      <c r="D793" s="1748"/>
      <c r="E793" s="1748"/>
      <c r="F793" s="1748"/>
      <c r="G793" s="1746"/>
    </row>
    <row r="794" spans="1:7" ht="14.25">
      <c r="A794" s="715"/>
      <c r="B794" s="799" t="s">
        <v>2537</v>
      </c>
      <c r="C794" s="1747"/>
      <c r="D794" s="1929" t="s">
        <v>2286</v>
      </c>
      <c r="E794" s="1929"/>
      <c r="F794" s="1929"/>
      <c r="G794" s="1746"/>
    </row>
    <row r="795" spans="1:7" ht="14.25">
      <c r="A795" s="715"/>
      <c r="B795" s="715"/>
      <c r="C795" s="1747"/>
      <c r="D795" s="1929"/>
      <c r="E795" s="1929"/>
      <c r="F795" s="1929"/>
      <c r="G795" s="1746"/>
    </row>
    <row r="796" spans="1:7" ht="14.25">
      <c r="A796" s="715"/>
      <c r="B796" s="715"/>
      <c r="C796" s="1747"/>
      <c r="D796" s="1929"/>
      <c r="E796" s="1929"/>
      <c r="F796" s="1929"/>
      <c r="G796" s="1746"/>
    </row>
    <row r="797" spans="1:7" ht="14.25">
      <c r="A797" s="715"/>
      <c r="B797" s="715"/>
      <c r="C797" s="1747"/>
      <c r="D797" s="1929"/>
      <c r="E797" s="1929"/>
      <c r="F797" s="1929"/>
      <c r="G797" s="1746"/>
    </row>
    <row r="798" spans="1:7" ht="14.25">
      <c r="A798" s="715"/>
      <c r="B798" s="715"/>
      <c r="C798" s="1747"/>
      <c r="D798" s="1929"/>
      <c r="E798" s="1929"/>
      <c r="F798" s="1929"/>
      <c r="G798" s="1746"/>
    </row>
    <row r="799" spans="1:7" ht="14.25">
      <c r="A799" s="715"/>
      <c r="B799" s="715"/>
      <c r="C799" s="1747"/>
      <c r="D799" s="1929"/>
      <c r="E799" s="1929"/>
      <c r="F799" s="1929"/>
      <c r="G799" s="1746"/>
    </row>
    <row r="800" spans="1:7" ht="14.25">
      <c r="A800" s="715"/>
      <c r="B800" s="715"/>
      <c r="C800" s="1747"/>
      <c r="D800" s="1724"/>
      <c r="E800" s="1724"/>
      <c r="F800" s="1724"/>
      <c r="G800" s="1746"/>
    </row>
    <row r="801" spans="1:7" ht="14.25">
      <c r="A801" s="715"/>
      <c r="B801" s="799" t="s">
        <v>2538</v>
      </c>
      <c r="C801" s="1747"/>
      <c r="D801" s="1929" t="s">
        <v>2287</v>
      </c>
      <c r="E801" s="1929"/>
      <c r="F801" s="1929"/>
      <c r="G801" s="1746"/>
    </row>
    <row r="802" spans="1:7" ht="14.25">
      <c r="A802" s="715"/>
      <c r="B802" s="715"/>
      <c r="C802" s="1747"/>
      <c r="D802" s="1929"/>
      <c r="E802" s="1929"/>
      <c r="F802" s="1929"/>
      <c r="G802" s="1746"/>
    </row>
    <row r="803" spans="1:7" ht="14.25">
      <c r="A803" s="715"/>
      <c r="B803" s="715"/>
      <c r="C803" s="1747"/>
      <c r="D803" s="1929"/>
      <c r="E803" s="1929"/>
      <c r="F803" s="1929"/>
      <c r="G803" s="1746"/>
    </row>
    <row r="804" spans="1:7" ht="14.25">
      <c r="A804" s="715"/>
      <c r="B804" s="715"/>
      <c r="C804" s="1747"/>
      <c r="D804" s="1929"/>
      <c r="E804" s="1929"/>
      <c r="F804" s="1929"/>
      <c r="G804" s="1746"/>
    </row>
    <row r="805" spans="1:7" ht="14.25">
      <c r="A805" s="715"/>
      <c r="B805" s="715"/>
      <c r="C805" s="1747"/>
      <c r="D805" s="1929"/>
      <c r="E805" s="1929"/>
      <c r="F805" s="1929"/>
      <c r="G805" s="1746"/>
    </row>
    <row r="806" spans="1:7" ht="14.25">
      <c r="A806" s="715"/>
      <c r="B806" s="715"/>
      <c r="C806" s="1747"/>
      <c r="D806" s="1929"/>
      <c r="E806" s="1929"/>
      <c r="F806" s="1929"/>
      <c r="G806" s="1746"/>
    </row>
    <row r="807" spans="1:7" ht="14.25">
      <c r="A807" s="715"/>
      <c r="B807" s="715"/>
      <c r="C807" s="1747"/>
      <c r="D807" s="1724"/>
      <c r="E807" s="1724"/>
      <c r="F807" s="1724"/>
      <c r="G807" s="1746"/>
    </row>
    <row r="808" spans="1:7" ht="14.25">
      <c r="A808" s="715"/>
      <c r="B808" s="799" t="s">
        <v>2537</v>
      </c>
      <c r="C808" s="1747"/>
      <c r="D808" s="1926" t="s">
        <v>2288</v>
      </c>
      <c r="E808" s="1926"/>
      <c r="F808" s="1926"/>
      <c r="G808" s="1746"/>
    </row>
    <row r="809" spans="1:7" ht="14.25">
      <c r="A809" s="715"/>
      <c r="B809" s="715"/>
      <c r="C809" s="1747"/>
      <c r="D809" s="1926"/>
      <c r="E809" s="1926"/>
      <c r="F809" s="1926"/>
      <c r="G809" s="1746"/>
    </row>
    <row r="810" spans="1:7">
      <c r="A810" s="1732"/>
      <c r="B810" s="1732"/>
      <c r="C810" s="1747"/>
      <c r="D810" s="1926"/>
      <c r="E810" s="1926"/>
      <c r="F810" s="1926"/>
      <c r="G810" s="1746"/>
    </row>
    <row r="811" spans="1:7" ht="14.25">
      <c r="A811" s="715"/>
      <c r="B811" s="1732"/>
      <c r="C811" s="1747"/>
      <c r="D811" s="1926"/>
      <c r="E811" s="1926"/>
      <c r="F811" s="1926"/>
      <c r="G811" s="1746"/>
    </row>
    <row r="812" spans="1:7" ht="12.75" customHeight="1">
      <c r="A812" s="715"/>
      <c r="B812" s="1732"/>
      <c r="C812" s="1747"/>
      <c r="D812" s="1926"/>
      <c r="E812" s="1926"/>
      <c r="F812" s="1926"/>
      <c r="G812" s="1746"/>
    </row>
    <row r="813" spans="1:7" ht="12.75" customHeight="1">
      <c r="A813" s="715"/>
      <c r="B813" s="1732"/>
      <c r="C813" s="1747"/>
      <c r="D813" s="1926"/>
      <c r="E813" s="1926"/>
      <c r="F813" s="1926"/>
      <c r="G813" s="1746"/>
    </row>
    <row r="814" spans="1:7" ht="12.75" customHeight="1">
      <c r="A814" s="1732"/>
      <c r="B814" s="1732"/>
      <c r="C814" s="1747"/>
      <c r="D814" s="1745"/>
      <c r="E814" s="6"/>
      <c r="F814" s="6"/>
      <c r="G814" s="1746"/>
    </row>
    <row r="815" spans="1:7" ht="12.75" customHeight="1">
      <c r="A815" s="1938" t="s">
        <v>2289</v>
      </c>
      <c r="B815" s="1938"/>
      <c r="C815" s="1938"/>
      <c r="D815" s="1938"/>
      <c r="E815" s="1938"/>
      <c r="F815" s="1938"/>
      <c r="G815" s="1938"/>
    </row>
    <row r="816" spans="1:7" ht="12.75" customHeight="1">
      <c r="A816" s="1721"/>
      <c r="B816" s="1721"/>
      <c r="C816" s="1747"/>
      <c r="D816" s="1745"/>
      <c r="E816" s="1745"/>
      <c r="F816" s="1745"/>
      <c r="G816" s="1746"/>
    </row>
    <row r="817" spans="1:7" ht="12.75" customHeight="1">
      <c r="A817" s="715"/>
      <c r="B817" s="715"/>
      <c r="C817" s="557"/>
      <c r="D817" s="1918" t="s">
        <v>2380</v>
      </c>
      <c r="E817" s="1918"/>
      <c r="F817" s="1918"/>
      <c r="G817" s="679"/>
    </row>
    <row r="818" spans="1:7" ht="14.25" customHeight="1">
      <c r="A818" s="715"/>
      <c r="B818" s="715"/>
      <c r="C818" s="557"/>
      <c r="D818" s="1869" t="s">
        <v>2290</v>
      </c>
      <c r="E818" s="1869"/>
      <c r="F818" s="1869"/>
      <c r="G818" s="679"/>
    </row>
    <row r="819" spans="1:7" ht="12.75" customHeight="1">
      <c r="A819" s="715"/>
      <c r="B819" s="715"/>
      <c r="C819" s="557"/>
      <c r="D819" s="1707"/>
      <c r="E819" s="1707"/>
      <c r="F819" s="1707"/>
      <c r="G819" s="679"/>
    </row>
    <row r="820" spans="1:7" ht="12.75" customHeight="1">
      <c r="A820" s="1749"/>
      <c r="B820" s="799" t="s">
        <v>2538</v>
      </c>
      <c r="C820" s="1747"/>
      <c r="D820" s="1869" t="s">
        <v>2291</v>
      </c>
      <c r="E820" s="1869"/>
      <c r="F820" s="1869"/>
      <c r="G820" s="679"/>
    </row>
    <row r="821" spans="1:7" ht="14.25" customHeight="1">
      <c r="A821" s="1732"/>
      <c r="B821" s="1732"/>
      <c r="C821" s="1747"/>
      <c r="D821" s="5" t="s">
        <v>2267</v>
      </c>
      <c r="E821" s="1878" t="s">
        <v>2292</v>
      </c>
      <c r="F821" s="1878"/>
      <c r="G821" s="679"/>
    </row>
    <row r="822" spans="1:7" ht="12.75" customHeight="1">
      <c r="A822" s="1732"/>
      <c r="B822" s="1732"/>
      <c r="C822" s="1747"/>
      <c r="D822" s="1750"/>
      <c r="E822" s="6"/>
      <c r="F822" s="6"/>
      <c r="G822" s="679"/>
    </row>
    <row r="823" spans="1:7" ht="14.25" hidden="1" customHeight="1">
      <c r="A823" s="1732"/>
      <c r="B823" s="799" t="s">
        <v>317</v>
      </c>
      <c r="C823" s="1747"/>
      <c r="D823" s="1982" t="s">
        <v>2293</v>
      </c>
      <c r="E823" s="1982"/>
      <c r="F823" s="1982"/>
      <c r="G823" s="679"/>
    </row>
    <row r="824" spans="1:7" ht="12.75" hidden="1" customHeight="1">
      <c r="A824" s="1732"/>
      <c r="B824" s="1732"/>
      <c r="C824" s="1747"/>
      <c r="D824" s="1982"/>
      <c r="E824" s="1982"/>
      <c r="F824" s="1982"/>
      <c r="G824" s="679"/>
    </row>
    <row r="825" spans="1:7" ht="12.75" hidden="1" customHeight="1">
      <c r="A825" s="1732"/>
      <c r="B825" s="1732"/>
      <c r="C825" s="1747"/>
      <c r="D825" s="1982"/>
      <c r="E825" s="1982"/>
      <c r="F825" s="1982"/>
      <c r="G825" s="679"/>
    </row>
    <row r="826" spans="1:7" ht="12.75" hidden="1" customHeight="1">
      <c r="A826" s="1732"/>
      <c r="B826" s="1732"/>
      <c r="C826" s="1747"/>
      <c r="D826" s="1982"/>
      <c r="E826" s="1982"/>
      <c r="F826" s="1982"/>
      <c r="G826" s="679"/>
    </row>
    <row r="827" spans="1:7" ht="12.75" hidden="1" customHeight="1">
      <c r="A827" s="1732"/>
      <c r="B827" s="1732"/>
      <c r="C827" s="1747"/>
      <c r="D827" s="1982"/>
      <c r="E827" s="1982"/>
      <c r="F827" s="1982"/>
      <c r="G827" s="679"/>
    </row>
    <row r="828" spans="1:7" ht="12.75" hidden="1" customHeight="1">
      <c r="A828" s="1732"/>
      <c r="B828" s="1732"/>
      <c r="C828" s="1747"/>
      <c r="D828" s="1982"/>
      <c r="E828" s="1982"/>
      <c r="F828" s="1982"/>
      <c r="G828" s="679"/>
    </row>
    <row r="829" spans="1:7" ht="12.75" hidden="1" customHeight="1">
      <c r="A829" s="1732"/>
      <c r="B829" s="1732"/>
      <c r="C829" s="1747"/>
      <c r="D829" s="1982"/>
      <c r="E829" s="1982"/>
      <c r="F829" s="1982"/>
      <c r="G829" s="679"/>
    </row>
    <row r="830" spans="1:7" ht="12.75" hidden="1" customHeight="1">
      <c r="A830" s="1732"/>
      <c r="B830" s="1732"/>
      <c r="C830" s="1747"/>
      <c r="D830" s="1982"/>
      <c r="E830" s="1982"/>
      <c r="F830" s="1982"/>
      <c r="G830" s="679"/>
    </row>
    <row r="831" spans="1:7" ht="12.75" hidden="1" customHeight="1">
      <c r="A831" s="1732"/>
      <c r="B831" s="1732"/>
      <c r="C831" s="1747"/>
      <c r="D831" s="1982"/>
      <c r="E831" s="1982"/>
      <c r="F831" s="1982"/>
      <c r="G831" s="679"/>
    </row>
    <row r="832" spans="1:7" ht="12.75" hidden="1" customHeight="1">
      <c r="A832" s="1732"/>
      <c r="B832" s="1732"/>
      <c r="C832" s="1747"/>
      <c r="D832" s="1982"/>
      <c r="E832" s="1982"/>
      <c r="F832" s="1982"/>
      <c r="G832" s="679"/>
    </row>
    <row r="833" spans="1:7" ht="12.75" hidden="1" customHeight="1">
      <c r="A833" s="1732"/>
      <c r="B833" s="1732"/>
      <c r="C833" s="1747"/>
      <c r="D833" s="1750"/>
      <c r="E833" s="6"/>
      <c r="F833" s="6"/>
      <c r="G833" s="679"/>
    </row>
    <row r="834" spans="1:7" ht="12.75" customHeight="1">
      <c r="A834" s="715"/>
      <c r="B834" s="799" t="s">
        <v>2538</v>
      </c>
      <c r="C834" s="1747"/>
      <c r="D834" s="1869" t="s">
        <v>2294</v>
      </c>
      <c r="E834" s="1869"/>
      <c r="F834" s="1869"/>
      <c r="G834" s="679"/>
    </row>
    <row r="835" spans="1:7" ht="12.75" customHeight="1">
      <c r="A835" s="715"/>
      <c r="B835" s="715"/>
      <c r="C835" s="1747"/>
      <c r="D835" s="1869"/>
      <c r="E835" s="1869"/>
      <c r="F835" s="1869"/>
      <c r="G835" s="679"/>
    </row>
    <row r="836" spans="1:7" ht="12.75" customHeight="1">
      <c r="A836" s="715"/>
      <c r="B836" s="715"/>
      <c r="C836" s="1747"/>
      <c r="D836" s="1869"/>
      <c r="E836" s="1869"/>
      <c r="F836" s="1869"/>
      <c r="G836" s="679"/>
    </row>
    <row r="837" spans="1:7" ht="12.75" customHeight="1">
      <c r="A837" s="404"/>
      <c r="B837" s="404"/>
      <c r="C837" s="1751"/>
      <c r="D837" s="1728"/>
      <c r="E837" s="679"/>
      <c r="F837" s="679"/>
      <c r="G837" s="679"/>
    </row>
    <row r="838" spans="1:7" ht="12.75" customHeight="1">
      <c r="A838" s="1752"/>
      <c r="B838" s="799" t="s">
        <v>2537</v>
      </c>
      <c r="C838" s="1751"/>
      <c r="D838" s="1980" t="s">
        <v>2295</v>
      </c>
      <c r="E838" s="1980"/>
      <c r="F838" s="1980"/>
      <c r="G838" s="679"/>
    </row>
    <row r="839" spans="1:7" ht="12.75" customHeight="1">
      <c r="A839" s="557"/>
      <c r="B839" s="1752"/>
      <c r="C839" s="1751"/>
      <c r="D839" s="1980"/>
      <c r="E839" s="1980"/>
      <c r="F839" s="1980"/>
      <c r="G839" s="679"/>
    </row>
    <row r="840" spans="1:7" ht="12.75" customHeight="1">
      <c r="A840" s="404"/>
      <c r="B840" s="557"/>
      <c r="C840" s="1751"/>
      <c r="D840" s="1870" t="s">
        <v>2296</v>
      </c>
      <c r="E840" s="1870"/>
      <c r="F840" s="1870"/>
      <c r="G840" s="679"/>
    </row>
    <row r="841" spans="1:7" ht="12.75" customHeight="1">
      <c r="A841" s="404"/>
      <c r="B841" s="404"/>
      <c r="C841" s="1751"/>
      <c r="D841" s="1870"/>
      <c r="E841" s="1870"/>
      <c r="F841" s="1870"/>
      <c r="G841" s="679"/>
    </row>
    <row r="842" spans="1:7" ht="12.75" customHeight="1">
      <c r="A842" s="404"/>
      <c r="B842" s="404"/>
      <c r="C842" s="1751"/>
      <c r="D842" s="1870"/>
      <c r="E842" s="1870"/>
      <c r="F842" s="1870"/>
      <c r="G842" s="679"/>
    </row>
    <row r="843" spans="1:7" ht="12.75" customHeight="1">
      <c r="A843" s="404"/>
      <c r="B843" s="404"/>
      <c r="C843" s="1751"/>
      <c r="D843" s="1870"/>
      <c r="E843" s="1870"/>
      <c r="F843" s="1870"/>
      <c r="G843" s="679"/>
    </row>
    <row r="844" spans="1:7" ht="12.75" customHeight="1">
      <c r="A844" s="404"/>
      <c r="B844" s="404"/>
      <c r="C844" s="1751"/>
      <c r="D844" s="1870"/>
      <c r="E844" s="1870"/>
      <c r="F844" s="1870"/>
      <c r="G844" s="679"/>
    </row>
    <row r="845" spans="1:7" ht="12.75" customHeight="1">
      <c r="A845" s="404"/>
      <c r="B845" s="404"/>
      <c r="C845" s="1751"/>
      <c r="D845" s="1870"/>
      <c r="E845" s="1870"/>
      <c r="F845" s="1870"/>
      <c r="G845" s="679"/>
    </row>
    <row r="846" spans="1:7" ht="12.75" customHeight="1">
      <c r="A846" s="404"/>
      <c r="B846" s="404"/>
      <c r="C846" s="1751"/>
      <c r="D846" s="1728"/>
      <c r="E846" s="679"/>
      <c r="F846" s="679"/>
      <c r="G846" s="679"/>
    </row>
    <row r="847" spans="1:7" ht="12.75" customHeight="1">
      <c r="A847" s="404"/>
      <c r="B847" s="799" t="s">
        <v>2537</v>
      </c>
      <c r="C847" s="1751"/>
      <c r="D847" s="1870" t="s">
        <v>2297</v>
      </c>
      <c r="E847" s="1870"/>
      <c r="F847" s="1870"/>
      <c r="G847" s="679"/>
    </row>
    <row r="848" spans="1:7" ht="12.75" customHeight="1">
      <c r="A848" s="404"/>
      <c r="B848" s="404"/>
      <c r="C848" s="1751"/>
      <c r="D848" s="1870" t="s">
        <v>2298</v>
      </c>
      <c r="E848" s="1870"/>
      <c r="F848" s="1870"/>
      <c r="G848" s="679"/>
    </row>
    <row r="849" spans="1:7" ht="12.75" customHeight="1">
      <c r="A849" s="404"/>
      <c r="B849" s="404"/>
      <c r="C849" s="1751"/>
      <c r="D849" s="183" t="s">
        <v>2264</v>
      </c>
      <c r="E849" s="1975" t="s">
        <v>2299</v>
      </c>
      <c r="F849" s="1975"/>
      <c r="G849" s="679"/>
    </row>
    <row r="850" spans="1:7" ht="12.75" customHeight="1">
      <c r="A850" s="404"/>
      <c r="B850" s="404"/>
      <c r="C850" s="1751"/>
      <c r="D850" s="1728"/>
      <c r="E850" s="679"/>
      <c r="F850" s="679"/>
      <c r="G850" s="679"/>
    </row>
    <row r="851" spans="1:7" ht="12.75" customHeight="1">
      <c r="A851" s="404"/>
      <c r="B851" s="799" t="s">
        <v>2537</v>
      </c>
      <c r="C851" s="1751"/>
      <c r="D851" s="1870" t="s">
        <v>2300</v>
      </c>
      <c r="E851" s="1870"/>
      <c r="F851" s="1870"/>
      <c r="G851" s="679"/>
    </row>
    <row r="852" spans="1:7" ht="12.75" customHeight="1">
      <c r="A852" s="404"/>
      <c r="B852" s="404"/>
      <c r="C852" s="1751"/>
      <c r="D852" s="1870"/>
      <c r="E852" s="1870"/>
      <c r="F852" s="1870"/>
      <c r="G852" s="679"/>
    </row>
    <row r="853" spans="1:7" ht="12.75" customHeight="1">
      <c r="A853" s="404"/>
      <c r="B853" s="404"/>
      <c r="C853" s="1751"/>
      <c r="D853" s="1870"/>
      <c r="E853" s="1870"/>
      <c r="F853" s="1870"/>
      <c r="G853" s="679"/>
    </row>
    <row r="854" spans="1:7" ht="12.75" customHeight="1">
      <c r="A854" s="404"/>
      <c r="B854" s="404"/>
      <c r="C854" s="1751"/>
      <c r="D854" s="1870"/>
      <c r="E854" s="1870"/>
      <c r="F854" s="1870"/>
      <c r="G854" s="679"/>
    </row>
    <row r="855" spans="1:7" ht="12.75" customHeight="1">
      <c r="A855" s="1721"/>
      <c r="B855" s="1721"/>
      <c r="C855" s="1753"/>
      <c r="D855" s="1713"/>
      <c r="E855" s="6"/>
      <c r="F855" s="6"/>
      <c r="G855" s="679"/>
    </row>
    <row r="856" spans="1:7" ht="12.75" customHeight="1">
      <c r="A856" s="1727" t="s">
        <v>2301</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92" t="s">
        <v>2381</v>
      </c>
      <c r="E858" s="1892"/>
      <c r="F858" s="1892"/>
      <c r="G858" s="1746"/>
    </row>
    <row r="859" spans="1:7" ht="12.75" customHeight="1">
      <c r="A859" s="1749"/>
      <c r="B859" s="1749"/>
      <c r="C859" s="314"/>
      <c r="D859" s="1981" t="s">
        <v>2302</v>
      </c>
      <c r="E859" s="1981"/>
      <c r="F859" s="1981"/>
      <c r="G859" s="1746"/>
    </row>
    <row r="860" spans="1:7" ht="12.75" customHeight="1">
      <c r="A860" s="1749"/>
      <c r="B860" s="1749"/>
      <c r="C860" s="314"/>
      <c r="D860" s="1757"/>
      <c r="E860" s="1757"/>
      <c r="F860" s="1757"/>
      <c r="G860" s="1746"/>
    </row>
    <row r="861" spans="1:7" ht="12.75" customHeight="1">
      <c r="A861" s="715"/>
      <c r="B861" s="799" t="s">
        <v>2538</v>
      </c>
      <c r="C861" s="557"/>
      <c r="D861" s="1882" t="s">
        <v>2303</v>
      </c>
      <c r="E861" s="1882"/>
      <c r="F861" s="1882"/>
      <c r="G861" s="1746"/>
    </row>
    <row r="862" spans="1:7" ht="12.75" customHeight="1">
      <c r="A862" s="1749"/>
      <c r="B862" s="1749"/>
      <c r="C862" s="557"/>
      <c r="D862" s="5" t="s">
        <v>2264</v>
      </c>
      <c r="E862" s="1977" t="s">
        <v>2299</v>
      </c>
      <c r="F862" s="1977"/>
      <c r="G862" s="1746"/>
    </row>
    <row r="863" spans="1:7" ht="12.75" customHeight="1">
      <c r="A863" s="1749"/>
      <c r="B863" s="1749"/>
      <c r="C863" s="557"/>
      <c r="D863" s="1713"/>
      <c r="E863" s="1745"/>
      <c r="F863" s="1745"/>
      <c r="G863" s="1746"/>
    </row>
    <row r="864" spans="1:7" ht="12.75" customHeight="1">
      <c r="A864" s="715"/>
      <c r="B864" s="799" t="s">
        <v>2538</v>
      </c>
      <c r="C864" s="557"/>
      <c r="D864" s="1869" t="s">
        <v>2304</v>
      </c>
      <c r="E864" s="1893"/>
      <c r="F864" s="1893"/>
      <c r="G864" s="679"/>
    </row>
    <row r="865" spans="1:7" ht="12.75" customHeight="1">
      <c r="A865" s="1749"/>
      <c r="B865" s="1749"/>
      <c r="C865" s="557"/>
      <c r="D865" s="1893"/>
      <c r="E865" s="1893"/>
      <c r="F865" s="1893"/>
      <c r="G865" s="679"/>
    </row>
    <row r="866" spans="1:7" ht="12.75" customHeight="1">
      <c r="A866" s="1749"/>
      <c r="B866" s="1749"/>
      <c r="C866" s="557"/>
      <c r="D866" s="1713"/>
      <c r="E866" s="6"/>
      <c r="F866" s="6"/>
      <c r="G866" s="679"/>
    </row>
    <row r="867" spans="1:7" ht="12.75" customHeight="1">
      <c r="A867" s="557"/>
      <c r="B867" s="799" t="s">
        <v>2537</v>
      </c>
      <c r="C867" s="558"/>
      <c r="D867" s="1978" t="s">
        <v>2305</v>
      </c>
      <c r="E867" s="1978"/>
      <c r="F867" s="1978"/>
      <c r="G867" s="1746"/>
    </row>
    <row r="868" spans="1:7" ht="12.75" customHeight="1">
      <c r="A868" s="557"/>
      <c r="B868" s="1758"/>
      <c r="C868" s="558"/>
      <c r="D868" s="1978"/>
      <c r="E868" s="1978"/>
      <c r="F868" s="1978"/>
      <c r="G868" s="1746"/>
    </row>
    <row r="869" spans="1:7" ht="12.75" customHeight="1">
      <c r="A869" s="715"/>
      <c r="B869" s="678"/>
      <c r="C869" s="557"/>
      <c r="D869" s="1870" t="s">
        <v>2296</v>
      </c>
      <c r="E869" s="1870"/>
      <c r="F869" s="1870"/>
      <c r="G869" s="1746"/>
    </row>
    <row r="870" spans="1:7" ht="12.75" customHeight="1">
      <c r="A870" s="715"/>
      <c r="B870" s="715"/>
      <c r="C870" s="557"/>
      <c r="D870" s="1870"/>
      <c r="E870" s="1870"/>
      <c r="F870" s="1870"/>
      <c r="G870" s="1746"/>
    </row>
    <row r="871" spans="1:7" ht="12.75" customHeight="1">
      <c r="A871" s="715"/>
      <c r="B871" s="715"/>
      <c r="C871" s="557"/>
      <c r="D871" s="1870"/>
      <c r="E871" s="1870"/>
      <c r="F871" s="1870"/>
      <c r="G871" s="1746"/>
    </row>
    <row r="872" spans="1:7" ht="12.75" customHeight="1">
      <c r="A872" s="715"/>
      <c r="B872" s="715"/>
      <c r="C872" s="557"/>
      <c r="D872" s="1870"/>
      <c r="E872" s="1870"/>
      <c r="F872" s="1870"/>
      <c r="G872" s="1746"/>
    </row>
    <row r="873" spans="1:7" ht="12.75" customHeight="1">
      <c r="A873" s="715"/>
      <c r="B873" s="715"/>
      <c r="C873" s="557"/>
      <c r="D873" s="1870"/>
      <c r="E873" s="1870"/>
      <c r="F873" s="1870"/>
      <c r="G873" s="1746"/>
    </row>
    <row r="874" spans="1:7" ht="12.75" customHeight="1">
      <c r="A874" s="715"/>
      <c r="B874" s="715"/>
      <c r="C874" s="557"/>
      <c r="D874" s="1870"/>
      <c r="E874" s="1870"/>
      <c r="F874" s="1870"/>
      <c r="G874" s="1746"/>
    </row>
    <row r="875" spans="1:7" ht="12.75" customHeight="1">
      <c r="A875" s="715"/>
      <c r="B875" s="715"/>
      <c r="C875" s="557"/>
      <c r="D875" s="1713"/>
      <c r="E875" s="1745"/>
      <c r="F875" s="1745"/>
      <c r="G875" s="1746"/>
    </row>
    <row r="876" spans="1:7" ht="12.75" customHeight="1">
      <c r="A876" s="715"/>
      <c r="B876" s="799" t="s">
        <v>2537</v>
      </c>
      <c r="C876" s="557"/>
      <c r="D876" s="1935" t="s">
        <v>2297</v>
      </c>
      <c r="E876" s="1935"/>
      <c r="F876" s="1935"/>
      <c r="G876" s="1746"/>
    </row>
    <row r="877" spans="1:7" ht="12.75" customHeight="1">
      <c r="A877" s="715"/>
      <c r="B877" s="715"/>
      <c r="C877" s="557"/>
      <c r="D877" s="1935" t="s">
        <v>2298</v>
      </c>
      <c r="E877" s="1935"/>
      <c r="F877" s="1935"/>
      <c r="G877" s="1746"/>
    </row>
    <row r="878" spans="1:7" ht="12.75" customHeight="1">
      <c r="A878" s="715"/>
      <c r="B878" s="715"/>
      <c r="C878" s="557"/>
      <c r="D878" s="5" t="s">
        <v>1512</v>
      </c>
      <c r="E878" s="1979" t="s">
        <v>2299</v>
      </c>
      <c r="F878" s="1979"/>
      <c r="G878" s="1746"/>
    </row>
    <row r="879" spans="1:7" ht="12.75" customHeight="1">
      <c r="A879" s="715"/>
      <c r="B879" s="715"/>
      <c r="C879" s="557"/>
      <c r="D879" s="1713"/>
      <c r="E879" s="1745"/>
      <c r="F879" s="1745"/>
      <c r="G879" s="1746"/>
    </row>
    <row r="880" spans="1:7" ht="12.75" customHeight="1">
      <c r="A880" s="715"/>
      <c r="B880" s="799" t="s">
        <v>2537</v>
      </c>
      <c r="C880" s="557"/>
      <c r="D880" s="1869" t="s">
        <v>2300</v>
      </c>
      <c r="E880" s="1869"/>
      <c r="F880" s="1869"/>
      <c r="G880" s="1746"/>
    </row>
    <row r="881" spans="1:7" ht="12.75" customHeight="1">
      <c r="A881" s="715"/>
      <c r="B881" s="715"/>
      <c r="C881" s="557"/>
      <c r="D881" s="1869"/>
      <c r="E881" s="1869"/>
      <c r="F881" s="1869"/>
      <c r="G881" s="1746"/>
    </row>
    <row r="882" spans="1:7" ht="12.75" customHeight="1">
      <c r="A882" s="715"/>
      <c r="B882" s="715"/>
      <c r="C882" s="557"/>
      <c r="D882" s="1869"/>
      <c r="E882" s="1869"/>
      <c r="F882" s="1869"/>
      <c r="G882" s="1746"/>
    </row>
    <row r="883" spans="1:7" ht="12.75" customHeight="1">
      <c r="A883" s="715"/>
      <c r="B883" s="715"/>
      <c r="C883" s="557"/>
      <c r="D883" s="1869"/>
      <c r="E883" s="1869"/>
      <c r="F883" s="1869"/>
      <c r="G883" s="1746"/>
    </row>
    <row r="884" spans="1:7" ht="12.75" customHeight="1">
      <c r="A884" s="1714"/>
      <c r="B884" s="1714"/>
      <c r="C884" s="1747"/>
      <c r="D884" s="1745"/>
      <c r="E884" s="1745"/>
      <c r="F884" s="1745"/>
      <c r="G884" s="1746"/>
    </row>
    <row r="885" spans="1:7" ht="12.75" customHeight="1">
      <c r="A885" s="1938" t="s">
        <v>2382</v>
      </c>
      <c r="B885" s="1938"/>
      <c r="C885" s="1938"/>
      <c r="D885" s="1938"/>
      <c r="E885" s="1938"/>
      <c r="F885" s="1938"/>
      <c r="G885" s="1938"/>
    </row>
    <row r="886" spans="1:7" s="1790" customFormat="1" ht="12.75" customHeight="1">
      <c r="A886" s="93"/>
      <c r="B886" s="93"/>
      <c r="C886" s="93"/>
      <c r="D886" s="93"/>
      <c r="E886" s="93"/>
      <c r="F886" s="93"/>
      <c r="G886" s="93"/>
    </row>
    <row r="887" spans="1:7" s="1790" customFormat="1" ht="12.75" customHeight="1">
      <c r="A887" s="93"/>
      <c r="B887" s="93"/>
      <c r="C887" s="93"/>
      <c r="D887" s="1928" t="s">
        <v>2388</v>
      </c>
      <c r="E887" s="1928"/>
      <c r="F887" s="1928"/>
      <c r="G887" s="93"/>
    </row>
    <row r="888" spans="1:7" s="1790" customFormat="1" ht="12.75" customHeight="1">
      <c r="A888" s="93"/>
      <c r="B888" s="93"/>
      <c r="C888" s="93"/>
      <c r="D888" s="1723"/>
      <c r="E888" s="1723"/>
      <c r="F888" s="1723"/>
      <c r="G888" s="93"/>
    </row>
    <row r="889" spans="1:7" s="1790" customFormat="1" ht="12.75" customHeight="1">
      <c r="A889" s="93"/>
      <c r="B889" s="1793" t="s">
        <v>2538</v>
      </c>
      <c r="C889" s="93"/>
      <c r="D889" s="1729" t="s">
        <v>2389</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28" t="s">
        <v>2383</v>
      </c>
      <c r="E891" s="1928"/>
      <c r="F891" s="1928"/>
      <c r="G891" s="1746"/>
    </row>
    <row r="892" spans="1:7" ht="12.75" customHeight="1">
      <c r="A892" s="1721"/>
      <c r="B892" s="1721"/>
      <c r="C892" s="1753"/>
      <c r="D892" s="1882" t="s">
        <v>2306</v>
      </c>
      <c r="E892" s="1882"/>
      <c r="F892" s="1882"/>
      <c r="G892" s="1746"/>
    </row>
    <row r="893" spans="1:7" ht="12.75" customHeight="1">
      <c r="A893" s="1721"/>
      <c r="B893" s="1721"/>
      <c r="C893" s="1753"/>
      <c r="D893" s="6"/>
      <c r="E893" s="6"/>
      <c r="F893" s="1745"/>
      <c r="G893" s="1746"/>
    </row>
    <row r="894" spans="1:7" ht="12.75" customHeight="1">
      <c r="A894" s="404"/>
      <c r="B894" s="799" t="s">
        <v>2538</v>
      </c>
      <c r="C894" s="487"/>
      <c r="D894" s="1975" t="s">
        <v>2307</v>
      </c>
      <c r="E894" s="1975"/>
      <c r="F894" s="1975"/>
      <c r="G894" s="1746"/>
    </row>
    <row r="895" spans="1:7" ht="12.75" customHeight="1">
      <c r="A895" s="404"/>
      <c r="B895" s="404"/>
      <c r="C895" s="487"/>
      <c r="D895" s="1975"/>
      <c r="E895" s="1975"/>
      <c r="F895" s="1975"/>
      <c r="G895" s="1746"/>
    </row>
    <row r="896" spans="1:7" ht="12.75" customHeight="1">
      <c r="A896" s="404"/>
      <c r="B896" s="404"/>
      <c r="C896" s="487"/>
      <c r="D896" s="1975"/>
      <c r="E896" s="1975"/>
      <c r="F896" s="1975"/>
      <c r="G896" s="1746"/>
    </row>
    <row r="897" spans="1:7" ht="12.75" customHeight="1">
      <c r="A897" s="404"/>
      <c r="B897" s="404"/>
      <c r="C897" s="487"/>
      <c r="D897" s="1975"/>
      <c r="E897" s="1975"/>
      <c r="F897" s="1975"/>
      <c r="G897" s="1746"/>
    </row>
    <row r="898" spans="1:7" ht="12.75" customHeight="1">
      <c r="A898" s="488"/>
      <c r="B898" s="488"/>
      <c r="C898" s="487"/>
      <c r="D898" s="1975"/>
      <c r="E898" s="1975"/>
      <c r="F898" s="1975"/>
      <c r="G898" s="1746"/>
    </row>
    <row r="899" spans="1:7" ht="12.75" customHeight="1">
      <c r="A899" s="488"/>
      <c r="B899" s="488"/>
      <c r="C899" s="487"/>
      <c r="D899" s="1975"/>
      <c r="E899" s="1975"/>
      <c r="F899" s="1975"/>
      <c r="G899" s="1746"/>
    </row>
    <row r="900" spans="1:7" ht="12.75" customHeight="1">
      <c r="A900" s="488"/>
      <c r="B900" s="488"/>
      <c r="C900" s="487"/>
      <c r="D900" s="1975"/>
      <c r="E900" s="1975"/>
      <c r="F900" s="1975"/>
      <c r="G900" s="1746"/>
    </row>
    <row r="901" spans="1:7" ht="12.75" customHeight="1">
      <c r="A901" s="488"/>
      <c r="B901" s="488"/>
      <c r="C901" s="487"/>
      <c r="D901" s="183"/>
      <c r="E901" s="679"/>
      <c r="F901" s="1746"/>
      <c r="G901" s="1746"/>
    </row>
    <row r="902" spans="1:7" ht="12.75" customHeight="1">
      <c r="A902" s="1759"/>
      <c r="B902" s="799" t="s">
        <v>2538</v>
      </c>
      <c r="C902" s="1760"/>
      <c r="D902" s="1975" t="s">
        <v>2308</v>
      </c>
      <c r="E902" s="1975"/>
      <c r="F902" s="1975"/>
      <c r="G902" s="1761"/>
    </row>
    <row r="903" spans="1:7" ht="12.75" customHeight="1">
      <c r="A903" s="1759"/>
      <c r="B903" s="1759"/>
      <c r="C903" s="1760"/>
      <c r="D903" s="1975"/>
      <c r="E903" s="1975"/>
      <c r="F903" s="1975"/>
      <c r="G903" s="1761"/>
    </row>
    <row r="904" spans="1:7" ht="12.75" customHeight="1">
      <c r="A904" s="1759"/>
      <c r="B904" s="1759"/>
      <c r="C904" s="1760"/>
      <c r="D904" s="1975"/>
      <c r="E904" s="1975"/>
      <c r="F904" s="1975"/>
      <c r="G904" s="1761"/>
    </row>
    <row r="905" spans="1:7" ht="12.75" customHeight="1">
      <c r="A905" s="1759"/>
      <c r="B905" s="1759"/>
      <c r="C905" s="1760"/>
      <c r="D905" s="1975"/>
      <c r="E905" s="1975"/>
      <c r="F905" s="1975"/>
      <c r="G905" s="1761"/>
    </row>
    <row r="906" spans="1:7" ht="12.75" customHeight="1">
      <c r="A906" s="1759"/>
      <c r="B906" s="1759"/>
      <c r="C906" s="1760"/>
      <c r="D906" s="1975"/>
      <c r="E906" s="1975"/>
      <c r="F906" s="1975"/>
      <c r="G906" s="1761"/>
    </row>
    <row r="907" spans="1:7" ht="12.75" customHeight="1">
      <c r="A907" s="1759"/>
      <c r="B907" s="1759"/>
      <c r="C907" s="1760"/>
      <c r="D907" s="1975"/>
      <c r="E907" s="1975"/>
      <c r="F907" s="1975"/>
      <c r="G907" s="1761"/>
    </row>
    <row r="908" spans="1:7" ht="12.75" customHeight="1">
      <c r="A908" s="1759"/>
      <c r="B908" s="1759"/>
      <c r="C908" s="1760"/>
      <c r="D908" s="1975"/>
      <c r="E908" s="1975"/>
      <c r="F908" s="1975"/>
      <c r="G908" s="1761"/>
    </row>
    <row r="909" spans="1:7" ht="12.75" customHeight="1">
      <c r="A909" s="1759"/>
      <c r="B909" s="1759"/>
      <c r="C909" s="1760"/>
      <c r="D909" s="1975"/>
      <c r="E909" s="1975"/>
      <c r="F909" s="1975"/>
      <c r="G909" s="1761"/>
    </row>
    <row r="910" spans="1:7" ht="12.75" customHeight="1">
      <c r="A910" s="1759"/>
      <c r="B910" s="1759"/>
      <c r="C910" s="1760"/>
      <c r="D910" s="1975"/>
      <c r="E910" s="1975"/>
      <c r="F910" s="1975"/>
      <c r="G910" s="1761"/>
    </row>
    <row r="911" spans="1:7" ht="12.75" customHeight="1">
      <c r="A911" s="488"/>
      <c r="B911" s="488"/>
      <c r="C911" s="487"/>
      <c r="D911" s="183"/>
      <c r="E911" s="679"/>
      <c r="F911" s="1746"/>
      <c r="G911" s="1746"/>
    </row>
    <row r="912" spans="1:7" ht="12.75" customHeight="1">
      <c r="A912" s="404"/>
      <c r="B912" s="799" t="s">
        <v>2538</v>
      </c>
      <c r="C912" s="487"/>
      <c r="D912" s="1976" t="s">
        <v>2309</v>
      </c>
      <c r="E912" s="1976"/>
      <c r="F912" s="1976"/>
      <c r="G912" s="1746"/>
    </row>
    <row r="913" spans="1:7" ht="12.75" customHeight="1">
      <c r="A913" s="404"/>
      <c r="B913" s="404"/>
      <c r="C913" s="487"/>
      <c r="D913" s="1976"/>
      <c r="E913" s="1976"/>
      <c r="F913" s="1976"/>
      <c r="G913" s="1746"/>
    </row>
    <row r="914" spans="1:7" ht="12.75" customHeight="1">
      <c r="A914" s="404"/>
      <c r="B914" s="404"/>
      <c r="C914" s="487"/>
      <c r="D914" s="1976"/>
      <c r="E914" s="1976"/>
      <c r="F914" s="1976"/>
      <c r="G914" s="1746"/>
    </row>
    <row r="915" spans="1:7" ht="12.75" customHeight="1">
      <c r="A915" s="404"/>
      <c r="B915" s="404"/>
      <c r="C915" s="487"/>
      <c r="D915" s="1976"/>
      <c r="E915" s="1976"/>
      <c r="F915" s="1976"/>
      <c r="G915" s="1746"/>
    </row>
    <row r="916" spans="1:7" ht="12.75" customHeight="1">
      <c r="A916" s="404"/>
      <c r="B916" s="404"/>
      <c r="C916" s="487"/>
      <c r="D916" s="1976"/>
      <c r="E916" s="1976"/>
      <c r="F916" s="1976"/>
      <c r="G916" s="1746"/>
    </row>
    <row r="917" spans="1:7" ht="12.75" customHeight="1">
      <c r="A917" s="404"/>
      <c r="B917" s="404"/>
      <c r="C917" s="487"/>
      <c r="D917" s="1976"/>
      <c r="E917" s="1976"/>
      <c r="F917" s="1976"/>
      <c r="G917" s="1746"/>
    </row>
    <row r="918" spans="1:7" ht="12.75" customHeight="1">
      <c r="A918" s="404"/>
      <c r="B918" s="404"/>
      <c r="C918" s="487"/>
      <c r="D918" s="1976"/>
      <c r="E918" s="1976"/>
      <c r="F918" s="1976"/>
      <c r="G918" s="1746"/>
    </row>
    <row r="919" spans="1:7" ht="12.75" customHeight="1">
      <c r="A919" s="404"/>
      <c r="B919" s="404"/>
      <c r="C919" s="487"/>
      <c r="D919" s="1762"/>
      <c r="E919" s="679"/>
      <c r="F919" s="1746"/>
      <c r="G919" s="1746"/>
    </row>
    <row r="920" spans="1:7" ht="12.75" customHeight="1">
      <c r="A920" s="404"/>
      <c r="B920" s="799" t="s">
        <v>2537</v>
      </c>
      <c r="C920" s="487"/>
      <c r="D920" s="1975" t="s">
        <v>2310</v>
      </c>
      <c r="E920" s="1975"/>
      <c r="F920" s="1975"/>
      <c r="G920" s="1746"/>
    </row>
    <row r="921" spans="1:7" ht="12.75" customHeight="1">
      <c r="A921" s="404"/>
      <c r="B921" s="404"/>
      <c r="C921" s="487"/>
      <c r="D921" s="1975"/>
      <c r="E921" s="1975"/>
      <c r="F921" s="1975"/>
      <c r="G921" s="1746"/>
    </row>
    <row r="922" spans="1:7" ht="12.75" customHeight="1">
      <c r="A922" s="404"/>
      <c r="B922" s="404"/>
      <c r="C922" s="487"/>
      <c r="D922" s="1975"/>
      <c r="E922" s="1975"/>
      <c r="F922" s="1975"/>
      <c r="G922" s="1746"/>
    </row>
    <row r="923" spans="1:7" ht="12.75" customHeight="1">
      <c r="A923" s="404"/>
      <c r="B923" s="404"/>
      <c r="C923" s="487"/>
      <c r="D923" s="1975"/>
      <c r="E923" s="1975"/>
      <c r="F923" s="1975"/>
      <c r="G923" s="1746"/>
    </row>
    <row r="924" spans="1:7" ht="12.75" customHeight="1">
      <c r="A924" s="404"/>
      <c r="B924" s="404"/>
      <c r="C924" s="487"/>
      <c r="D924" s="183"/>
      <c r="E924" s="679"/>
      <c r="F924" s="1746"/>
      <c r="G924" s="1746"/>
    </row>
    <row r="925" spans="1:7" ht="12.75" customHeight="1">
      <c r="A925" s="1732"/>
      <c r="B925" s="1732"/>
      <c r="C925" s="1747"/>
      <c r="D925" s="1869" t="s">
        <v>2311</v>
      </c>
      <c r="E925" s="1869"/>
      <c r="F925" s="1869"/>
      <c r="G925" s="1746"/>
    </row>
    <row r="926" spans="1:7" ht="12.75" customHeight="1">
      <c r="A926" s="1763"/>
      <c r="B926" s="1763"/>
      <c r="C926" s="1747"/>
      <c r="D926" s="1869"/>
      <c r="E926" s="1869"/>
      <c r="F926" s="1869"/>
      <c r="G926" s="1746"/>
    </row>
    <row r="927" spans="1:7" ht="12.75" customHeight="1">
      <c r="A927" s="1763"/>
      <c r="B927" s="1763"/>
      <c r="C927" s="1747"/>
      <c r="D927" s="5"/>
      <c r="E927" s="1745"/>
      <c r="F927" s="1745"/>
      <c r="G927" s="1746"/>
    </row>
    <row r="928" spans="1:7" ht="12.75" customHeight="1">
      <c r="A928" s="715"/>
      <c r="B928" s="799" t="s">
        <v>2538</v>
      </c>
      <c r="C928" s="557"/>
      <c r="D928" s="1869" t="s">
        <v>2312</v>
      </c>
      <c r="E928" s="1869"/>
      <c r="F928" s="1869"/>
      <c r="G928" s="679"/>
    </row>
    <row r="929" spans="1:7" ht="12.75" customHeight="1">
      <c r="A929" s="1749"/>
      <c r="B929" s="1749"/>
      <c r="C929" s="557"/>
      <c r="D929" s="1869"/>
      <c r="E929" s="1869"/>
      <c r="F929" s="1869"/>
      <c r="G929" s="679"/>
    </row>
    <row r="930" spans="1:7" ht="12.75" customHeight="1">
      <c r="A930" s="1763"/>
      <c r="B930" s="1763"/>
      <c r="C930" s="1747"/>
      <c r="D930" s="5"/>
      <c r="E930" s="1745"/>
      <c r="F930" s="1745"/>
      <c r="G930" s="1746"/>
    </row>
    <row r="931" spans="1:7" ht="12.75" customHeight="1">
      <c r="A931" s="721"/>
      <c r="B931" s="721"/>
      <c r="C931" s="314"/>
      <c r="D931" s="1928" t="s">
        <v>2313</v>
      </c>
      <c r="E931" s="1928"/>
      <c r="F931" s="1928"/>
      <c r="G931" s="1746"/>
    </row>
    <row r="932" spans="1:7" ht="12.75" customHeight="1">
      <c r="A932" s="721"/>
      <c r="B932" s="721"/>
      <c r="C932" s="314"/>
      <c r="D932" s="1717"/>
      <c r="E932" s="6"/>
      <c r="F932" s="1745"/>
      <c r="G932" s="1746"/>
    </row>
    <row r="933" spans="1:7" ht="12.75" customHeight="1">
      <c r="A933" s="715"/>
      <c r="B933" s="799" t="s">
        <v>2537</v>
      </c>
      <c r="C933" s="1747"/>
      <c r="D933" s="1888" t="s">
        <v>2314</v>
      </c>
      <c r="E933" s="1888"/>
      <c r="F933" s="1888"/>
      <c r="G933" s="1746"/>
    </row>
    <row r="934" spans="1:7" ht="12.75" customHeight="1">
      <c r="A934" s="1763"/>
      <c r="B934" s="1763"/>
      <c r="C934" s="1747"/>
      <c r="D934" s="1888"/>
      <c r="E934" s="1888"/>
      <c r="F934" s="1888"/>
      <c r="G934" s="1746"/>
    </row>
    <row r="935" spans="1:7" ht="12.75" customHeight="1">
      <c r="A935" s="1763"/>
      <c r="B935" s="1763"/>
      <c r="C935" s="1747"/>
      <c r="D935" s="1888"/>
      <c r="E935" s="1888"/>
      <c r="F935" s="1888"/>
      <c r="G935" s="1746"/>
    </row>
    <row r="936" spans="1:7" ht="12.75" customHeight="1">
      <c r="A936" s="1763"/>
      <c r="B936" s="1763"/>
      <c r="C936" s="1747"/>
      <c r="D936" s="1888"/>
      <c r="E936" s="1888"/>
      <c r="F936" s="1888"/>
      <c r="G936" s="1746"/>
    </row>
    <row r="937" spans="1:7" ht="12.75" customHeight="1">
      <c r="A937" s="1763"/>
      <c r="B937" s="1763"/>
      <c r="C937" s="1747"/>
      <c r="D937" s="1888"/>
      <c r="E937" s="1888"/>
      <c r="F937" s="1888"/>
      <c r="G937" s="1746"/>
    </row>
    <row r="938" spans="1:7" ht="12.75" customHeight="1">
      <c r="A938" s="1763"/>
      <c r="B938" s="1763"/>
      <c r="C938" s="1747"/>
      <c r="D938" s="1888"/>
      <c r="E938" s="1888"/>
      <c r="F938" s="1888"/>
      <c r="G938" s="1746"/>
    </row>
    <row r="939" spans="1:7" ht="12.75" customHeight="1">
      <c r="A939" s="1763"/>
      <c r="B939" s="1763"/>
      <c r="C939" s="1747"/>
      <c r="D939" s="1715"/>
      <c r="E939" s="1715"/>
      <c r="F939" s="1715"/>
      <c r="G939" s="1746"/>
    </row>
    <row r="940" spans="1:7" ht="12.75" customHeight="1">
      <c r="A940" s="715"/>
      <c r="B940" s="799" t="s">
        <v>2537</v>
      </c>
      <c r="C940" s="1747"/>
      <c r="D940" s="1888" t="s">
        <v>2315</v>
      </c>
      <c r="E940" s="1888"/>
      <c r="F940" s="1888"/>
      <c r="G940" s="1746"/>
    </row>
    <row r="941" spans="1:7" ht="12.75" customHeight="1">
      <c r="A941" s="1763"/>
      <c r="B941" s="1763"/>
      <c r="C941" s="1747"/>
      <c r="D941" s="1888"/>
      <c r="E941" s="1888"/>
      <c r="F941" s="1888"/>
      <c r="G941" s="1746"/>
    </row>
    <row r="942" spans="1:7" ht="12.75" customHeight="1">
      <c r="A942" s="1763"/>
      <c r="B942" s="1763"/>
      <c r="C942" s="1747"/>
      <c r="D942" s="1888"/>
      <c r="E942" s="1888"/>
      <c r="F942" s="1888"/>
      <c r="G942" s="1746"/>
    </row>
    <row r="943" spans="1:7" ht="12.75" customHeight="1">
      <c r="A943" s="1763"/>
      <c r="B943" s="1763"/>
      <c r="C943" s="1747"/>
      <c r="D943" s="1888"/>
      <c r="E943" s="1888"/>
      <c r="F943" s="1888"/>
      <c r="G943" s="1746"/>
    </row>
    <row r="944" spans="1:7" ht="12.75" customHeight="1">
      <c r="A944" s="1763"/>
      <c r="B944" s="1763"/>
      <c r="C944" s="1747"/>
      <c r="D944" s="1888"/>
      <c r="E944" s="1888"/>
      <c r="F944" s="1888"/>
      <c r="G944" s="1746"/>
    </row>
    <row r="945" spans="1:7" ht="12.75" customHeight="1">
      <c r="A945" s="1763"/>
      <c r="B945" s="1763"/>
      <c r="C945" s="1747"/>
      <c r="D945" s="1764"/>
      <c r="E945" s="1745"/>
      <c r="F945" s="1745"/>
      <c r="G945" s="1746"/>
    </row>
    <row r="946" spans="1:7" ht="12.75" customHeight="1">
      <c r="A946" s="715"/>
      <c r="B946" s="799" t="s">
        <v>2537</v>
      </c>
      <c r="C946" s="1747"/>
      <c r="D946" s="1888" t="s">
        <v>2316</v>
      </c>
      <c r="E946" s="1888"/>
      <c r="F946" s="1888"/>
      <c r="G946" s="1746"/>
    </row>
    <row r="947" spans="1:7" ht="12.75" customHeight="1">
      <c r="A947" s="1763"/>
      <c r="B947" s="1763"/>
      <c r="C947" s="1747"/>
      <c r="D947" s="1888"/>
      <c r="E947" s="1888"/>
      <c r="F947" s="1888"/>
      <c r="G947" s="1746"/>
    </row>
    <row r="948" spans="1:7" ht="12.75" customHeight="1">
      <c r="A948" s="1763"/>
      <c r="B948" s="1763"/>
      <c r="C948" s="1747"/>
      <c r="D948" s="1888"/>
      <c r="E948" s="1888"/>
      <c r="F948" s="1888"/>
      <c r="G948" s="1746"/>
    </row>
    <row r="949" spans="1:7" ht="12.75" customHeight="1">
      <c r="A949" s="1763"/>
      <c r="B949" s="1763"/>
      <c r="C949" s="1747"/>
      <c r="D949" s="1888"/>
      <c r="E949" s="1888"/>
      <c r="F949" s="1888"/>
      <c r="G949" s="1746"/>
    </row>
    <row r="950" spans="1:7" ht="12.75" customHeight="1">
      <c r="A950" s="1763"/>
      <c r="B950" s="1763"/>
      <c r="C950" s="1747"/>
      <c r="D950" s="1888"/>
      <c r="E950" s="1888"/>
      <c r="F950" s="1888"/>
      <c r="G950" s="1746"/>
    </row>
    <row r="951" spans="1:7" ht="12.75" customHeight="1">
      <c r="A951" s="1763"/>
      <c r="B951" s="1763"/>
      <c r="C951" s="1747"/>
      <c r="D951" s="1764"/>
      <c r="E951" s="1745"/>
      <c r="F951" s="1745"/>
      <c r="G951" s="1746"/>
    </row>
    <row r="952" spans="1:7" ht="12.75" customHeight="1">
      <c r="A952" s="715"/>
      <c r="B952" s="799" t="s">
        <v>2537</v>
      </c>
      <c r="C952" s="1747"/>
      <c r="D952" s="1888" t="s">
        <v>2317</v>
      </c>
      <c r="E952" s="1888"/>
      <c r="F952" s="1888"/>
      <c r="G952" s="1746"/>
    </row>
    <row r="953" spans="1:7" ht="12.75" customHeight="1">
      <c r="A953" s="1763"/>
      <c r="B953" s="1763"/>
      <c r="C953" s="1747"/>
      <c r="D953" s="1888"/>
      <c r="E953" s="1888"/>
      <c r="F953" s="1888"/>
      <c r="G953" s="1746"/>
    </row>
    <row r="954" spans="1:7" ht="12.75" customHeight="1">
      <c r="A954" s="1763"/>
      <c r="B954" s="1763"/>
      <c r="C954" s="1747"/>
      <c r="D954" s="1888"/>
      <c r="E954" s="1888"/>
      <c r="F954" s="1888"/>
      <c r="G954" s="1746"/>
    </row>
    <row r="955" spans="1:7" ht="12.75" customHeight="1">
      <c r="A955" s="1763"/>
      <c r="B955" s="1763"/>
      <c r="C955" s="1747"/>
      <c r="D955" s="1715"/>
      <c r="E955" s="1715"/>
      <c r="F955" s="1715"/>
      <c r="G955" s="1746"/>
    </row>
    <row r="956" spans="1:7" ht="12.75" customHeight="1">
      <c r="A956" s="715"/>
      <c r="B956" s="799" t="s">
        <v>2538</v>
      </c>
      <c r="C956" s="1747"/>
      <c r="D956" s="1888" t="s">
        <v>2318</v>
      </c>
      <c r="E956" s="1888"/>
      <c r="F956" s="1888"/>
      <c r="G956" s="1746"/>
    </row>
    <row r="957" spans="1:7" ht="12.75" customHeight="1">
      <c r="A957" s="1763"/>
      <c r="B957" s="1763"/>
      <c r="C957" s="1747"/>
      <c r="D957" s="1888"/>
      <c r="E957" s="1888"/>
      <c r="F957" s="1888"/>
      <c r="G957" s="1746"/>
    </row>
    <row r="958" spans="1:7" ht="12.75" customHeight="1">
      <c r="A958" s="1763"/>
      <c r="B958" s="1763"/>
      <c r="C958" s="1747"/>
      <c r="D958" s="1764"/>
      <c r="E958" s="1745"/>
      <c r="F958" s="1745"/>
      <c r="G958" s="1746"/>
    </row>
    <row r="959" spans="1:7" ht="12.75" customHeight="1">
      <c r="A959" s="1763"/>
      <c r="B959" s="799" t="s">
        <v>2537</v>
      </c>
      <c r="C959" s="1747"/>
      <c r="D959" s="1869" t="s">
        <v>2319</v>
      </c>
      <c r="E959" s="1869"/>
      <c r="F959" s="1869"/>
      <c r="G959" s="1746"/>
    </row>
    <row r="960" spans="1:7" ht="12.75" customHeight="1">
      <c r="A960" s="1763"/>
      <c r="B960" s="1763"/>
      <c r="C960" s="1747"/>
      <c r="D960" s="1869"/>
      <c r="E960" s="1869"/>
      <c r="F960" s="1869"/>
      <c r="G960" s="1746"/>
    </row>
    <row r="961" spans="1:7" ht="12.75" customHeight="1">
      <c r="A961" s="1763"/>
      <c r="B961" s="1763"/>
      <c r="C961" s="1747"/>
      <c r="D961" s="1745"/>
      <c r="E961" s="1745"/>
      <c r="F961" s="1745"/>
      <c r="G961" s="1746"/>
    </row>
    <row r="962" spans="1:7" ht="12.75" customHeight="1">
      <c r="A962" s="1763"/>
      <c r="B962" s="799" t="s">
        <v>2537</v>
      </c>
      <c r="C962" s="1747"/>
      <c r="D962" s="1926" t="s">
        <v>2320</v>
      </c>
      <c r="E962" s="1926"/>
      <c r="F962" s="1926"/>
      <c r="G962" s="1746"/>
    </row>
    <row r="963" spans="1:7" ht="12.75" customHeight="1">
      <c r="A963" s="1763"/>
      <c r="B963" s="1763"/>
      <c r="C963" s="1747"/>
      <c r="D963" s="1926"/>
      <c r="E963" s="1926"/>
      <c r="F963" s="1926"/>
      <c r="G963" s="1746"/>
    </row>
    <row r="964" spans="1:7" ht="12.75" customHeight="1">
      <c r="A964" s="1763"/>
      <c r="B964" s="1763"/>
      <c r="C964" s="1747"/>
      <c r="D964" s="1926"/>
      <c r="E964" s="1926"/>
      <c r="F964" s="1926"/>
      <c r="G964" s="1746"/>
    </row>
    <row r="965" spans="1:7" ht="12.75" customHeight="1">
      <c r="A965" s="1763"/>
      <c r="B965" s="1763"/>
      <c r="C965" s="1747"/>
      <c r="D965" s="1926"/>
      <c r="E965" s="1926"/>
      <c r="F965" s="1926"/>
      <c r="G965" s="1746"/>
    </row>
    <row r="966" spans="1:7" ht="12.75" customHeight="1">
      <c r="A966" s="1763"/>
      <c r="B966" s="1763"/>
      <c r="C966" s="1747"/>
      <c r="D966" s="1713"/>
      <c r="E966" s="1745"/>
      <c r="F966" s="1745"/>
      <c r="G966" s="1746"/>
    </row>
    <row r="967" spans="1:7" ht="12.75" customHeight="1">
      <c r="A967" s="1763"/>
      <c r="B967" s="799" t="s">
        <v>2537</v>
      </c>
      <c r="C967" s="1747"/>
      <c r="D967" s="1882" t="s">
        <v>2321</v>
      </c>
      <c r="E967" s="1882"/>
      <c r="F967" s="1882"/>
      <c r="G967" s="1746"/>
    </row>
    <row r="968" spans="1:7" ht="12.75" customHeight="1">
      <c r="A968" s="1763"/>
      <c r="B968" s="1763"/>
      <c r="C968" s="1747"/>
      <c r="D968" s="1713"/>
      <c r="E968" s="1745"/>
      <c r="F968" s="1745"/>
      <c r="G968" s="1746"/>
    </row>
    <row r="969" spans="1:7" ht="12.75" customHeight="1">
      <c r="A969" s="1763"/>
      <c r="B969" s="799" t="s">
        <v>2537</v>
      </c>
      <c r="C969" s="1747"/>
      <c r="D969" s="1882" t="s">
        <v>2322</v>
      </c>
      <c r="E969" s="1882"/>
      <c r="F969" s="1882"/>
      <c r="G969" s="1746"/>
    </row>
    <row r="970" spans="1:7" ht="12.75" customHeight="1">
      <c r="A970" s="1763"/>
      <c r="B970" s="1763"/>
      <c r="C970" s="1747"/>
      <c r="D970" s="1745"/>
      <c r="E970" s="1745"/>
      <c r="F970" s="1745"/>
      <c r="G970" s="1746"/>
    </row>
    <row r="971" spans="1:7" ht="12.75" customHeight="1">
      <c r="A971" s="1763"/>
      <c r="B971" s="557"/>
      <c r="C971" s="1747"/>
      <c r="D971" s="1892" t="s">
        <v>2323</v>
      </c>
      <c r="E971" s="1892"/>
      <c r="F971" s="1892"/>
      <c r="G971" s="1746"/>
    </row>
    <row r="972" spans="1:7" ht="12.75" customHeight="1">
      <c r="A972" s="1763"/>
      <c r="B972" s="557"/>
      <c r="C972" s="1747"/>
      <c r="D972" s="1717"/>
      <c r="E972" s="1745"/>
      <c r="F972" s="1745"/>
      <c r="G972" s="1746"/>
    </row>
    <row r="973" spans="1:7" ht="12.75" customHeight="1">
      <c r="A973" s="715"/>
      <c r="B973" s="799" t="s">
        <v>2538</v>
      </c>
      <c r="C973" s="1747"/>
      <c r="D973" s="1870" t="s">
        <v>2324</v>
      </c>
      <c r="E973" s="1870"/>
      <c r="F973" s="1870"/>
      <c r="G973" s="1746"/>
    </row>
    <row r="974" spans="1:7" ht="12.75" customHeight="1">
      <c r="A974" s="1763"/>
      <c r="B974" s="1763"/>
      <c r="C974" s="1747"/>
      <c r="D974" s="1870"/>
      <c r="E974" s="1870"/>
      <c r="F974" s="1870"/>
      <c r="G974" s="1746"/>
    </row>
    <row r="975" spans="1:7" ht="12.75" customHeight="1">
      <c r="A975" s="1763"/>
      <c r="B975" s="1763"/>
      <c r="C975" s="1747"/>
      <c r="D975" s="1870"/>
      <c r="E975" s="1870"/>
      <c r="F975" s="1870"/>
      <c r="G975" s="1746"/>
    </row>
    <row r="976" spans="1:7" ht="12.75" customHeight="1">
      <c r="A976" s="1763"/>
      <c r="B976" s="1763"/>
      <c r="C976" s="1747"/>
      <c r="D976" s="1870"/>
      <c r="E976" s="1870"/>
      <c r="F976" s="1870"/>
      <c r="G976" s="1746"/>
    </row>
    <row r="977" spans="1:7" ht="12.75" customHeight="1">
      <c r="A977" s="1763"/>
      <c r="B977" s="1763"/>
      <c r="C977" s="1747"/>
      <c r="D977" s="1870"/>
      <c r="E977" s="1870"/>
      <c r="F977" s="1870"/>
      <c r="G977" s="1746"/>
    </row>
    <row r="978" spans="1:7" ht="12.75" customHeight="1">
      <c r="A978" s="1763"/>
      <c r="B978" s="1763"/>
      <c r="C978" s="1747"/>
      <c r="D978" s="679"/>
      <c r="E978" s="6"/>
      <c r="F978" s="6"/>
      <c r="G978" s="1746"/>
    </row>
    <row r="979" spans="1:7" ht="12.75" customHeight="1">
      <c r="A979" s="715"/>
      <c r="B979" s="799" t="s">
        <v>2537</v>
      </c>
      <c r="C979" s="1747"/>
      <c r="D979" s="1870" t="s">
        <v>2325</v>
      </c>
      <c r="E979" s="1870"/>
      <c r="F979" s="1870"/>
      <c r="G979" s="1746"/>
    </row>
    <row r="980" spans="1:7" ht="12.75" customHeight="1">
      <c r="A980" s="1763"/>
      <c r="B980" s="1763"/>
      <c r="C980" s="1747"/>
      <c r="D980" s="1870"/>
      <c r="E980" s="1870"/>
      <c r="F980" s="1870"/>
      <c r="G980" s="1746"/>
    </row>
    <row r="981" spans="1:7" ht="12.75" customHeight="1">
      <c r="A981" s="1763"/>
      <c r="B981" s="1763"/>
      <c r="C981" s="1747"/>
      <c r="D981" s="1870"/>
      <c r="E981" s="1870"/>
      <c r="F981" s="1870"/>
      <c r="G981" s="1746"/>
    </row>
    <row r="982" spans="1:7" ht="12.75" customHeight="1">
      <c r="A982" s="1763"/>
      <c r="B982" s="1763"/>
      <c r="C982" s="1747"/>
      <c r="D982" s="1870"/>
      <c r="E982" s="1870"/>
      <c r="F982" s="1870"/>
      <c r="G982" s="1746"/>
    </row>
    <row r="983" spans="1:7" ht="12.75" customHeight="1">
      <c r="A983" s="1763"/>
      <c r="B983" s="1763"/>
      <c r="C983" s="1747"/>
      <c r="D983" s="1870"/>
      <c r="E983" s="1870"/>
      <c r="F983" s="1870"/>
      <c r="G983" s="1746"/>
    </row>
    <row r="984" spans="1:7" ht="12.75" customHeight="1">
      <c r="A984" s="1763"/>
      <c r="B984" s="1763"/>
      <c r="C984" s="1747"/>
      <c r="D984" s="1745"/>
      <c r="E984" s="1745"/>
      <c r="F984" s="1745"/>
      <c r="G984" s="1746"/>
    </row>
    <row r="985" spans="1:7" ht="12.75" customHeight="1">
      <c r="A985" s="1763"/>
      <c r="B985" s="1763"/>
      <c r="C985" s="1747"/>
      <c r="D985" s="1892" t="s">
        <v>2326</v>
      </c>
      <c r="E985" s="1892"/>
      <c r="F985" s="1892"/>
      <c r="G985" s="1746"/>
    </row>
    <row r="986" spans="1:7" ht="12.75" customHeight="1">
      <c r="A986" s="1763"/>
      <c r="B986" s="1763"/>
      <c r="C986" s="1747"/>
      <c r="D986" s="1717"/>
      <c r="E986" s="1745"/>
      <c r="F986" s="1745"/>
      <c r="G986" s="1746"/>
    </row>
    <row r="987" spans="1:7" ht="12.75" customHeight="1">
      <c r="A987" s="715"/>
      <c r="B987" s="799" t="s">
        <v>2537</v>
      </c>
      <c r="C987" s="1747"/>
      <c r="D987" s="1870" t="s">
        <v>2327</v>
      </c>
      <c r="E987" s="1870"/>
      <c r="F987" s="1870"/>
      <c r="G987" s="1746"/>
    </row>
    <row r="988" spans="1:7" ht="12.75" customHeight="1">
      <c r="A988" s="1763"/>
      <c r="B988" s="1763"/>
      <c r="C988" s="1747"/>
      <c r="D988" s="1870"/>
      <c r="E988" s="1870"/>
      <c r="F988" s="1870"/>
      <c r="G988" s="1746"/>
    </row>
    <row r="989" spans="1:7" ht="12.75" customHeight="1">
      <c r="A989" s="1763"/>
      <c r="B989" s="1763"/>
      <c r="C989" s="1747"/>
      <c r="D989" s="1870"/>
      <c r="E989" s="1870"/>
      <c r="F989" s="1870"/>
      <c r="G989" s="1746"/>
    </row>
    <row r="990" spans="1:7" ht="12.75" customHeight="1">
      <c r="A990" s="1763"/>
      <c r="B990" s="1763"/>
      <c r="C990" s="1747"/>
      <c r="D990" s="679"/>
      <c r="E990" s="6"/>
      <c r="F990" s="6"/>
      <c r="G990" s="1746"/>
    </row>
    <row r="991" spans="1:7" ht="12.75" customHeight="1">
      <c r="A991" s="715"/>
      <c r="B991" s="799" t="s">
        <v>2537</v>
      </c>
      <c r="C991" s="1747"/>
      <c r="D991" s="1870" t="s">
        <v>2328</v>
      </c>
      <c r="E991" s="1870"/>
      <c r="F991" s="1870"/>
      <c r="G991" s="1746"/>
    </row>
    <row r="992" spans="1:7" ht="12.75" customHeight="1">
      <c r="A992" s="1763"/>
      <c r="B992" s="1763"/>
      <c r="C992" s="1747"/>
      <c r="D992" s="1870"/>
      <c r="E992" s="1870"/>
      <c r="F992" s="1870"/>
      <c r="G992" s="1746"/>
    </row>
    <row r="993" spans="1:7" ht="12.75" customHeight="1">
      <c r="A993" s="1763"/>
      <c r="B993" s="1763"/>
      <c r="C993" s="1747"/>
      <c r="D993" s="1870"/>
      <c r="E993" s="1870"/>
      <c r="F993" s="1870"/>
      <c r="G993" s="1746"/>
    </row>
    <row r="994" spans="1:7" ht="12.75" customHeight="1">
      <c r="A994" s="1763"/>
      <c r="B994" s="1763"/>
      <c r="C994" s="1747"/>
      <c r="D994" s="1713"/>
      <c r="E994" s="1745"/>
      <c r="F994" s="1745"/>
      <c r="G994" s="1746"/>
    </row>
    <row r="995" spans="1:7" ht="12.75" customHeight="1">
      <c r="A995" s="1763"/>
      <c r="B995" s="1763"/>
      <c r="C995" s="1747"/>
      <c r="D995" s="1892" t="s">
        <v>2329</v>
      </c>
      <c r="E995" s="1892"/>
      <c r="F995" s="1892"/>
      <c r="G995" s="1746"/>
    </row>
    <row r="996" spans="1:7" ht="12.75" customHeight="1">
      <c r="A996" s="1763"/>
      <c r="B996" s="1763"/>
      <c r="C996" s="1747"/>
      <c r="D996" s="1717"/>
      <c r="E996" s="1745"/>
      <c r="F996" s="1745"/>
      <c r="G996" s="1746"/>
    </row>
    <row r="997" spans="1:7" ht="12.75" customHeight="1">
      <c r="A997" s="715"/>
      <c r="B997" s="799" t="s">
        <v>2537</v>
      </c>
      <c r="C997" s="1747"/>
      <c r="D997" s="1972" t="s">
        <v>2330</v>
      </c>
      <c r="E997" s="1972"/>
      <c r="F997" s="1972"/>
      <c r="G997" s="1765"/>
    </row>
    <row r="998" spans="1:7" ht="12.75" customHeight="1">
      <c r="A998" s="1763"/>
      <c r="B998" s="1763"/>
      <c r="C998" s="1747"/>
      <c r="D998" s="1972"/>
      <c r="E998" s="1972"/>
      <c r="F998" s="1972"/>
      <c r="G998" s="1765"/>
    </row>
    <row r="999" spans="1:7" ht="12.75" customHeight="1">
      <c r="A999" s="1763"/>
      <c r="B999" s="1763"/>
      <c r="C999" s="1747"/>
      <c r="D999" s="1972"/>
      <c r="E999" s="1972"/>
      <c r="F999" s="1972"/>
      <c r="G999" s="1765"/>
    </row>
    <row r="1000" spans="1:7" ht="12.75" customHeight="1">
      <c r="A1000" s="1763"/>
      <c r="B1000" s="1763"/>
      <c r="C1000" s="1747"/>
      <c r="D1000" s="1766"/>
      <c r="E1000" s="1766"/>
      <c r="F1000" s="1766"/>
      <c r="G1000" s="1766"/>
    </row>
    <row r="1001" spans="1:7" ht="12.75" customHeight="1">
      <c r="A1001" s="1763"/>
      <c r="B1001" s="799" t="s">
        <v>2538</v>
      </c>
      <c r="C1001" s="1747"/>
      <c r="D1001" s="1972" t="s">
        <v>2331</v>
      </c>
      <c r="E1001" s="1972"/>
      <c r="F1001" s="1972"/>
      <c r="G1001" s="1766"/>
    </row>
    <row r="1002" spans="1:7" ht="12.75" customHeight="1">
      <c r="A1002" s="1763"/>
      <c r="B1002" s="1763"/>
      <c r="C1002" s="1747"/>
      <c r="D1002" s="1972"/>
      <c r="E1002" s="1972"/>
      <c r="F1002" s="1972"/>
      <c r="G1002" s="1766"/>
    </row>
    <row r="1003" spans="1:7" ht="12.75" customHeight="1">
      <c r="A1003" s="1763"/>
      <c r="B1003" s="1763"/>
      <c r="C1003" s="1747"/>
      <c r="D1003" s="1972"/>
      <c r="E1003" s="1972"/>
      <c r="F1003" s="1972"/>
      <c r="G1003" s="1766"/>
    </row>
    <row r="1004" spans="1:7" ht="12.75" customHeight="1">
      <c r="A1004" s="1763"/>
      <c r="B1004" s="1763"/>
      <c r="C1004" s="1747"/>
      <c r="D1004" s="1713"/>
      <c r="E1004" s="1745"/>
      <c r="F1004" s="1745"/>
      <c r="G1004" s="1746"/>
    </row>
    <row r="1005" spans="1:7" ht="12.75" customHeight="1">
      <c r="A1005" s="1763"/>
      <c r="B1005" s="799" t="s">
        <v>2537</v>
      </c>
      <c r="C1005" s="1747"/>
      <c r="D1005" s="1973" t="s">
        <v>2332</v>
      </c>
      <c r="E1005" s="1973"/>
      <c r="F1005" s="1973"/>
      <c r="G1005" s="1767"/>
    </row>
    <row r="1006" spans="1:7" ht="12.75" customHeight="1">
      <c r="A1006" s="1763"/>
      <c r="B1006" s="1763"/>
      <c r="C1006" s="1747"/>
      <c r="D1006" s="1973"/>
      <c r="E1006" s="1973"/>
      <c r="F1006" s="1973"/>
      <c r="G1006" s="1767"/>
    </row>
    <row r="1007" spans="1:7" ht="12.75" customHeight="1">
      <c r="A1007" s="1763"/>
      <c r="B1007" s="1763"/>
      <c r="C1007" s="1747"/>
      <c r="D1007" s="1973"/>
      <c r="E1007" s="1973"/>
      <c r="F1007" s="1973"/>
      <c r="G1007" s="1767"/>
    </row>
    <row r="1008" spans="1:7" ht="12.75" customHeight="1">
      <c r="A1008" s="1763"/>
      <c r="B1008" s="1763"/>
      <c r="C1008" s="1747"/>
      <c r="D1008" s="1745"/>
      <c r="E1008" s="1745"/>
      <c r="F1008" s="1745"/>
      <c r="G1008" s="1746"/>
    </row>
    <row r="1009" spans="1:7" ht="12.75" customHeight="1">
      <c r="A1009" s="1763"/>
      <c r="B1009" s="799" t="s">
        <v>2537</v>
      </c>
      <c r="C1009" s="1747"/>
      <c r="D1009" s="1972" t="s">
        <v>2333</v>
      </c>
      <c r="E1009" s="1972"/>
      <c r="F1009" s="1972"/>
      <c r="G1009" s="1767"/>
    </row>
    <row r="1010" spans="1:7" ht="12.75" customHeight="1">
      <c r="A1010" s="1763"/>
      <c r="B1010" s="1763"/>
      <c r="C1010" s="1747"/>
      <c r="D1010" s="1972"/>
      <c r="E1010" s="1972"/>
      <c r="F1010" s="1972"/>
      <c r="G1010" s="1767"/>
    </row>
    <row r="1011" spans="1:7" ht="12.75" customHeight="1">
      <c r="A1011" s="1763"/>
      <c r="B1011" s="1763"/>
      <c r="C1011" s="1747"/>
      <c r="D1011" s="1972"/>
      <c r="E1011" s="1972"/>
      <c r="F1011" s="1972"/>
      <c r="G1011" s="1767"/>
    </row>
    <row r="1012" spans="1:7" ht="12.75" customHeight="1">
      <c r="A1012" s="715"/>
      <c r="B1012" s="715"/>
      <c r="C1012" s="1747"/>
      <c r="D1012" s="1713"/>
      <c r="E1012" s="1745"/>
      <c r="F1012" s="1745"/>
      <c r="G1012" s="1746"/>
    </row>
    <row r="1013" spans="1:7" ht="12.75" customHeight="1">
      <c r="A1013" s="1763"/>
      <c r="B1013" s="799" t="s">
        <v>2537</v>
      </c>
      <c r="C1013" s="1747"/>
      <c r="D1013" s="1972" t="s">
        <v>2334</v>
      </c>
      <c r="E1013" s="1972"/>
      <c r="F1013" s="1972"/>
      <c r="G1013" s="1767"/>
    </row>
    <row r="1014" spans="1:7" ht="12.75" customHeight="1">
      <c r="A1014" s="1763"/>
      <c r="B1014" s="1763"/>
      <c r="C1014" s="1747"/>
      <c r="D1014" s="1972"/>
      <c r="E1014" s="1972"/>
      <c r="F1014" s="1972"/>
      <c r="G1014" s="1767"/>
    </row>
    <row r="1015" spans="1:7" ht="12.75" customHeight="1">
      <c r="A1015" s="1763"/>
      <c r="B1015" s="1763"/>
      <c r="C1015" s="1747"/>
      <c r="D1015" s="1972"/>
      <c r="E1015" s="1972"/>
      <c r="F1015" s="1972"/>
      <c r="G1015" s="1767"/>
    </row>
    <row r="1016" spans="1:7" ht="12.75" customHeight="1">
      <c r="A1016" s="1763"/>
      <c r="B1016" s="1763"/>
      <c r="C1016" s="1747"/>
      <c r="D1016" s="1713"/>
      <c r="E1016" s="1745"/>
      <c r="F1016" s="1745"/>
      <c r="G1016" s="1746"/>
    </row>
    <row r="1017" spans="1:7" ht="12.75" customHeight="1">
      <c r="A1017" s="1763"/>
      <c r="B1017" s="799" t="s">
        <v>2537</v>
      </c>
      <c r="C1017" s="1747"/>
      <c r="D1017" s="1972" t="s">
        <v>2335</v>
      </c>
      <c r="E1017" s="1972"/>
      <c r="F1017" s="1972"/>
      <c r="G1017" s="1765"/>
    </row>
    <row r="1018" spans="1:7" ht="12.75" customHeight="1">
      <c r="A1018" s="1763"/>
      <c r="B1018" s="1763"/>
      <c r="C1018" s="1747"/>
      <c r="D1018" s="1972"/>
      <c r="E1018" s="1972"/>
      <c r="F1018" s="1972"/>
      <c r="G1018" s="1765"/>
    </row>
    <row r="1019" spans="1:7" ht="12.75" customHeight="1">
      <c r="A1019" s="1763"/>
      <c r="B1019" s="1763"/>
      <c r="C1019" s="1747"/>
      <c r="D1019" s="1972"/>
      <c r="E1019" s="1972"/>
      <c r="F1019" s="1972"/>
      <c r="G1019" s="1765"/>
    </row>
    <row r="1020" spans="1:7" ht="12.75" customHeight="1">
      <c r="A1020" s="1763"/>
      <c r="B1020" s="1763"/>
      <c r="C1020" s="1747"/>
      <c r="D1020" s="1765"/>
      <c r="E1020" s="1765"/>
      <c r="F1020" s="1765"/>
      <c r="G1020" s="1765"/>
    </row>
    <row r="1021" spans="1:7" ht="12.75" customHeight="1">
      <c r="A1021" s="1763"/>
      <c r="B1021" s="799" t="s">
        <v>2537</v>
      </c>
      <c r="C1021" s="1747"/>
      <c r="D1021" s="1972" t="s">
        <v>2336</v>
      </c>
      <c r="E1021" s="1972"/>
      <c r="F1021" s="1972"/>
      <c r="G1021" s="1765"/>
    </row>
    <row r="1022" spans="1:7" ht="12.75" customHeight="1">
      <c r="A1022" s="1763"/>
      <c r="B1022" s="1763"/>
      <c r="C1022" s="1747"/>
      <c r="D1022" s="1972"/>
      <c r="E1022" s="1972"/>
      <c r="F1022" s="1972"/>
      <c r="G1022" s="1765"/>
    </row>
    <row r="1023" spans="1:7" ht="12.75" customHeight="1">
      <c r="A1023" s="1763"/>
      <c r="B1023" s="1763"/>
      <c r="C1023" s="1747"/>
      <c r="D1023" s="1972"/>
      <c r="E1023" s="1972"/>
      <c r="F1023" s="1972"/>
      <c r="G1023" s="1765"/>
    </row>
    <row r="1024" spans="1:7" ht="12.75" customHeight="1">
      <c r="A1024" s="1763"/>
      <c r="B1024" s="1763"/>
      <c r="C1024" s="1747"/>
      <c r="D1024" s="1768"/>
      <c r="E1024" s="1768"/>
      <c r="F1024" s="1768"/>
      <c r="G1024" s="1769"/>
    </row>
    <row r="1025" spans="1:7" ht="12.75" customHeight="1">
      <c r="A1025" s="1770"/>
      <c r="B1025" s="799" t="s">
        <v>2537</v>
      </c>
      <c r="C1025" s="1751"/>
      <c r="D1025" s="1974" t="s">
        <v>2337</v>
      </c>
      <c r="E1025" s="1974"/>
      <c r="F1025" s="1974"/>
      <c r="G1025" s="1771"/>
    </row>
    <row r="1026" spans="1:7" ht="12.75" customHeight="1">
      <c r="A1026" s="1770"/>
      <c r="B1026" s="1770"/>
      <c r="C1026" s="1751"/>
      <c r="D1026" s="1974"/>
      <c r="E1026" s="1974"/>
      <c r="F1026" s="1974"/>
      <c r="G1026" s="1771"/>
    </row>
    <row r="1027" spans="1:7" ht="12.75" customHeight="1">
      <c r="A1027" s="1770"/>
      <c r="B1027" s="1770"/>
      <c r="C1027" s="1751"/>
      <c r="D1027" s="1974"/>
      <c r="E1027" s="1974"/>
      <c r="F1027" s="1974"/>
      <c r="G1027" s="1771"/>
    </row>
    <row r="1028" spans="1:7" ht="12.75" customHeight="1">
      <c r="A1028" s="1770"/>
      <c r="B1028" s="1770"/>
      <c r="C1028" s="1751"/>
      <c r="D1028" s="1974"/>
      <c r="E1028" s="1974"/>
      <c r="F1028" s="1974"/>
      <c r="G1028" s="1771"/>
    </row>
    <row r="1029" spans="1:7" ht="12.75" customHeight="1">
      <c r="A1029" s="1770"/>
      <c r="B1029" s="1770"/>
      <c r="C1029" s="1751"/>
      <c r="D1029" s="1974"/>
      <c r="E1029" s="1974"/>
      <c r="F1029" s="1974"/>
      <c r="G1029" s="1771"/>
    </row>
    <row r="1030" spans="1:7" ht="12.75" customHeight="1">
      <c r="A1030" s="1770"/>
      <c r="B1030" s="1770"/>
      <c r="C1030" s="1751"/>
      <c r="D1030" s="1974"/>
      <c r="E1030" s="1974"/>
      <c r="F1030" s="1974"/>
      <c r="G1030" s="1771"/>
    </row>
    <row r="1031" spans="1:7" ht="12.75" customHeight="1">
      <c r="A1031" s="1770"/>
      <c r="B1031" s="1770"/>
      <c r="C1031" s="1751"/>
      <c r="D1031" s="1974"/>
      <c r="E1031" s="1974"/>
      <c r="F1031" s="1974"/>
      <c r="G1031" s="1771"/>
    </row>
    <row r="1032" spans="1:7" ht="12.75" customHeight="1">
      <c r="A1032" s="1770"/>
      <c r="B1032" s="1770"/>
      <c r="C1032" s="1751"/>
      <c r="D1032" s="1974"/>
      <c r="E1032" s="1974"/>
      <c r="F1032" s="1974"/>
      <c r="G1032" s="1771"/>
    </row>
    <row r="1033" spans="1:7" ht="12.75" customHeight="1">
      <c r="A1033" s="1770"/>
      <c r="B1033" s="1770"/>
      <c r="C1033" s="1751"/>
      <c r="D1033" s="1974"/>
      <c r="E1033" s="1974"/>
      <c r="F1033" s="1974"/>
      <c r="G1033" s="1771"/>
    </row>
    <row r="1034" spans="1:7" ht="12.75" customHeight="1">
      <c r="A1034" s="1770"/>
      <c r="B1034" s="1770"/>
      <c r="C1034" s="1751"/>
      <c r="D1034" s="1974"/>
      <c r="E1034" s="1974"/>
      <c r="F1034" s="1974"/>
      <c r="G1034" s="1771"/>
    </row>
    <row r="1035" spans="1:7" ht="12.75" customHeight="1">
      <c r="A1035" s="1770"/>
      <c r="B1035" s="1770"/>
      <c r="C1035" s="1751"/>
      <c r="D1035" s="1974"/>
      <c r="E1035" s="1974"/>
      <c r="F1035" s="1974"/>
      <c r="G1035" s="1771"/>
    </row>
    <row r="1036" spans="1:7" ht="12.75" customHeight="1">
      <c r="A1036" s="1770"/>
      <c r="B1036" s="1770"/>
      <c r="C1036" s="1751"/>
      <c r="D1036" s="1709"/>
      <c r="E1036" s="1709"/>
      <c r="F1036" s="1709"/>
      <c r="G1036" s="1709"/>
    </row>
    <row r="1037" spans="1:7" ht="12.75" customHeight="1">
      <c r="A1037" s="1763"/>
      <c r="B1037" s="1763"/>
      <c r="C1037" s="1747"/>
      <c r="D1037" s="1892" t="s">
        <v>2338</v>
      </c>
      <c r="E1037" s="1892"/>
      <c r="F1037" s="1892"/>
      <c r="G1037" s="1709"/>
    </row>
    <row r="1038" spans="1:7" ht="12.75" customHeight="1">
      <c r="A1038" s="1763"/>
      <c r="B1038" s="1763"/>
      <c r="C1038" s="1747"/>
      <c r="D1038" s="1717"/>
      <c r="E1038" s="1711"/>
      <c r="F1038" s="1711"/>
      <c r="G1038" s="1709"/>
    </row>
    <row r="1039" spans="1:7" ht="12.75" customHeight="1">
      <c r="A1039" s="715"/>
      <c r="B1039" s="799" t="s">
        <v>2538</v>
      </c>
      <c r="C1039" s="1747"/>
      <c r="D1039" s="1869" t="s">
        <v>2339</v>
      </c>
      <c r="E1039" s="1869"/>
      <c r="F1039" s="1869"/>
      <c r="G1039" s="1746"/>
    </row>
    <row r="1040" spans="1:7" ht="12.75" customHeight="1">
      <c r="A1040" s="1763"/>
      <c r="B1040" s="1763"/>
      <c r="C1040" s="1747"/>
      <c r="D1040" s="1869"/>
      <c r="E1040" s="1869"/>
      <c r="F1040" s="1869"/>
      <c r="G1040" s="1746"/>
    </row>
    <row r="1041" spans="1:7" ht="12.75" customHeight="1">
      <c r="A1041" s="1763"/>
      <c r="B1041" s="1763"/>
      <c r="C1041" s="1747"/>
      <c r="D1041" s="1869"/>
      <c r="E1041" s="1869"/>
      <c r="F1041" s="1869"/>
      <c r="G1041" s="1746"/>
    </row>
    <row r="1042" spans="1:7" ht="12.75" customHeight="1">
      <c r="A1042" s="1763"/>
      <c r="B1042" s="1763"/>
      <c r="C1042" s="1747"/>
      <c r="D1042" s="1869"/>
      <c r="E1042" s="1869"/>
      <c r="F1042" s="1869"/>
      <c r="G1042" s="1746"/>
    </row>
    <row r="1043" spans="1:7" ht="12.75" customHeight="1">
      <c r="A1043" s="1763"/>
      <c r="B1043" s="1763"/>
      <c r="C1043" s="1747"/>
      <c r="D1043" s="1745"/>
      <c r="E1043" s="1745"/>
      <c r="F1043" s="1745"/>
      <c r="G1043" s="1746"/>
    </row>
    <row r="1044" spans="1:7" ht="12.75" customHeight="1">
      <c r="A1044" s="715"/>
      <c r="B1044" s="799" t="s">
        <v>2537</v>
      </c>
      <c r="C1044" s="1747"/>
      <c r="D1044" s="1869" t="s">
        <v>2340</v>
      </c>
      <c r="E1044" s="1869"/>
      <c r="F1044" s="1869"/>
      <c r="G1044" s="1746"/>
    </row>
    <row r="1045" spans="1:7" ht="12.75" customHeight="1">
      <c r="A1045" s="1763"/>
      <c r="B1045" s="1763"/>
      <c r="C1045" s="1747"/>
      <c r="D1045" s="1869"/>
      <c r="E1045" s="1869"/>
      <c r="F1045" s="1869"/>
      <c r="G1045" s="1746"/>
    </row>
    <row r="1046" spans="1:7" ht="12.75" customHeight="1">
      <c r="A1046" s="1763"/>
      <c r="B1046" s="1763"/>
      <c r="C1046" s="1747"/>
      <c r="D1046" s="1869"/>
      <c r="E1046" s="1869"/>
      <c r="F1046" s="1869"/>
      <c r="G1046" s="1746"/>
    </row>
    <row r="1047" spans="1:7" ht="12.75" customHeight="1">
      <c r="A1047" s="1763"/>
      <c r="B1047" s="1763"/>
      <c r="C1047" s="1747"/>
      <c r="D1047" s="1869"/>
      <c r="E1047" s="1869"/>
      <c r="F1047" s="1869"/>
      <c r="G1047" s="1746"/>
    </row>
    <row r="1048" spans="1:7" ht="12.75" customHeight="1">
      <c r="A1048" s="1763"/>
      <c r="B1048" s="1763"/>
      <c r="C1048" s="1747"/>
      <c r="D1048" s="1745"/>
      <c r="E1048" s="1745"/>
      <c r="F1048" s="1745"/>
      <c r="G1048" s="1746"/>
    </row>
    <row r="1049" spans="1:7" ht="12.75" customHeight="1">
      <c r="A1049" s="1763"/>
      <c r="B1049" s="799" t="s">
        <v>2537</v>
      </c>
      <c r="C1049" s="1747"/>
      <c r="D1049" s="1971" t="s">
        <v>2341</v>
      </c>
      <c r="E1049" s="1971"/>
      <c r="F1049" s="1971"/>
      <c r="G1049" s="1746"/>
    </row>
    <row r="1050" spans="1:7" ht="12.75" customHeight="1">
      <c r="A1050" s="1763"/>
      <c r="B1050" s="1763"/>
      <c r="C1050" s="1747"/>
      <c r="D1050" s="1971"/>
      <c r="E1050" s="1971"/>
      <c r="F1050" s="1971"/>
      <c r="G1050" s="1746"/>
    </row>
    <row r="1051" spans="1:7" ht="12.75" customHeight="1">
      <c r="A1051" s="1763"/>
      <c r="B1051" s="1763"/>
      <c r="C1051" s="1747"/>
      <c r="D1051" s="1971"/>
      <c r="E1051" s="1971"/>
      <c r="F1051" s="1971"/>
      <c r="G1051" s="1746"/>
    </row>
    <row r="1052" spans="1:7" ht="12.75" customHeight="1">
      <c r="A1052" s="1763"/>
      <c r="B1052" s="1763"/>
      <c r="C1052" s="1747"/>
      <c r="D1052" s="1745"/>
      <c r="E1052" s="1745"/>
      <c r="F1052" s="1745"/>
      <c r="G1052" s="1746"/>
    </row>
    <row r="1053" spans="1:7" ht="12.75" customHeight="1">
      <c r="A1053" s="715"/>
      <c r="B1053" s="799" t="s">
        <v>2538</v>
      </c>
      <c r="C1053" s="1772"/>
      <c r="D1053" s="1927" t="s">
        <v>2342</v>
      </c>
      <c r="E1053" s="1927"/>
      <c r="F1053" s="1927"/>
      <c r="G1053" s="1773"/>
    </row>
    <row r="1054" spans="1:7" ht="12.75" customHeight="1">
      <c r="A1054" s="1774"/>
      <c r="B1054" s="1774"/>
      <c r="C1054" s="1772"/>
      <c r="D1054" s="1927"/>
      <c r="E1054" s="1927"/>
      <c r="F1054" s="1927"/>
      <c r="G1054" s="1773"/>
    </row>
    <row r="1055" spans="1:7" ht="12.75" customHeight="1">
      <c r="A1055" s="1774"/>
      <c r="B1055" s="1774"/>
      <c r="C1055" s="1772"/>
      <c r="D1055" s="1927"/>
      <c r="E1055" s="1927"/>
      <c r="F1055" s="1927"/>
      <c r="G1055" s="1773"/>
    </row>
    <row r="1056" spans="1:7" ht="12.75" customHeight="1">
      <c r="A1056" s="1763"/>
      <c r="B1056" s="1763"/>
      <c r="C1056" s="1747"/>
      <c r="D1056" s="1745"/>
      <c r="E1056" s="1745"/>
      <c r="F1056" s="1745"/>
      <c r="G1056" s="1746"/>
    </row>
    <row r="1057" spans="1:7" ht="12.75" customHeight="1">
      <c r="A1057" s="557"/>
      <c r="B1057" s="557"/>
      <c r="C1057" s="1747"/>
      <c r="D1057" s="1892" t="s">
        <v>2343</v>
      </c>
      <c r="E1057" s="1892"/>
      <c r="F1057" s="1892"/>
      <c r="G1057" s="1746"/>
    </row>
    <row r="1058" spans="1:7" ht="12.75" customHeight="1">
      <c r="A1058" s="557"/>
      <c r="B1058" s="557"/>
      <c r="C1058" s="1747"/>
      <c r="D1058" s="1717"/>
      <c r="E1058" s="1745"/>
      <c r="F1058" s="1745"/>
      <c r="G1058" s="1746"/>
    </row>
    <row r="1059" spans="1:7" ht="12.75" customHeight="1">
      <c r="A1059" s="1763"/>
      <c r="B1059" s="799" t="s">
        <v>2537</v>
      </c>
      <c r="C1059" s="1747"/>
      <c r="D1059" s="1870" t="s">
        <v>2344</v>
      </c>
      <c r="E1059" s="1870"/>
      <c r="F1059" s="1870"/>
      <c r="G1059" s="1746"/>
    </row>
    <row r="1060" spans="1:7" ht="12.75" customHeight="1">
      <c r="A1060" s="1763"/>
      <c r="B1060" s="1763"/>
      <c r="C1060" s="1747"/>
      <c r="D1060" s="1870"/>
      <c r="E1060" s="1870"/>
      <c r="F1060" s="1870"/>
      <c r="G1060" s="1746"/>
    </row>
    <row r="1061" spans="1:7" ht="12.75" customHeight="1">
      <c r="A1061" s="1763"/>
      <c r="B1061" s="1763"/>
      <c r="C1061" s="1747"/>
      <c r="D1061" s="1870"/>
      <c r="E1061" s="1870"/>
      <c r="F1061" s="1870"/>
      <c r="G1061" s="1746"/>
    </row>
    <row r="1062" spans="1:7" ht="12.75" customHeight="1">
      <c r="A1062" s="1763"/>
      <c r="B1062" s="1763"/>
      <c r="C1062" s="1747"/>
      <c r="D1062" s="1746"/>
      <c r="E1062" s="1745"/>
      <c r="F1062" s="1745"/>
      <c r="G1062" s="1746"/>
    </row>
    <row r="1063" spans="1:7" ht="12.75" customHeight="1">
      <c r="A1063" s="715"/>
      <c r="B1063" s="799" t="s">
        <v>2537</v>
      </c>
      <c r="C1063" s="1747"/>
      <c r="D1063" s="1870" t="s">
        <v>2345</v>
      </c>
      <c r="E1063" s="1870"/>
      <c r="F1063" s="1870"/>
      <c r="G1063" s="1746"/>
    </row>
    <row r="1064" spans="1:7" ht="12.75" customHeight="1">
      <c r="A1064" s="1763"/>
      <c r="B1064" s="1763"/>
      <c r="C1064" s="1747"/>
      <c r="D1064" s="1870"/>
      <c r="E1064" s="1870"/>
      <c r="F1064" s="1870"/>
      <c r="G1064" s="1746"/>
    </row>
    <row r="1065" spans="1:7" ht="12.75" customHeight="1">
      <c r="A1065" s="1763"/>
      <c r="B1065" s="1763"/>
      <c r="C1065" s="1747"/>
      <c r="D1065" s="1870"/>
      <c r="E1065" s="1870"/>
      <c r="F1065" s="1870"/>
      <c r="G1065" s="1746"/>
    </row>
    <row r="1066" spans="1:7" ht="12.75" customHeight="1">
      <c r="A1066" s="1763"/>
      <c r="B1066" s="1763"/>
      <c r="C1066" s="1747"/>
      <c r="D1066" s="1745"/>
      <c r="E1066" s="1745"/>
      <c r="F1066" s="1745"/>
      <c r="G1066" s="1746"/>
    </row>
    <row r="1067" spans="1:7" ht="12.75" customHeight="1">
      <c r="A1067" s="1763"/>
      <c r="B1067" s="1763"/>
      <c r="C1067" s="1747"/>
      <c r="D1067" s="1892" t="s">
        <v>2346</v>
      </c>
      <c r="E1067" s="1892"/>
      <c r="F1067" s="1892"/>
      <c r="G1067" s="1746"/>
    </row>
    <row r="1068" spans="1:7" ht="12.75" customHeight="1">
      <c r="A1068" s="1763"/>
      <c r="B1068" s="1763"/>
      <c r="C1068" s="1747"/>
      <c r="D1068" s="1882" t="s">
        <v>2347</v>
      </c>
      <c r="E1068" s="1882"/>
      <c r="F1068" s="1882"/>
      <c r="G1068" s="1746"/>
    </row>
    <row r="1069" spans="1:7" ht="12.75" customHeight="1">
      <c r="A1069" s="1763"/>
      <c r="B1069" s="1763"/>
      <c r="C1069" s="1747"/>
      <c r="D1069" s="1775"/>
      <c r="E1069" s="1745"/>
      <c r="F1069" s="1745"/>
      <c r="G1069" s="1746"/>
    </row>
    <row r="1070" spans="1:7" ht="12.75" customHeight="1">
      <c r="A1070" s="715"/>
      <c r="B1070" s="799" t="s">
        <v>2537</v>
      </c>
      <c r="C1070" s="1747"/>
      <c r="D1070" s="1869" t="s">
        <v>2348</v>
      </c>
      <c r="E1070" s="1869"/>
      <c r="F1070" s="1869"/>
      <c r="G1070" s="1746"/>
    </row>
    <row r="1071" spans="1:7" ht="12.75" customHeight="1">
      <c r="A1071" s="1763"/>
      <c r="B1071" s="1763"/>
      <c r="C1071" s="1747"/>
      <c r="D1071" s="1869"/>
      <c r="E1071" s="1869"/>
      <c r="F1071" s="1869"/>
      <c r="G1071" s="1746"/>
    </row>
    <row r="1072" spans="1:7" ht="12.75" customHeight="1">
      <c r="A1072" s="1763"/>
      <c r="B1072" s="1763"/>
      <c r="C1072" s="1747"/>
      <c r="D1072" s="1745"/>
      <c r="E1072" s="1745"/>
      <c r="F1072" s="1745"/>
      <c r="G1072" s="1746"/>
    </row>
    <row r="1073" spans="1:7" ht="12.75" customHeight="1">
      <c r="A1073" s="715"/>
      <c r="B1073" s="799" t="s">
        <v>2537</v>
      </c>
      <c r="C1073" s="1747"/>
      <c r="D1073" s="1869" t="s">
        <v>2349</v>
      </c>
      <c r="E1073" s="1869"/>
      <c r="F1073" s="1869"/>
      <c r="G1073" s="1746"/>
    </row>
    <row r="1074" spans="1:7" ht="12.75" customHeight="1">
      <c r="A1074" s="1763"/>
      <c r="B1074" s="1763"/>
      <c r="C1074" s="1747"/>
      <c r="D1074" s="1869"/>
      <c r="E1074" s="1869"/>
      <c r="F1074" s="1869"/>
      <c r="G1074" s="1746"/>
    </row>
    <row r="1075" spans="1:7" ht="12.75" customHeight="1">
      <c r="A1075" s="1763"/>
      <c r="B1075" s="1763"/>
      <c r="C1075" s="1747"/>
      <c r="D1075" s="6"/>
      <c r="E1075" s="1745"/>
      <c r="F1075" s="1745"/>
      <c r="G1075" s="1746"/>
    </row>
    <row r="1076" spans="1:7" ht="12.75" customHeight="1">
      <c r="A1076" s="1763"/>
      <c r="B1076" s="1763"/>
      <c r="C1076" s="1747"/>
      <c r="D1076" s="1892" t="s">
        <v>2350</v>
      </c>
      <c r="E1076" s="1892"/>
      <c r="F1076" s="1892"/>
      <c r="G1076" s="1746"/>
    </row>
    <row r="1077" spans="1:7" ht="12.75" customHeight="1">
      <c r="A1077" s="1763"/>
      <c r="B1077" s="1763"/>
      <c r="C1077" s="1747"/>
      <c r="D1077" s="1717"/>
      <c r="E1077" s="1745"/>
      <c r="F1077" s="1745"/>
      <c r="G1077" s="1746"/>
    </row>
    <row r="1078" spans="1:7" ht="12.75" customHeight="1">
      <c r="A1078" s="715"/>
      <c r="B1078" s="799" t="s">
        <v>2537</v>
      </c>
      <c r="C1078" s="1747"/>
      <c r="D1078" s="1869" t="s">
        <v>2351</v>
      </c>
      <c r="E1078" s="1869"/>
      <c r="F1078" s="1869"/>
      <c r="G1078" s="1746"/>
    </row>
    <row r="1079" spans="1:7" ht="12.75" customHeight="1">
      <c r="A1079" s="1763"/>
      <c r="B1079" s="1763"/>
      <c r="C1079" s="1747"/>
      <c r="D1079" s="1869"/>
      <c r="E1079" s="1869"/>
      <c r="F1079" s="1869"/>
      <c r="G1079" s="1746"/>
    </row>
    <row r="1080" spans="1:7" ht="12.75" customHeight="1">
      <c r="A1080" s="1763"/>
      <c r="B1080" s="1763"/>
      <c r="C1080" s="1747"/>
      <c r="D1080" s="1869"/>
      <c r="E1080" s="1869"/>
      <c r="F1080" s="1869"/>
      <c r="G1080" s="1746"/>
    </row>
    <row r="1081" spans="1:7" ht="12.75" customHeight="1">
      <c r="A1081" s="1763"/>
      <c r="B1081" s="1763"/>
      <c r="C1081" s="1747"/>
      <c r="D1081" s="1869"/>
      <c r="E1081" s="1869"/>
      <c r="F1081" s="1869"/>
      <c r="G1081" s="1746"/>
    </row>
    <row r="1082" spans="1:7" ht="12.75" customHeight="1">
      <c r="A1082" s="1763"/>
      <c r="B1082" s="1763"/>
      <c r="C1082" s="1747"/>
      <c r="D1082" s="1869"/>
      <c r="E1082" s="1869"/>
      <c r="F1082" s="1869"/>
      <c r="G1082" s="1746"/>
    </row>
    <row r="1083" spans="1:7" ht="12.75" customHeight="1">
      <c r="A1083" s="1763"/>
      <c r="B1083" s="1763"/>
      <c r="C1083" s="1747"/>
      <c r="D1083" s="1869"/>
      <c r="E1083" s="1869"/>
      <c r="F1083" s="1869"/>
      <c r="G1083" s="1746"/>
    </row>
    <row r="1084" spans="1:7" ht="12.75" customHeight="1">
      <c r="A1084" s="1763"/>
      <c r="B1084" s="1763"/>
      <c r="C1084" s="1747"/>
      <c r="D1084" s="1869"/>
      <c r="E1084" s="1869"/>
      <c r="F1084" s="1869"/>
      <c r="G1084" s="1746"/>
    </row>
    <row r="1085" spans="1:7" ht="12.75" customHeight="1">
      <c r="A1085" s="1763"/>
      <c r="B1085" s="1763"/>
      <c r="C1085" s="1747"/>
      <c r="D1085" s="1745"/>
      <c r="E1085" s="1745"/>
      <c r="F1085" s="1745"/>
      <c r="G1085" s="1746"/>
    </row>
    <row r="1086" spans="1:7" ht="12.75" customHeight="1">
      <c r="A1086" s="715"/>
      <c r="B1086" s="799" t="s">
        <v>2537</v>
      </c>
      <c r="C1086" s="1747"/>
      <c r="D1086" s="1869" t="s">
        <v>2352</v>
      </c>
      <c r="E1086" s="1869"/>
      <c r="F1086" s="1869"/>
      <c r="G1086" s="1746"/>
    </row>
    <row r="1087" spans="1:7" ht="12.75" customHeight="1">
      <c r="A1087" s="1763"/>
      <c r="B1087" s="1763"/>
      <c r="C1087" s="1747"/>
      <c r="D1087" s="1869"/>
      <c r="E1087" s="1869"/>
      <c r="F1087" s="1869"/>
      <c r="G1087" s="1746"/>
    </row>
    <row r="1088" spans="1:7" ht="12.75" customHeight="1">
      <c r="A1088" s="1763"/>
      <c r="B1088" s="1763"/>
      <c r="C1088" s="1747"/>
      <c r="D1088" s="1869"/>
      <c r="E1088" s="1869"/>
      <c r="F1088" s="1869"/>
      <c r="G1088" s="1746"/>
    </row>
    <row r="1089" spans="1:7" ht="12.75" customHeight="1">
      <c r="A1089" s="1763"/>
      <c r="B1089" s="1763"/>
      <c r="C1089" s="1747"/>
      <c r="D1089" s="1869"/>
      <c r="E1089" s="1869"/>
      <c r="F1089" s="1869"/>
      <c r="G1089" s="1746"/>
    </row>
    <row r="1090" spans="1:7" ht="12.75" customHeight="1">
      <c r="A1090" s="1763"/>
      <c r="B1090" s="1763"/>
      <c r="C1090" s="1747"/>
      <c r="D1090" s="1869"/>
      <c r="E1090" s="1869"/>
      <c r="F1090" s="1869"/>
      <c r="G1090" s="1746"/>
    </row>
    <row r="1091" spans="1:7" ht="12.75" customHeight="1">
      <c r="A1091" s="1763"/>
      <c r="B1091" s="1763"/>
      <c r="C1091" s="1747"/>
      <c r="D1091" s="1869"/>
      <c r="E1091" s="1869"/>
      <c r="F1091" s="1869"/>
      <c r="G1091" s="1746"/>
    </row>
    <row r="1092" spans="1:7" ht="12.75" customHeight="1">
      <c r="A1092" s="1763"/>
      <c r="B1092" s="1763"/>
      <c r="C1092" s="1747"/>
      <c r="D1092" s="1869"/>
      <c r="E1092" s="1869"/>
      <c r="F1092" s="1869"/>
      <c r="G1092" s="1746"/>
    </row>
    <row r="1093" spans="1:7" ht="12.75" customHeight="1">
      <c r="A1093" s="1763"/>
      <c r="B1093" s="1763"/>
      <c r="C1093" s="1747"/>
      <c r="D1093" s="1707"/>
      <c r="E1093" s="1707"/>
      <c r="F1093" s="1707"/>
      <c r="G1093" s="1746"/>
    </row>
    <row r="1094" spans="1:7" ht="12.75" customHeight="1">
      <c r="A1094" s="1763"/>
      <c r="B1094" s="799" t="s">
        <v>2537</v>
      </c>
      <c r="C1094" s="1747"/>
      <c r="D1094" s="1971" t="s">
        <v>2353</v>
      </c>
      <c r="E1094" s="1971"/>
      <c r="F1094" s="1971"/>
      <c r="G1094" s="1746"/>
    </row>
    <row r="1095" spans="1:7" ht="12.75" customHeight="1">
      <c r="A1095" s="1763"/>
      <c r="B1095" s="1763"/>
      <c r="C1095" s="1747"/>
      <c r="D1095" s="1971"/>
      <c r="E1095" s="1971"/>
      <c r="F1095" s="1971"/>
      <c r="G1095" s="1746"/>
    </row>
    <row r="1096" spans="1:7" ht="12.75" customHeight="1">
      <c r="A1096" s="1763"/>
      <c r="B1096" s="1763"/>
      <c r="C1096" s="1747"/>
      <c r="D1096" s="1971"/>
      <c r="E1096" s="1971"/>
      <c r="F1096" s="1971"/>
      <c r="G1096" s="1746"/>
    </row>
    <row r="1097" spans="1:7" ht="12.75" customHeight="1">
      <c r="A1097" s="1763"/>
      <c r="B1097" s="1763"/>
      <c r="C1097" s="1747"/>
      <c r="D1097" s="1776"/>
      <c r="E1097" s="1776"/>
      <c r="F1097" s="1776"/>
      <c r="G1097" s="1746"/>
    </row>
    <row r="1098" spans="1:7" ht="12.75" customHeight="1">
      <c r="A1098" s="1749"/>
      <c r="B1098" s="1749"/>
      <c r="C1098" s="557"/>
      <c r="D1098" s="1892" t="s">
        <v>2354</v>
      </c>
      <c r="E1098" s="1892"/>
      <c r="F1098" s="1892"/>
      <c r="G1098" s="679"/>
    </row>
    <row r="1099" spans="1:7" ht="12.75" customHeight="1">
      <c r="A1099" s="1749"/>
      <c r="B1099" s="1749"/>
      <c r="C1099" s="557"/>
      <c r="D1099" s="1717"/>
      <c r="E1099" s="6"/>
      <c r="F1099" s="6"/>
      <c r="G1099" s="679"/>
    </row>
    <row r="1100" spans="1:7" ht="12.75" customHeight="1">
      <c r="A1100" s="715"/>
      <c r="B1100" s="799" t="s">
        <v>2537</v>
      </c>
      <c r="C1100" s="557"/>
      <c r="D1100" s="1870" t="s">
        <v>2355</v>
      </c>
      <c r="E1100" s="1870"/>
      <c r="F1100" s="1870"/>
      <c r="G1100" s="679"/>
    </row>
    <row r="1101" spans="1:7" ht="12.75" customHeight="1">
      <c r="A1101" s="1749"/>
      <c r="B1101" s="1749"/>
      <c r="C1101" s="557"/>
      <c r="D1101" s="1870"/>
      <c r="E1101" s="1870"/>
      <c r="F1101" s="1870"/>
      <c r="G1101" s="679"/>
    </row>
    <row r="1102" spans="1:7" ht="12.75" customHeight="1">
      <c r="A1102" s="1749"/>
      <c r="B1102" s="1749"/>
      <c r="C1102" s="557"/>
      <c r="D1102" s="679"/>
      <c r="E1102" s="6"/>
      <c r="F1102" s="6"/>
      <c r="G1102" s="679"/>
    </row>
    <row r="1103" spans="1:7" ht="12.75" customHeight="1">
      <c r="A1103" s="715"/>
      <c r="B1103" s="799" t="s">
        <v>2538</v>
      </c>
      <c r="C1103" s="557"/>
      <c r="D1103" s="1870" t="s">
        <v>2356</v>
      </c>
      <c r="E1103" s="1870"/>
      <c r="F1103" s="1870"/>
      <c r="G1103" s="679"/>
    </row>
    <row r="1104" spans="1:7" ht="12.75" customHeight="1">
      <c r="A1104" s="1749"/>
      <c r="B1104" s="1749"/>
      <c r="C1104" s="557"/>
      <c r="D1104" s="1870"/>
      <c r="E1104" s="1870"/>
      <c r="F1104" s="1870"/>
      <c r="G1104" s="679"/>
    </row>
    <row r="1105" spans="1:7" ht="12.75" customHeight="1">
      <c r="A1105" s="1749"/>
      <c r="B1105" s="1749"/>
      <c r="C1105" s="557"/>
      <c r="D1105" s="6"/>
      <c r="E1105" s="6"/>
      <c r="F1105" s="6"/>
      <c r="G1105" s="679"/>
    </row>
    <row r="1106" spans="1:7" ht="12.75" customHeight="1">
      <c r="A1106" s="1749"/>
      <c r="B1106" s="1749"/>
      <c r="C1106" s="557"/>
      <c r="D1106" s="1892" t="s">
        <v>2357</v>
      </c>
      <c r="E1106" s="1892"/>
      <c r="F1106" s="1892"/>
      <c r="G1106" s="679"/>
    </row>
    <row r="1107" spans="1:7" ht="12.75" customHeight="1">
      <c r="A1107" s="1749"/>
      <c r="B1107" s="1749"/>
      <c r="C1107" s="557"/>
      <c r="D1107" s="1717"/>
      <c r="E1107" s="6"/>
      <c r="F1107" s="6"/>
      <c r="G1107" s="679"/>
    </row>
    <row r="1108" spans="1:7" ht="12.75" customHeight="1">
      <c r="A1108" s="715"/>
      <c r="B1108" s="799" t="s">
        <v>2537</v>
      </c>
      <c r="C1108" s="557"/>
      <c r="D1108" s="1882" t="s">
        <v>2384</v>
      </c>
      <c r="E1108" s="1882"/>
      <c r="F1108" s="1882"/>
      <c r="G1108" s="679"/>
    </row>
    <row r="1109" spans="1:7" ht="12.75" customHeight="1">
      <c r="A1109" s="1749"/>
      <c r="B1109" s="1749"/>
      <c r="C1109" s="557"/>
      <c r="D1109" s="6"/>
      <c r="E1109" s="6"/>
      <c r="F1109" s="6"/>
      <c r="G1109" s="679"/>
    </row>
    <row r="1110" spans="1:7" ht="12.75" customHeight="1">
      <c r="A1110" s="715"/>
      <c r="B1110" s="799" t="s">
        <v>2537</v>
      </c>
      <c r="C1110" s="557"/>
      <c r="D1110" s="1869" t="s">
        <v>2358</v>
      </c>
      <c r="E1110" s="1869"/>
      <c r="F1110" s="1869"/>
      <c r="G1110" s="679"/>
    </row>
    <row r="1111" spans="1:7" ht="12.75" customHeight="1">
      <c r="A1111" s="715"/>
      <c r="B1111" s="715"/>
      <c r="C1111" s="557"/>
      <c r="D1111" s="1869"/>
      <c r="E1111" s="1869"/>
      <c r="F1111" s="1869"/>
      <c r="G1111" s="679"/>
    </row>
    <row r="1112" spans="1:7" ht="12.75" customHeight="1">
      <c r="A1112" s="715"/>
      <c r="B1112" s="715"/>
      <c r="C1112" s="557"/>
      <c r="D1112" s="1707"/>
      <c r="E1112" s="1707"/>
      <c r="F1112" s="1707"/>
      <c r="G1112" s="678"/>
    </row>
    <row r="1113" spans="1:7" ht="12.75" customHeight="1">
      <c r="A1113" s="1749"/>
      <c r="B1113" s="1749"/>
      <c r="C1113" s="557"/>
      <c r="D1113" s="1892" t="s">
        <v>2359</v>
      </c>
      <c r="E1113" s="1892"/>
      <c r="F1113" s="1892"/>
      <c r="G1113" s="678"/>
    </row>
    <row r="1114" spans="1:7" ht="12.75" customHeight="1">
      <c r="A1114" s="1749"/>
      <c r="B1114" s="1749"/>
      <c r="C1114" s="557"/>
      <c r="D1114" s="1717"/>
      <c r="E1114" s="6"/>
      <c r="F1114" s="6"/>
      <c r="G1114" s="678"/>
    </row>
    <row r="1115" spans="1:7" ht="12.75" customHeight="1">
      <c r="A1115" s="715"/>
      <c r="B1115" s="799" t="s">
        <v>2537</v>
      </c>
      <c r="C1115" s="557"/>
      <c r="D1115" s="1869" t="s">
        <v>2360</v>
      </c>
      <c r="E1115" s="1869"/>
      <c r="F1115" s="1869"/>
      <c r="G1115" s="678"/>
    </row>
    <row r="1116" spans="1:7" ht="12.75" customHeight="1">
      <c r="A1116" s="715"/>
      <c r="B1116" s="715"/>
      <c r="C1116" s="557"/>
      <c r="D1116" s="1869"/>
      <c r="E1116" s="1869"/>
      <c r="F1116" s="1869"/>
      <c r="G1116" s="678"/>
    </row>
    <row r="1117" spans="1:7" ht="12.75" customHeight="1">
      <c r="A1117" s="715"/>
      <c r="B1117" s="715"/>
      <c r="C1117" s="557"/>
      <c r="D1117" s="1869"/>
      <c r="E1117" s="1869"/>
      <c r="F1117" s="1869"/>
      <c r="G1117" s="678"/>
    </row>
    <row r="1118" spans="1:7" ht="12.75" customHeight="1">
      <c r="A1118" s="715"/>
      <c r="B1118" s="715"/>
      <c r="C1118" s="557"/>
      <c r="D1118" s="1869"/>
      <c r="E1118" s="1869"/>
      <c r="F1118" s="1869"/>
      <c r="G1118" s="678"/>
    </row>
    <row r="1119" spans="1:7" ht="12.75" customHeight="1">
      <c r="A1119" s="715"/>
      <c r="B1119" s="715"/>
      <c r="C1119" s="557"/>
      <c r="D1119" s="1869"/>
      <c r="E1119" s="1869"/>
      <c r="F1119" s="1869"/>
      <c r="G1119" s="678"/>
    </row>
    <row r="1120" spans="1:7" ht="12.75" customHeight="1">
      <c r="A1120" s="715"/>
      <c r="B1120" s="715"/>
      <c r="C1120" s="557"/>
      <c r="D1120" s="1869"/>
      <c r="E1120" s="1869"/>
      <c r="F1120" s="1869"/>
      <c r="G1120" s="678"/>
    </row>
    <row r="1121" spans="1:7" ht="12.75" customHeight="1">
      <c r="A1121" s="715"/>
      <c r="B1121" s="715"/>
      <c r="C1121" s="557"/>
      <c r="D1121" s="1869"/>
      <c r="E1121" s="1869"/>
      <c r="F1121" s="1869"/>
      <c r="G1121" s="678"/>
    </row>
    <row r="1122" spans="1:7" ht="12.75" customHeight="1">
      <c r="A1122" s="715"/>
      <c r="B1122" s="715"/>
      <c r="C1122" s="557"/>
      <c r="D1122" s="1869"/>
      <c r="E1122" s="1869"/>
      <c r="F1122" s="1869"/>
      <c r="G1122" s="678"/>
    </row>
    <row r="1123" spans="1:7" ht="12.75" customHeight="1">
      <c r="A1123" s="715"/>
      <c r="B1123" s="715"/>
      <c r="C1123" s="557"/>
      <c r="D1123" s="1869"/>
      <c r="E1123" s="1869"/>
      <c r="F1123" s="1869"/>
      <c r="G1123" s="678"/>
    </row>
    <row r="1124" spans="1:7" ht="12.75" customHeight="1">
      <c r="A1124" s="715"/>
      <c r="B1124" s="715"/>
      <c r="C1124" s="557"/>
      <c r="D1124" s="1869"/>
      <c r="E1124" s="1869"/>
      <c r="F1124" s="1869"/>
      <c r="G1124" s="678"/>
    </row>
    <row r="1125" spans="1:7" ht="12.75" customHeight="1">
      <c r="A1125" s="715"/>
      <c r="B1125" s="715"/>
      <c r="C1125" s="557"/>
      <c r="D1125" s="1869"/>
      <c r="E1125" s="1869"/>
      <c r="F1125" s="1869"/>
      <c r="G1125" s="678"/>
    </row>
    <row r="1126" spans="1:7" ht="12.75" customHeight="1">
      <c r="A1126" s="715"/>
      <c r="B1126" s="715"/>
      <c r="C1126" s="557"/>
      <c r="D1126" s="1869"/>
      <c r="E1126" s="1869"/>
      <c r="F1126" s="1869"/>
      <c r="G1126" s="678"/>
    </row>
    <row r="1127" spans="1:7" ht="12.75" customHeight="1">
      <c r="A1127" s="715"/>
      <c r="B1127" s="715"/>
      <c r="C1127" s="557"/>
      <c r="D1127" s="1869"/>
      <c r="E1127" s="1869"/>
      <c r="F1127" s="1869"/>
      <c r="G1127" s="678"/>
    </row>
    <row r="1128" spans="1:7" ht="12.75" customHeight="1">
      <c r="A1128" s="715"/>
      <c r="B1128" s="715"/>
      <c r="C1128" s="557"/>
      <c r="D1128" s="1869"/>
      <c r="E1128" s="1869"/>
      <c r="F1128" s="1869"/>
      <c r="G1128" s="679"/>
    </row>
    <row r="1129" spans="1:7" ht="12.75" customHeight="1">
      <c r="A1129" s="1749"/>
      <c r="B1129" s="1749"/>
      <c r="C1129" s="557"/>
      <c r="D1129" s="6"/>
      <c r="E1129" s="6"/>
      <c r="F1129" s="6"/>
      <c r="G1129" s="679"/>
    </row>
    <row r="1130" spans="1:7" ht="12.75" customHeight="1">
      <c r="A1130" s="1938" t="s">
        <v>2361</v>
      </c>
      <c r="B1130" s="1938"/>
      <c r="C1130" s="1938"/>
      <c r="D1130" s="1938"/>
      <c r="E1130" s="1938"/>
      <c r="F1130" s="1938"/>
      <c r="G1130" s="1938"/>
    </row>
    <row r="1131" spans="1:7" ht="12.75" customHeight="1">
      <c r="A1131" s="1714"/>
      <c r="B1131" s="1714"/>
      <c r="C1131" s="557"/>
      <c r="D1131" s="6"/>
      <c r="E1131" s="6"/>
      <c r="F1131" s="6"/>
      <c r="G1131" s="679"/>
    </row>
    <row r="1132" spans="1:7" ht="12.75" customHeight="1">
      <c r="A1132" s="1749"/>
      <c r="B1132" s="1749"/>
      <c r="C1132" s="1747"/>
      <c r="D1132" s="1892" t="s">
        <v>2385</v>
      </c>
      <c r="E1132" s="1892"/>
      <c r="F1132" s="1892"/>
      <c r="G1132" s="679"/>
    </row>
    <row r="1133" spans="1:7" ht="12.75" customHeight="1">
      <c r="A1133" s="1721"/>
      <c r="B1133" s="1721"/>
      <c r="C1133" s="1753"/>
      <c r="D1133" s="1882" t="s">
        <v>2362</v>
      </c>
      <c r="E1133" s="1882"/>
      <c r="F1133" s="1882"/>
      <c r="G1133" s="679"/>
    </row>
    <row r="1134" spans="1:7" ht="12.75" customHeight="1">
      <c r="A1134" s="1721"/>
      <c r="B1134" s="1721"/>
      <c r="C1134" s="1753"/>
      <c r="D1134" s="6"/>
      <c r="E1134" s="6"/>
      <c r="F1134" s="1745"/>
      <c r="G1134" s="678"/>
    </row>
    <row r="1135" spans="1:7" ht="12.75" customHeight="1">
      <c r="A1135" s="1749"/>
      <c r="B1135" s="799" t="s">
        <v>2538</v>
      </c>
      <c r="C1135" s="557"/>
      <c r="D1135" s="1878" t="s">
        <v>2363</v>
      </c>
      <c r="E1135" s="1878"/>
      <c r="F1135" s="1878"/>
      <c r="G1135" s="678"/>
    </row>
    <row r="1136" spans="1:7" ht="12.75" customHeight="1">
      <c r="A1136" s="1749"/>
      <c r="B1136" s="1749"/>
      <c r="C1136" s="557"/>
      <c r="D1136" s="1878"/>
      <c r="E1136" s="1878"/>
      <c r="F1136" s="1878"/>
      <c r="G1136" s="678"/>
    </row>
    <row r="1137" spans="1:7" ht="12.75" customHeight="1">
      <c r="A1137" s="1749"/>
      <c r="B1137" s="1749"/>
      <c r="C1137" s="557"/>
      <c r="D1137" s="1878"/>
      <c r="E1137" s="1878"/>
      <c r="F1137" s="1878"/>
      <c r="G1137" s="678"/>
    </row>
    <row r="1138" spans="1:7" ht="12.75" customHeight="1">
      <c r="A1138" s="1749"/>
      <c r="B1138" s="1749"/>
      <c r="C1138" s="557"/>
      <c r="D1138" s="1878"/>
      <c r="E1138" s="1878"/>
      <c r="F1138" s="1878"/>
      <c r="G1138" s="678"/>
    </row>
    <row r="1139" spans="1:7" ht="12.75" customHeight="1">
      <c r="A1139" s="1733"/>
      <c r="B1139" s="1733"/>
      <c r="C1139" s="558"/>
      <c r="D1139" s="1878"/>
      <c r="E1139" s="1878"/>
      <c r="F1139" s="1878"/>
      <c r="G1139" s="678"/>
    </row>
    <row r="1140" spans="1:7" ht="12.75" customHeight="1">
      <c r="A1140" s="1733"/>
      <c r="B1140" s="1733"/>
      <c r="C1140" s="558"/>
      <c r="D1140" s="1878"/>
      <c r="E1140" s="1878"/>
      <c r="F1140" s="1878"/>
      <c r="G1140" s="678"/>
    </row>
    <row r="1141" spans="1:7" ht="12.75" customHeight="1">
      <c r="A1141" s="721"/>
      <c r="B1141" s="721"/>
      <c r="C1141" s="314"/>
      <c r="D1141" s="1878"/>
      <c r="E1141" s="1878"/>
      <c r="F1141" s="1878"/>
      <c r="G1141" s="678"/>
    </row>
    <row r="1142" spans="1:7" ht="12.75" customHeight="1">
      <c r="A1142" s="721"/>
      <c r="B1142" s="721"/>
      <c r="C1142" s="314"/>
      <c r="D1142" s="1878"/>
      <c r="E1142" s="1878"/>
      <c r="F1142" s="1878"/>
      <c r="G1142" s="678"/>
    </row>
    <row r="1143" spans="1:7" ht="12.75" customHeight="1">
      <c r="A1143" s="721"/>
      <c r="B1143" s="721"/>
      <c r="C1143" s="314"/>
      <c r="D1143" s="1710"/>
      <c r="E1143" s="1710"/>
      <c r="F1143" s="1710"/>
      <c r="G1143" s="678"/>
    </row>
    <row r="1144" spans="1:7" ht="12.75" customHeight="1">
      <c r="A1144" s="721"/>
      <c r="B1144" s="799" t="s">
        <v>2537</v>
      </c>
      <c r="C1144" s="314"/>
      <c r="D1144" s="1870" t="s">
        <v>2364</v>
      </c>
      <c r="E1144" s="1870"/>
      <c r="F1144" s="1870"/>
      <c r="G1144" s="678"/>
    </row>
    <row r="1145" spans="1:7" ht="12.75" customHeight="1">
      <c r="A1145" s="721"/>
      <c r="B1145" s="721"/>
      <c r="C1145" s="314"/>
      <c r="D1145" s="1870"/>
      <c r="E1145" s="1870"/>
      <c r="F1145" s="1870"/>
      <c r="G1145" s="678"/>
    </row>
    <row r="1146" spans="1:7" ht="12.75" customHeight="1">
      <c r="A1146" s="721"/>
      <c r="B1146" s="721"/>
      <c r="C1146" s="314"/>
      <c r="D1146" s="1870"/>
      <c r="E1146" s="1870"/>
      <c r="F1146" s="1870"/>
      <c r="G1146" s="678"/>
    </row>
    <row r="1147" spans="1:7" ht="12.75" customHeight="1">
      <c r="A1147" s="721"/>
      <c r="B1147" s="721"/>
      <c r="C1147" s="314"/>
      <c r="D1147" s="1870"/>
      <c r="E1147" s="1870"/>
      <c r="F1147" s="1870"/>
      <c r="G1147" s="678"/>
    </row>
    <row r="1148" spans="1:7" ht="12.75" customHeight="1">
      <c r="A1148" s="721"/>
      <c r="B1148" s="721"/>
      <c r="C1148" s="314"/>
      <c r="D1148" s="1708"/>
      <c r="E1148" s="1708"/>
      <c r="F1148" s="1708"/>
      <c r="G1148" s="678"/>
    </row>
    <row r="1149" spans="1:7" ht="12.75" customHeight="1">
      <c r="A1149" s="721"/>
      <c r="B1149" s="799" t="s">
        <v>2537</v>
      </c>
      <c r="C1149" s="314"/>
      <c r="D1149" s="1870" t="s">
        <v>2365</v>
      </c>
      <c r="E1149" s="1870"/>
      <c r="F1149" s="1870"/>
      <c r="G1149" s="678"/>
    </row>
    <row r="1150" spans="1:7" ht="12.75" customHeight="1">
      <c r="A1150" s="721"/>
      <c r="B1150" s="721"/>
      <c r="C1150" s="314"/>
      <c r="D1150" s="1870"/>
      <c r="E1150" s="1870"/>
      <c r="F1150" s="1870"/>
      <c r="G1150" s="678"/>
    </row>
    <row r="1151" spans="1:7" ht="12.75" customHeight="1">
      <c r="A1151" s="721"/>
      <c r="B1151" s="721"/>
      <c r="C1151" s="314"/>
      <c r="D1151" s="1708"/>
      <c r="E1151" s="1708"/>
      <c r="F1151" s="1708"/>
      <c r="G1151" s="678"/>
    </row>
    <row r="1152" spans="1:7" ht="12.75" customHeight="1">
      <c r="A1152" s="715"/>
      <c r="B1152" s="799" t="s">
        <v>2538</v>
      </c>
      <c r="C1152" s="557"/>
      <c r="D1152" s="1882" t="s">
        <v>2366</v>
      </c>
      <c r="E1152" s="1882"/>
      <c r="F1152" s="1882"/>
      <c r="G1152" s="678"/>
    </row>
    <row r="1153" spans="1:7" ht="12.75" customHeight="1">
      <c r="A1153" s="1749"/>
      <c r="B1153" s="1749"/>
      <c r="C1153" s="557"/>
      <c r="D1153" s="6"/>
      <c r="E1153" s="6"/>
      <c r="F1153" s="6"/>
      <c r="G1153" s="678"/>
    </row>
    <row r="1154" spans="1:7" ht="12.75" customHeight="1">
      <c r="A1154" s="715"/>
      <c r="B1154" s="799" t="s">
        <v>2537</v>
      </c>
      <c r="C1154" s="557"/>
      <c r="D1154" s="1882" t="s">
        <v>2367</v>
      </c>
      <c r="E1154" s="1882"/>
      <c r="F1154" s="1882"/>
      <c r="G1154" s="678"/>
    </row>
    <row r="1155" spans="1:7" ht="12.75" customHeight="1">
      <c r="A1155" s="1749"/>
      <c r="B1155" s="1749"/>
      <c r="C1155" s="557"/>
      <c r="D1155" s="1713"/>
      <c r="E1155" s="6"/>
      <c r="F1155" s="6"/>
      <c r="G1155" s="678"/>
    </row>
    <row r="1156" spans="1:7" ht="12.75" customHeight="1">
      <c r="A1156" s="715"/>
      <c r="B1156" s="799" t="s">
        <v>2537</v>
      </c>
      <c r="C1156" s="557"/>
      <c r="D1156" s="1882" t="s">
        <v>2368</v>
      </c>
      <c r="E1156" s="1882"/>
      <c r="F1156" s="1882"/>
      <c r="G1156" s="678"/>
    </row>
    <row r="1157" spans="1:7" ht="12.75" customHeight="1">
      <c r="A1157" s="1749"/>
      <c r="B1157" s="1749"/>
      <c r="C1157" s="557"/>
      <c r="D1157" s="1713"/>
      <c r="E1157" s="6"/>
      <c r="F1157" s="6"/>
      <c r="G1157" s="678"/>
    </row>
    <row r="1158" spans="1:7" ht="12.75" customHeight="1">
      <c r="A1158" s="715"/>
      <c r="B1158" s="799" t="s">
        <v>2537</v>
      </c>
      <c r="C1158" s="557"/>
      <c r="D1158" s="1869" t="s">
        <v>2369</v>
      </c>
      <c r="E1158" s="1869"/>
      <c r="F1158" s="1869"/>
      <c r="G1158" s="678"/>
    </row>
    <row r="1159" spans="1:7" ht="12.75" customHeight="1">
      <c r="A1159" s="715"/>
      <c r="B1159" s="715"/>
      <c r="C1159" s="557"/>
      <c r="D1159" s="1869"/>
      <c r="E1159" s="1869"/>
      <c r="F1159" s="1869"/>
      <c r="G1159" s="678"/>
    </row>
    <row r="1160" spans="1:7" ht="12.75" customHeight="1">
      <c r="A1160" s="715"/>
      <c r="B1160" s="715"/>
      <c r="C1160" s="557"/>
      <c r="D1160" s="1713"/>
      <c r="E1160" s="6"/>
      <c r="F1160" s="6"/>
      <c r="G1160" s="679"/>
    </row>
    <row r="1161" spans="1:7" ht="12.75" customHeight="1">
      <c r="A1161" s="408"/>
      <c r="B1161" s="799" t="s">
        <v>2537</v>
      </c>
      <c r="C1161" s="1777"/>
      <c r="D1161" s="1936" t="s">
        <v>2370</v>
      </c>
      <c r="E1161" s="1936"/>
      <c r="F1161" s="1936"/>
      <c r="G1161" s="1778"/>
    </row>
    <row r="1162" spans="1:7" ht="12.75" customHeight="1">
      <c r="A1162" s="1777"/>
      <c r="B1162" s="1777"/>
      <c r="C1162" s="1777"/>
      <c r="D1162" s="1936"/>
      <c r="E1162" s="1936"/>
      <c r="F1162" s="1936"/>
      <c r="G1162" s="1778"/>
    </row>
    <row r="1163" spans="1:7" ht="12.75" customHeight="1">
      <c r="A1163" s="1777"/>
      <c r="B1163" s="1777"/>
      <c r="C1163" s="1777"/>
      <c r="D1163" s="1779"/>
      <c r="E1163" s="1780"/>
      <c r="F1163" s="1780"/>
      <c r="G1163" s="1778"/>
    </row>
    <row r="1164" spans="1:7" ht="12.75" customHeight="1">
      <c r="A1164" s="408"/>
      <c r="B1164" s="799" t="s">
        <v>2538</v>
      </c>
      <c r="C1164" s="1777"/>
      <c r="D1164" s="1970" t="s">
        <v>2371</v>
      </c>
      <c r="E1164" s="1970"/>
      <c r="F1164" s="1970"/>
      <c r="G1164" s="1778"/>
    </row>
    <row r="1165" spans="1:7" ht="12.75" customHeight="1">
      <c r="A1165" s="1777"/>
      <c r="B1165" s="1777"/>
      <c r="C1165" s="1777"/>
      <c r="D1165" s="1779"/>
      <c r="E1165" s="1780"/>
      <c r="F1165" s="1780"/>
      <c r="G1165" s="1778"/>
    </row>
    <row r="1166" spans="1:7" ht="12.75" customHeight="1">
      <c r="A1166" s="715"/>
      <c r="B1166" s="799" t="s">
        <v>2537</v>
      </c>
      <c r="C1166" s="557"/>
      <c r="D1166" s="1882" t="s">
        <v>2372</v>
      </c>
      <c r="E1166" s="1882"/>
      <c r="F1166" s="1882"/>
      <c r="G1166" s="679"/>
    </row>
    <row r="1167" spans="1:7" ht="12.75" customHeight="1">
      <c r="A1167" s="715"/>
      <c r="B1167" s="715"/>
      <c r="C1167" s="557"/>
      <c r="D1167" s="1713"/>
      <c r="E1167" s="6"/>
      <c r="F1167" s="6"/>
      <c r="G1167" s="679"/>
    </row>
    <row r="1168" spans="1:7" ht="12.75" customHeight="1">
      <c r="A1168" s="715"/>
      <c r="B1168" s="799" t="s">
        <v>2537</v>
      </c>
      <c r="C1168" s="557"/>
      <c r="D1168" s="1869" t="s">
        <v>2373</v>
      </c>
      <c r="E1168" s="1869"/>
      <c r="F1168" s="1869"/>
      <c r="G1168" s="679"/>
    </row>
    <row r="1169" spans="1:7" ht="12.75" customHeight="1">
      <c r="A1169" s="715"/>
      <c r="B1169" s="715"/>
      <c r="C1169" s="557"/>
      <c r="D1169" s="1869"/>
      <c r="E1169" s="1869"/>
      <c r="F1169" s="1869"/>
      <c r="G1169" s="679"/>
    </row>
    <row r="1170" spans="1:7" ht="12.75" customHeight="1">
      <c r="A1170" s="1749"/>
      <c r="B1170" s="1749"/>
      <c r="C1170" s="557"/>
      <c r="D1170" s="6"/>
      <c r="E1170" s="6"/>
      <c r="F1170" s="6"/>
      <c r="G1170" s="679"/>
    </row>
    <row r="1171" spans="1:7" ht="12.75" customHeight="1">
      <c r="A1171" s="1938" t="s">
        <v>2374</v>
      </c>
      <c r="B1171" s="1938"/>
      <c r="C1171" s="1938"/>
      <c r="D1171" s="1938"/>
      <c r="E1171" s="1938"/>
      <c r="F1171" s="1938"/>
      <c r="G1171" s="1938"/>
    </row>
    <row r="1172" spans="1:7" ht="12.75" customHeight="1">
      <c r="A1172" s="1749"/>
      <c r="B1172" s="1749"/>
      <c r="C1172" s="557"/>
      <c r="D1172" s="6"/>
      <c r="E1172" s="6"/>
      <c r="F1172" s="6"/>
      <c r="G1172" s="679"/>
    </row>
    <row r="1173" spans="1:7" ht="12.75" customHeight="1">
      <c r="A1173" s="1733"/>
      <c r="B1173" s="1733"/>
      <c r="C1173" s="558"/>
      <c r="D1173" s="1928" t="s">
        <v>2375</v>
      </c>
      <c r="E1173" s="1928"/>
      <c r="F1173" s="1928"/>
      <c r="G1173" s="679"/>
    </row>
    <row r="1174" spans="1:7" ht="12.75" customHeight="1">
      <c r="A1174" s="1733"/>
      <c r="B1174" s="1733"/>
      <c r="C1174" s="558"/>
      <c r="D1174" s="1969" t="s">
        <v>2376</v>
      </c>
      <c r="E1174" s="1969"/>
      <c r="F1174" s="1969"/>
      <c r="G1174" s="679"/>
    </row>
    <row r="1175" spans="1:7" ht="12.75" customHeight="1">
      <c r="A1175" s="675"/>
      <c r="B1175" s="675"/>
      <c r="C1175" s="1722"/>
      <c r="D1175" s="679"/>
      <c r="E1175" s="679"/>
      <c r="F1175" s="679"/>
      <c r="G1175" s="679"/>
    </row>
    <row r="1176" spans="1:7" ht="12.75" customHeight="1">
      <c r="A1176" s="715"/>
      <c r="B1176" s="715"/>
      <c r="C1176" s="314"/>
      <c r="D1176" s="1928" t="s">
        <v>2390</v>
      </c>
      <c r="E1176" s="1928"/>
      <c r="F1176" s="1928"/>
      <c r="G1176" s="679"/>
    </row>
    <row r="1177" spans="1:7" ht="12.75" customHeight="1">
      <c r="A1177" s="1749"/>
      <c r="B1177" s="799" t="s">
        <v>2538</v>
      </c>
      <c r="C1177" s="557"/>
      <c r="D1177" s="1969" t="s">
        <v>1513</v>
      </c>
      <c r="E1177" s="1969"/>
      <c r="F1177" s="1969"/>
      <c r="G1177" s="679"/>
    </row>
    <row r="1178" spans="1:7" s="1790" customFormat="1" ht="12.75" customHeight="1">
      <c r="A1178" s="1749"/>
      <c r="B1178" s="715"/>
      <c r="C1178" s="557"/>
      <c r="D1178" s="1966" t="s">
        <v>2377</v>
      </c>
      <c r="E1178" s="1966"/>
      <c r="F1178" s="1966"/>
      <c r="G1178" s="679"/>
    </row>
    <row r="1179" spans="1:7" ht="12.75" customHeight="1">
      <c r="A1179" s="1749"/>
      <c r="B1179" s="1749"/>
      <c r="C1179" s="557"/>
      <c r="D1179" s="1969"/>
      <c r="E1179" s="1969"/>
      <c r="F1179" s="1969"/>
      <c r="G1179" s="679"/>
    </row>
    <row r="1180" spans="1:7" ht="12.75" customHeight="1">
      <c r="A1180" s="1961" t="s">
        <v>2386</v>
      </c>
      <c r="B1180" s="1961"/>
      <c r="C1180" s="1961"/>
      <c r="D1180" s="1961"/>
      <c r="E1180" s="1961"/>
      <c r="F1180" s="1961"/>
      <c r="G1180" s="1961"/>
    </row>
    <row r="1181" spans="1:7" ht="12.75" customHeight="1">
      <c r="A1181" s="254"/>
      <c r="B1181" s="254"/>
      <c r="C1181" s="1741"/>
      <c r="D1181" s="687"/>
      <c r="E1181" s="687"/>
      <c r="F1181" s="687"/>
      <c r="G1181" s="687"/>
    </row>
    <row r="1182" spans="1:7" ht="12.75" customHeight="1">
      <c r="A1182" s="254"/>
      <c r="B1182" s="1787"/>
      <c r="C1182" s="1794"/>
      <c r="D1182" s="1942" t="s">
        <v>1514</v>
      </c>
      <c r="E1182" s="1942"/>
      <c r="F1182" s="1942"/>
      <c r="G1182" s="687"/>
    </row>
    <row r="1183" spans="1:7" ht="12.75" customHeight="1">
      <c r="A1183" s="254"/>
      <c r="B1183" s="1793" t="s">
        <v>2538</v>
      </c>
      <c r="C1183" s="1794"/>
      <c r="D1183" s="1945" t="s">
        <v>1513</v>
      </c>
      <c r="E1183" s="1945"/>
      <c r="F1183" s="1945"/>
      <c r="G1183" s="687"/>
    </row>
    <row r="1184" spans="1:7" ht="12.75" customHeight="1">
      <c r="A1184" s="254"/>
      <c r="B1184" s="1790"/>
      <c r="C1184" s="1794"/>
      <c r="D1184" s="1945" t="s">
        <v>2387</v>
      </c>
      <c r="E1184" s="1945"/>
      <c r="F1184" s="1945"/>
      <c r="G1184" s="687"/>
    </row>
    <row r="1185" spans="1:7" s="1790" customFormat="1" ht="12.75" customHeight="1">
      <c r="A1185" s="254"/>
      <c r="C1185" s="1794"/>
      <c r="D1185" s="1788"/>
      <c r="E1185" s="1788"/>
      <c r="F1185" s="1788"/>
      <c r="G1185" s="687"/>
    </row>
    <row r="1186" spans="1:7" ht="12.75" customHeight="1">
      <c r="A1186" s="254"/>
      <c r="B1186" s="254"/>
      <c r="C1186" s="1741"/>
      <c r="D1186" s="1967" t="s">
        <v>1187</v>
      </c>
      <c r="E1186" s="1967"/>
      <c r="F1186" s="1967"/>
      <c r="G1186" s="687"/>
    </row>
    <row r="1187" spans="1:7" ht="12.75" customHeight="1">
      <c r="A1187" s="504"/>
      <c r="B1187" s="504"/>
      <c r="C1187" s="503"/>
      <c r="D1187" s="1968" t="s">
        <v>1204</v>
      </c>
      <c r="E1187" s="1968"/>
      <c r="F1187" s="1968"/>
      <c r="G1187" s="1781"/>
    </row>
    <row r="1188" spans="1:7" ht="12.75" customHeight="1">
      <c r="A1188" s="715"/>
      <c r="B1188" s="1793" t="s">
        <v>2537</v>
      </c>
      <c r="C1188" s="558"/>
      <c r="D1188" s="1935" t="s">
        <v>1072</v>
      </c>
      <c r="E1188" s="1935"/>
      <c r="F1188" s="1935"/>
      <c r="G1188" s="679"/>
    </row>
    <row r="1189" spans="1:7" ht="12.75" customHeight="1">
      <c r="A1189" s="1733"/>
      <c r="B1189" s="1733"/>
      <c r="C1189" s="558"/>
      <c r="D1189" s="6"/>
      <c r="E1189" s="1963" t="s">
        <v>1188</v>
      </c>
      <c r="F1189" s="1963"/>
      <c r="G1189" s="679"/>
    </row>
    <row r="1190" spans="1:7">
      <c r="A1190" s="791"/>
      <c r="B1190" s="791"/>
      <c r="C1190" s="791"/>
      <c r="D1190" s="791"/>
      <c r="E1190" s="791"/>
      <c r="F1190" s="791"/>
      <c r="G1190" s="791"/>
    </row>
    <row r="1191" spans="1:7">
      <c r="A1191" s="1961" t="s">
        <v>2412</v>
      </c>
      <c r="B1191" s="1961"/>
      <c r="C1191" s="1961"/>
      <c r="D1191" s="1961"/>
      <c r="E1191" s="1961"/>
      <c r="F1191" s="1961"/>
      <c r="G1191" s="1961"/>
    </row>
    <row r="1192" spans="1:7">
      <c r="A1192" s="791"/>
      <c r="B1192" s="791"/>
      <c r="C1192" s="791"/>
      <c r="D1192" s="791"/>
      <c r="E1192" s="791"/>
      <c r="F1192" s="791"/>
      <c r="G1192" s="791"/>
    </row>
    <row r="1193" spans="1:7">
      <c r="A1193" s="791"/>
      <c r="B1193" s="791"/>
      <c r="C1193" s="791"/>
      <c r="D1193" s="1792" t="s">
        <v>2393</v>
      </c>
      <c r="E1193" s="791"/>
      <c r="F1193" s="791"/>
      <c r="G1193" s="791"/>
    </row>
    <row r="1194" spans="1:7" s="1790" customFormat="1">
      <c r="D1194" s="1789" t="s">
        <v>2392</v>
      </c>
    </row>
    <row r="1195" spans="1:7" s="1790" customFormat="1">
      <c r="D1195" s="1792"/>
    </row>
    <row r="1196" spans="1:7">
      <c r="A1196" s="791"/>
      <c r="B1196" s="1793" t="s">
        <v>2537</v>
      </c>
      <c r="C1196" s="791"/>
      <c r="D1196" s="1964" t="s">
        <v>2391</v>
      </c>
      <c r="E1196" s="1964"/>
      <c r="F1196" s="1964"/>
      <c r="G1196" s="791"/>
    </row>
    <row r="1197" spans="1:7">
      <c r="A1197" s="791"/>
      <c r="B1197" s="791"/>
      <c r="C1197" s="791"/>
      <c r="D1197" s="1964"/>
      <c r="E1197" s="1964"/>
      <c r="F1197" s="1964"/>
      <c r="G1197" s="791"/>
    </row>
    <row r="1198" spans="1:7">
      <c r="A1198" s="791"/>
      <c r="B1198" s="791"/>
      <c r="C1198" s="791"/>
      <c r="D1198" s="1964"/>
      <c r="E1198" s="1964"/>
      <c r="F1198" s="1964"/>
      <c r="G1198" s="791"/>
    </row>
    <row r="1199" spans="1:7">
      <c r="A1199" s="791"/>
      <c r="B1199" s="791"/>
      <c r="C1199" s="791"/>
      <c r="D1199" s="1964"/>
      <c r="E1199" s="1964"/>
      <c r="F1199" s="1964"/>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2394</v>
      </c>
      <c r="E1202" s="791"/>
      <c r="F1202" s="791"/>
      <c r="G1202" s="791"/>
    </row>
    <row r="1203" spans="1:7">
      <c r="A1203" s="791"/>
      <c r="B1203" s="791"/>
      <c r="C1203" s="791"/>
      <c r="D1203" s="791"/>
      <c r="E1203" s="791"/>
      <c r="F1203" s="791"/>
      <c r="G1203" s="791"/>
    </row>
    <row r="1204" spans="1:7">
      <c r="A1204" s="791"/>
      <c r="B1204" s="1793" t="s">
        <v>2538</v>
      </c>
      <c r="C1204" s="791"/>
      <c r="D1204" s="1790" t="s">
        <v>2389</v>
      </c>
      <c r="E1204" s="791"/>
      <c r="F1204" s="791"/>
      <c r="G1204" s="791"/>
    </row>
    <row r="1205" spans="1:7">
      <c r="A1205" s="791"/>
      <c r="B1205" s="791"/>
      <c r="C1205" s="791"/>
      <c r="D1205" s="791"/>
      <c r="E1205" s="791"/>
      <c r="F1205" s="791"/>
      <c r="G1205" s="791"/>
    </row>
    <row r="1206" spans="1:7">
      <c r="A1206" s="791"/>
      <c r="B1206" s="1793" t="s">
        <v>2538</v>
      </c>
      <c r="C1206" s="791"/>
      <c r="D1206" s="1964" t="s">
        <v>2395</v>
      </c>
      <c r="E1206" s="1964"/>
      <c r="F1206" s="1964"/>
      <c r="G1206" s="791"/>
    </row>
    <row r="1207" spans="1:7">
      <c r="A1207" s="791"/>
      <c r="B1207" s="791"/>
      <c r="C1207" s="791"/>
      <c r="D1207" s="1964"/>
      <c r="E1207" s="1964"/>
      <c r="F1207" s="1964"/>
      <c r="G1207" s="791"/>
    </row>
    <row r="1208" spans="1:7">
      <c r="A1208" s="791"/>
      <c r="B1208" s="791"/>
      <c r="C1208" s="791"/>
      <c r="D1208" s="1964"/>
      <c r="E1208" s="1964"/>
      <c r="F1208" s="1964"/>
      <c r="G1208" s="791"/>
    </row>
    <row r="1209" spans="1:7">
      <c r="A1209" s="791"/>
      <c r="B1209" s="791"/>
      <c r="C1209" s="791"/>
      <c r="D1209" s="1964"/>
      <c r="E1209" s="1964"/>
      <c r="F1209" s="1964"/>
      <c r="G1209" s="791"/>
    </row>
    <row r="1210" spans="1:7">
      <c r="A1210" s="791"/>
      <c r="B1210" s="791"/>
      <c r="C1210" s="791"/>
      <c r="D1210" s="1964"/>
      <c r="E1210" s="1964"/>
      <c r="F1210" s="1964"/>
      <c r="G1210" s="791"/>
    </row>
    <row r="1211" spans="1:7">
      <c r="A1211" s="791"/>
      <c r="B1211" s="791"/>
      <c r="C1211" s="791"/>
      <c r="D1211" s="791"/>
      <c r="E1211" s="791"/>
      <c r="F1211" s="791"/>
      <c r="G1211" s="791"/>
    </row>
    <row r="1212" spans="1:7">
      <c r="A1212" s="1961" t="s">
        <v>2396</v>
      </c>
      <c r="B1212" s="1961"/>
      <c r="C1212" s="1961"/>
      <c r="D1212" s="1961"/>
      <c r="E1212" s="1961"/>
      <c r="F1212" s="1961"/>
      <c r="G1212" s="196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2538</v>
      </c>
      <c r="C1215" s="791"/>
      <c r="D1215" s="1785" t="s">
        <v>2399</v>
      </c>
      <c r="E1215" s="1789"/>
      <c r="F1215" s="791"/>
      <c r="G1215" s="791"/>
    </row>
    <row r="1216" spans="1:7">
      <c r="A1216" s="791"/>
      <c r="B1216" s="791"/>
      <c r="C1216" s="791"/>
      <c r="D1216" s="1785" t="s">
        <v>2404</v>
      </c>
      <c r="E1216" s="1789"/>
      <c r="F1216" s="791"/>
      <c r="G1216" s="791"/>
    </row>
    <row r="1217" spans="2:6" s="1790" customFormat="1">
      <c r="D1217" s="1785"/>
      <c r="E1217" s="1789"/>
    </row>
    <row r="1218" spans="2:6" s="791" customFormat="1">
      <c r="B1218" s="1793" t="s">
        <v>2537</v>
      </c>
      <c r="D1218" s="1785" t="s">
        <v>2400</v>
      </c>
      <c r="E1218" s="1789"/>
    </row>
    <row r="1219" spans="2:6" s="1790" customFormat="1">
      <c r="D1219" s="1785"/>
      <c r="E1219" s="1792" t="s">
        <v>2401</v>
      </c>
    </row>
    <row r="1220" spans="2:6" s="1790" customFormat="1">
      <c r="D1220" s="1785" t="s">
        <v>2403</v>
      </c>
      <c r="E1220" s="1789"/>
    </row>
    <row r="1221" spans="2:6" s="1790" customFormat="1">
      <c r="D1221" s="1785"/>
      <c r="E1221" s="1789"/>
    </row>
    <row r="1222" spans="2:6" s="791" customFormat="1">
      <c r="B1222" s="1793" t="s">
        <v>2537</v>
      </c>
      <c r="D1222" s="1785" t="s">
        <v>2405</v>
      </c>
      <c r="E1222" s="1789"/>
    </row>
    <row r="1223" spans="2:6" s="1790" customFormat="1">
      <c r="D1223" s="1785" t="s">
        <v>2402</v>
      </c>
      <c r="E1223" s="1789"/>
    </row>
    <row r="1224" spans="2:6" s="1790" customFormat="1">
      <c r="D1224" s="1785"/>
      <c r="E1224" s="1789"/>
    </row>
    <row r="1225" spans="2:6" s="791" customFormat="1">
      <c r="B1225" s="1793" t="s">
        <v>2538</v>
      </c>
      <c r="D1225" s="1785" t="s">
        <v>2407</v>
      </c>
      <c r="E1225" s="1789"/>
    </row>
    <row r="1226" spans="2:6" s="1790" customFormat="1">
      <c r="D1226" s="1785" t="s">
        <v>2406</v>
      </c>
      <c r="E1226" s="1789"/>
    </row>
    <row r="1227" spans="2:6" s="1790" customFormat="1">
      <c r="D1227" s="1785"/>
      <c r="E1227" s="1789"/>
    </row>
    <row r="1228" spans="2:6" s="791" customFormat="1">
      <c r="B1228" s="1793" t="s">
        <v>2537</v>
      </c>
      <c r="D1228" s="1784" t="s">
        <v>2410</v>
      </c>
      <c r="E1228" s="1789"/>
    </row>
    <row r="1229" spans="2:6" s="1790" customFormat="1">
      <c r="D1229" s="1965" t="s">
        <v>2411</v>
      </c>
      <c r="E1229" s="1965"/>
      <c r="F1229" s="1965"/>
    </row>
    <row r="1230" spans="2:6" s="1790" customFormat="1">
      <c r="D1230" s="1965"/>
      <c r="E1230" s="1965"/>
      <c r="F1230" s="1965"/>
    </row>
    <row r="1231" spans="2:6" s="1790" customFormat="1">
      <c r="D1231" s="1965"/>
      <c r="E1231" s="1965"/>
      <c r="F1231" s="1965"/>
    </row>
    <row r="1232" spans="2:6" s="1790" customFormat="1">
      <c r="D1232" s="1965"/>
      <c r="E1232" s="1965"/>
      <c r="F1232" s="1965"/>
    </row>
    <row r="1233" spans="1:7" s="1790" customFormat="1">
      <c r="D1233" s="1784" t="s">
        <v>2409</v>
      </c>
      <c r="E1233" s="1789"/>
    </row>
    <row r="1234" spans="1:7" s="1790" customFormat="1">
      <c r="D1234" s="1784"/>
      <c r="E1234" s="1789"/>
    </row>
    <row r="1235" spans="1:7">
      <c r="A1235" s="791"/>
      <c r="B1235" s="791"/>
      <c r="C1235" s="791"/>
      <c r="D1235" s="1785" t="s">
        <v>2397</v>
      </c>
      <c r="E1235" s="1789"/>
      <c r="F1235" s="791"/>
      <c r="G1235" s="791"/>
    </row>
    <row r="1236" spans="1:7">
      <c r="A1236" s="791"/>
      <c r="B1236" s="1793" t="s">
        <v>2537</v>
      </c>
      <c r="C1236" s="791"/>
      <c r="D1236" s="1960" t="s">
        <v>2398</v>
      </c>
      <c r="E1236" s="1960"/>
      <c r="F1236" s="1960"/>
      <c r="G1236" s="791"/>
    </row>
    <row r="1237" spans="1:7" s="1790" customFormat="1">
      <c r="D1237" s="1960"/>
      <c r="E1237" s="1960"/>
      <c r="F1237" s="1960"/>
    </row>
    <row r="1238" spans="1:7" s="1790" customFormat="1">
      <c r="D1238" s="1960"/>
      <c r="E1238" s="1960"/>
      <c r="F1238" s="1960"/>
    </row>
    <row r="1239" spans="1:7" s="1790" customFormat="1">
      <c r="D1239" s="1960"/>
      <c r="E1239" s="1960"/>
      <c r="F1239" s="1960"/>
    </row>
    <row r="1240" spans="1:7">
      <c r="A1240" s="791"/>
      <c r="B1240" s="791"/>
      <c r="C1240" s="791"/>
      <c r="D1240" s="1960"/>
      <c r="E1240" s="1960"/>
      <c r="F1240" s="1960"/>
      <c r="G1240" s="791"/>
    </row>
    <row r="1241" spans="1:7">
      <c r="A1241" s="791"/>
      <c r="B1241" s="791"/>
      <c r="C1241" s="791"/>
      <c r="D1241" s="1785" t="s">
        <v>2408</v>
      </c>
      <c r="E1241" s="791"/>
      <c r="F1241" s="791"/>
      <c r="G1241" s="791"/>
    </row>
    <row r="1242" spans="1:7">
      <c r="A1242" s="791"/>
      <c r="B1242" s="791"/>
      <c r="C1242" s="791"/>
      <c r="D1242" s="791"/>
      <c r="E1242" s="791"/>
      <c r="F1242" s="791"/>
      <c r="G1242" s="791"/>
    </row>
    <row r="1243" spans="1:7">
      <c r="A1243" s="1961" t="s">
        <v>2413</v>
      </c>
      <c r="B1243" s="1961"/>
      <c r="C1243" s="1961"/>
      <c r="D1243" s="1961"/>
      <c r="E1243" s="1961"/>
      <c r="F1243" s="1961"/>
      <c r="G1243" s="196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2537</v>
      </c>
      <c r="C1246" s="791"/>
      <c r="D1246" s="1960" t="s">
        <v>2414</v>
      </c>
      <c r="E1246" s="1960"/>
      <c r="F1246" s="1960"/>
      <c r="G1246" s="791"/>
    </row>
    <row r="1247" spans="1:7" s="1790" customFormat="1">
      <c r="D1247" s="1960"/>
      <c r="E1247" s="1960"/>
      <c r="F1247" s="1960"/>
    </row>
    <row r="1248" spans="1:7" s="1790" customFormat="1">
      <c r="D1248" s="1960"/>
      <c r="E1248" s="1960"/>
      <c r="F1248" s="1960"/>
    </row>
    <row r="1249" spans="1:7" s="1790" customFormat="1">
      <c r="D1249" s="1785"/>
    </row>
    <row r="1250" spans="1:7">
      <c r="A1250" s="791"/>
      <c r="B1250" s="1793" t="s">
        <v>2537</v>
      </c>
      <c r="C1250" s="791"/>
      <c r="D1250" s="1960" t="s">
        <v>2415</v>
      </c>
      <c r="E1250" s="1960"/>
      <c r="F1250" s="1960"/>
      <c r="G1250" s="791"/>
    </row>
    <row r="1251" spans="1:7" s="1790" customFormat="1">
      <c r="D1251" s="1960"/>
      <c r="E1251" s="1960"/>
      <c r="F1251" s="1960"/>
    </row>
    <row r="1252" spans="1:7" s="1790" customFormat="1">
      <c r="D1252" s="1785"/>
    </row>
    <row r="1253" spans="1:7">
      <c r="A1253" s="791"/>
      <c r="B1253" s="1793" t="s">
        <v>2537</v>
      </c>
      <c r="C1253" s="791"/>
      <c r="D1253" s="1960" t="s">
        <v>2416</v>
      </c>
      <c r="E1253" s="1960"/>
      <c r="F1253" s="1960"/>
      <c r="G1253" s="791"/>
    </row>
    <row r="1254" spans="1:7" s="1790" customFormat="1">
      <c r="D1254" s="1960"/>
      <c r="E1254" s="1960"/>
      <c r="F1254" s="1960"/>
    </row>
    <row r="1255" spans="1:7" s="1790" customFormat="1">
      <c r="D1255" s="1960"/>
      <c r="E1255" s="1960"/>
      <c r="F1255" s="1960"/>
    </row>
    <row r="1256" spans="1:7" s="1790" customFormat="1">
      <c r="D1256" s="1960"/>
      <c r="E1256" s="1960"/>
      <c r="F1256" s="1960"/>
    </row>
    <row r="1257" spans="1:7" s="1790" customFormat="1">
      <c r="D1257" s="1960"/>
      <c r="E1257" s="1960"/>
      <c r="F1257" s="1960"/>
    </row>
    <row r="1258" spans="1:7" s="1791" customFormat="1">
      <c r="B1258" s="1790"/>
      <c r="D1258" s="1785"/>
    </row>
    <row r="1259" spans="1:7">
      <c r="A1259" s="791"/>
      <c r="B1259" s="1793" t="s">
        <v>2537</v>
      </c>
      <c r="C1259" s="791"/>
      <c r="D1259" s="1960" t="s">
        <v>2417</v>
      </c>
      <c r="E1259" s="1960"/>
      <c r="F1259" s="1960"/>
      <c r="G1259" s="791"/>
    </row>
    <row r="1260" spans="1:7" s="1790" customFormat="1">
      <c r="D1260" s="1960"/>
      <c r="E1260" s="1960"/>
      <c r="F1260" s="1960"/>
    </row>
    <row r="1261" spans="1:7" s="1790" customFormat="1">
      <c r="D1261" s="1960"/>
      <c r="E1261" s="1960"/>
      <c r="F1261" s="1960"/>
    </row>
    <row r="1262" spans="1:7" s="1790" customFormat="1">
      <c r="D1262" s="1785"/>
    </row>
    <row r="1263" spans="1:7">
      <c r="A1263" s="791"/>
      <c r="B1263" s="1793" t="s">
        <v>2538</v>
      </c>
      <c r="C1263" s="791"/>
      <c r="D1263" s="1962" t="s">
        <v>2418</v>
      </c>
      <c r="E1263" s="1962"/>
      <c r="F1263" s="1962"/>
      <c r="G1263" s="791"/>
    </row>
    <row r="1264" spans="1:7">
      <c r="A1264" s="791"/>
      <c r="B1264" s="791"/>
      <c r="C1264" s="791"/>
      <c r="D1264" s="1962"/>
      <c r="E1264" s="1962"/>
      <c r="F1264" s="1962"/>
      <c r="G1264" s="791"/>
    </row>
    <row r="1265" spans="1:7">
      <c r="A1265" s="791"/>
      <c r="B1265" s="791"/>
      <c r="C1265" s="791"/>
      <c r="D1265" s="1962"/>
      <c r="E1265" s="1962"/>
      <c r="F1265" s="1962"/>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906"/>
      <c r="H1680" s="1906"/>
      <c r="I1680" s="1906"/>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A916" sqref="AA916:AF9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20" t="s">
        <v>105</v>
      </c>
      <c r="B8" s="2320"/>
      <c r="C8" s="2320"/>
      <c r="D8" s="2320"/>
      <c r="E8" s="2320"/>
      <c r="F8" s="2320"/>
      <c r="G8" s="2320"/>
      <c r="H8" s="2320"/>
      <c r="I8" s="2320"/>
      <c r="J8" s="2320"/>
      <c r="K8" s="2320"/>
      <c r="L8" s="2320"/>
      <c r="M8" s="2320"/>
      <c r="N8" s="2320"/>
      <c r="O8" s="2320"/>
      <c r="P8" s="2320"/>
      <c r="Q8" s="2320"/>
      <c r="R8" s="2320"/>
      <c r="S8" s="2320"/>
      <c r="T8" s="2320"/>
      <c r="U8" s="2320"/>
      <c r="V8" s="2320"/>
      <c r="W8" s="2320"/>
      <c r="X8" s="2320"/>
      <c r="Y8" s="2320"/>
      <c r="Z8" s="2320"/>
      <c r="AA8" s="2320"/>
      <c r="AB8" s="2320"/>
      <c r="AC8" s="2320"/>
      <c r="AD8" s="2320"/>
      <c r="AE8" s="2320"/>
      <c r="AF8" s="2320"/>
      <c r="AG8" s="2320"/>
      <c r="AH8" s="2320"/>
      <c r="AI8" s="2320"/>
      <c r="AJ8" s="2320"/>
      <c r="AK8" s="2320"/>
      <c r="AL8" s="2320"/>
      <c r="AM8" s="1573"/>
      <c r="AN8" s="1573"/>
      <c r="AO8" s="1573"/>
      <c r="AP8" s="1573"/>
      <c r="AQ8" s="1573"/>
      <c r="AR8" s="1573"/>
      <c r="AS8" s="1573"/>
      <c r="AT8" s="1573"/>
      <c r="AU8" s="1573"/>
      <c r="AV8" s="1573"/>
      <c r="AW8" s="1573"/>
      <c r="AX8" s="1573"/>
      <c r="AY8" s="1573"/>
    </row>
    <row r="9" spans="1:96" s="720" customFormat="1" ht="12.75">
      <c r="A9" s="2452" t="s">
        <v>2005</v>
      </c>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1512"/>
      <c r="AN9" s="1512"/>
      <c r="AO9" s="1512"/>
      <c r="AP9" s="1512"/>
      <c r="AQ9" s="1512"/>
      <c r="AR9" s="1512"/>
      <c r="AS9" s="1512"/>
      <c r="AT9" s="1512"/>
      <c r="AU9" s="1512"/>
      <c r="AV9" s="1512"/>
      <c r="AW9" s="1512"/>
      <c r="AX9" s="1512"/>
      <c r="AY9" s="1512"/>
      <c r="CR9" s="25"/>
    </row>
    <row r="10" spans="1:96" ht="15" customHeight="1">
      <c r="A10" s="2106" t="s">
        <v>2006</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52" t="s">
        <v>2026</v>
      </c>
      <c r="B11" s="2452"/>
      <c r="C11" s="2452"/>
      <c r="D11" s="2452"/>
      <c r="E11" s="2452"/>
      <c r="F11" s="2452"/>
      <c r="G11" s="2452"/>
      <c r="H11" s="2452"/>
      <c r="I11" s="2452"/>
      <c r="J11" s="2452"/>
      <c r="K11" s="2452"/>
      <c r="L11" s="2452"/>
      <c r="M11" s="2452"/>
      <c r="N11" s="2452"/>
      <c r="O11" s="2452"/>
      <c r="P11" s="2452"/>
      <c r="Q11" s="2452"/>
      <c r="R11" s="2452"/>
      <c r="S11" s="2452"/>
      <c r="T11" s="2452"/>
      <c r="U11" s="2452"/>
      <c r="V11" s="2452"/>
      <c r="W11" s="2452"/>
      <c r="X11" s="2452"/>
      <c r="Y11" s="2452"/>
      <c r="Z11" s="2452"/>
      <c r="AA11" s="2452"/>
      <c r="AB11" s="2452"/>
      <c r="AC11" s="2452"/>
      <c r="AD11" s="2452"/>
      <c r="AE11" s="2452"/>
      <c r="AF11" s="2452"/>
      <c r="AG11" s="2452"/>
      <c r="AH11" s="2452"/>
      <c r="AI11" s="2452"/>
      <c r="AJ11" s="2452"/>
      <c r="AK11" s="2452"/>
      <c r="AL11" s="2452"/>
      <c r="AM11" s="1512"/>
      <c r="AN11" s="1512"/>
      <c r="AO11" s="1512"/>
      <c r="AP11" s="1512"/>
      <c r="AQ11" s="1512"/>
      <c r="AR11" s="1512"/>
      <c r="AS11" s="1512"/>
      <c r="AT11" s="1512"/>
      <c r="AU11" s="1512"/>
      <c r="AV11" s="1512"/>
      <c r="AW11" s="1512"/>
      <c r="AX11" s="1512"/>
      <c r="AY11" s="1512"/>
    </row>
    <row r="12" spans="1:96" ht="12.75">
      <c r="A12" s="2475" t="s">
        <v>2459</v>
      </c>
      <c r="B12" s="2476"/>
      <c r="C12" s="2476"/>
      <c r="D12" s="2476"/>
      <c r="E12" s="2476"/>
      <c r="F12" s="2476"/>
      <c r="G12" s="2476"/>
      <c r="H12" s="2476"/>
      <c r="I12" s="2476"/>
      <c r="J12" s="2476"/>
      <c r="K12" s="2476"/>
      <c r="L12" s="2476"/>
      <c r="M12" s="2476"/>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6"/>
      <c r="AK12" s="2476"/>
      <c r="AL12" s="2476"/>
      <c r="AM12" s="1518"/>
      <c r="AN12" s="1518"/>
      <c r="AO12" s="1518"/>
      <c r="AP12" s="1518"/>
      <c r="AQ12" s="1518"/>
      <c r="AR12" s="1518"/>
      <c r="AS12" s="1518"/>
      <c r="AT12" s="1518"/>
      <c r="AU12" s="1518"/>
      <c r="AV12" s="1518"/>
      <c r="AW12" s="1518"/>
      <c r="AX12" s="1518"/>
      <c r="AY12" s="1518"/>
    </row>
    <row r="13" spans="1:96" ht="12.75">
      <c r="A13" s="1865" t="s">
        <v>1389</v>
      </c>
      <c r="B13" s="1865"/>
      <c r="C13" s="1865"/>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1865"/>
      <c r="AM13" s="1574"/>
      <c r="AN13" s="1574"/>
      <c r="AO13" s="1574"/>
      <c r="AP13" s="1574"/>
      <c r="AQ13" s="1574"/>
      <c r="AR13" s="1574"/>
      <c r="AS13" s="1574"/>
      <c r="AT13" s="1574"/>
      <c r="AU13" s="1574"/>
      <c r="AV13" s="1574"/>
      <c r="AW13" s="1574"/>
      <c r="AX13" s="1574"/>
      <c r="AY13" s="1574"/>
    </row>
    <row r="14" spans="1:96" ht="12.75" customHeight="1" thickBot="1">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1866"/>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447" t="s">
        <v>2463</v>
      </c>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row>
    <row r="17" spans="1:96" ht="12.75" customHeight="1"/>
    <row r="18" spans="1:96" ht="12.75" customHeight="1">
      <c r="A18" s="134" t="s">
        <v>106</v>
      </c>
      <c r="C18" s="7"/>
      <c r="D18" s="7"/>
      <c r="E18" s="7"/>
      <c r="F18" s="7"/>
      <c r="G18" s="7"/>
      <c r="H18" s="2021" t="s">
        <v>2464</v>
      </c>
      <c r="I18" s="2019"/>
      <c r="J18" s="2019"/>
      <c r="K18" s="2019"/>
      <c r="L18" s="2019"/>
      <c r="M18" s="2019"/>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row>
    <row r="19" spans="1:96" ht="12.75" customHeight="1"/>
    <row r="20" spans="1:96" ht="14.25" customHeight="1">
      <c r="A20" s="2445" t="s">
        <v>938</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576"/>
      <c r="AN20" s="1576"/>
      <c r="AO20" s="1576"/>
      <c r="AP20" s="1576"/>
      <c r="AQ20" s="1576"/>
      <c r="AR20" s="1576"/>
      <c r="AS20" s="1576"/>
      <c r="AT20" s="1576"/>
      <c r="AU20" s="1576"/>
      <c r="AV20" s="1576"/>
      <c r="AW20" s="1576"/>
      <c r="AX20" s="1576"/>
      <c r="AY20" s="1576"/>
    </row>
    <row r="21" spans="1:96" ht="12.75" customHeight="1">
      <c r="A21" s="2478" t="s">
        <v>1118</v>
      </c>
      <c r="B21" s="2478"/>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8"/>
      <c r="AK21" s="2478"/>
      <c r="AL21" s="2478"/>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7">
        <f>'Basis &amp; Credits'!AB56</f>
        <v>3003041</v>
      </c>
      <c r="N26" s="2477"/>
      <c r="O26" s="2477"/>
      <c r="P26" s="2477"/>
      <c r="Q26" s="2477"/>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43">
        <f>'Basis &amp; Credits'!AB77</f>
        <v>7496701</v>
      </c>
      <c r="N27" s="2243"/>
      <c r="O27" s="2243"/>
      <c r="P27" s="2243"/>
      <c r="Q27" s="2243"/>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23" t="s">
        <v>706</v>
      </c>
      <c r="P33" s="2023"/>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46"/>
      <c r="H122" s="2446"/>
      <c r="I122" s="239" t="s">
        <v>186</v>
      </c>
      <c r="L122" s="2446"/>
      <c r="M122" s="2446"/>
      <c r="N122" s="2446"/>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73"/>
      <c r="D124" s="2473"/>
      <c r="E124" s="2473"/>
      <c r="F124" s="2473"/>
      <c r="G124" s="2473"/>
      <c r="H124" s="2473"/>
      <c r="I124" s="2473"/>
      <c r="J124" s="2473"/>
      <c r="K124" s="2473"/>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46"/>
      <c r="Z126" s="2446"/>
      <c r="AA126" s="2446"/>
      <c r="AB126" s="2446"/>
      <c r="AC126" s="2446"/>
      <c r="AD126" s="2446"/>
      <c r="AE126" s="2446"/>
      <c r="AF126" s="2446"/>
      <c r="AG126" s="2446"/>
      <c r="AH126" s="2446"/>
      <c r="AI126" s="2446"/>
      <c r="AJ126" s="2446"/>
      <c r="AK126" s="244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51" t="s">
        <v>2542</v>
      </c>
      <c r="Z129" s="2451"/>
      <c r="AA129" s="2451"/>
      <c r="AB129" s="2451"/>
      <c r="AC129" s="2451"/>
      <c r="AD129" s="2451"/>
      <c r="AE129" s="2451"/>
      <c r="AF129" s="2451"/>
      <c r="AG129" s="2451"/>
      <c r="AH129" s="2451"/>
      <c r="AI129" s="2451"/>
      <c r="AJ129" s="2451"/>
      <c r="AK129" s="245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51" t="s">
        <v>2543</v>
      </c>
      <c r="Z132" s="2451"/>
      <c r="AA132" s="2451"/>
      <c r="AB132" s="2451"/>
      <c r="AC132" s="2451"/>
      <c r="AD132" s="2451"/>
      <c r="AE132" s="2451"/>
      <c r="AF132" s="2451"/>
      <c r="AG132" s="2451"/>
      <c r="AH132" s="2451"/>
      <c r="AI132" s="2451"/>
      <c r="AJ132" s="2451"/>
      <c r="AK132" s="24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79"/>
      <c r="G150" s="2479"/>
      <c r="H150" s="2479"/>
      <c r="I150" s="2479"/>
      <c r="J150" s="2479"/>
      <c r="K150" s="2479"/>
      <c r="L150" s="2479"/>
      <c r="M150" s="2479"/>
      <c r="N150" s="2479"/>
      <c r="O150" s="2479"/>
      <c r="P150" s="2479"/>
      <c r="Q150" s="2479"/>
      <c r="R150" s="2479"/>
      <c r="S150" s="2479"/>
      <c r="T150" s="247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1" t="s">
        <v>2586</v>
      </c>
      <c r="P153" s="2019"/>
      <c r="Q153" s="2019"/>
      <c r="R153" s="2019"/>
      <c r="S153" s="2019"/>
      <c r="T153" s="2019"/>
      <c r="U153" s="2019"/>
      <c r="V153" s="2019"/>
      <c r="W153" s="2019"/>
      <c r="X153" s="2019"/>
      <c r="Y153" s="2019"/>
      <c r="Z153" s="2019"/>
      <c r="AA153" s="2019"/>
      <c r="AB153" s="2019"/>
      <c r="AC153" s="2019"/>
      <c r="AD153" s="2019"/>
      <c r="AE153" s="2019"/>
      <c r="AF153" s="2019"/>
      <c r="AG153" s="2019"/>
      <c r="AH153" s="2019"/>
    </row>
    <row r="154" spans="1:96" ht="12.75" customHeight="1">
      <c r="D154" s="467" t="s">
        <v>463</v>
      </c>
      <c r="F154" s="32"/>
      <c r="G154" s="32"/>
      <c r="H154" s="32"/>
      <c r="I154" s="32"/>
      <c r="J154" s="32"/>
      <c r="K154" s="32"/>
      <c r="L154" s="32"/>
      <c r="M154" s="32"/>
      <c r="N154" s="32"/>
      <c r="O154" s="2020" t="s">
        <v>2587</v>
      </c>
      <c r="P154" s="2024"/>
      <c r="Q154" s="2024"/>
      <c r="R154" s="2024"/>
      <c r="S154" s="2024"/>
      <c r="T154" s="2024"/>
      <c r="U154" s="2024"/>
      <c r="V154" s="2024"/>
      <c r="W154" s="2024"/>
      <c r="X154" s="2024"/>
      <c r="Y154" s="2024"/>
      <c r="Z154" s="2024"/>
      <c r="AA154" s="2024"/>
      <c r="AB154" s="2024"/>
      <c r="AC154" s="2024"/>
      <c r="AD154" s="2024"/>
      <c r="AE154" s="2024"/>
      <c r="AF154" s="2024"/>
      <c r="AG154" s="2024"/>
      <c r="AH154" s="2024"/>
      <c r="AZ154" s="25"/>
    </row>
    <row r="155" spans="1:96" ht="12.75">
      <c r="D155" s="13" t="s">
        <v>464</v>
      </c>
      <c r="F155" s="13"/>
      <c r="G155" s="13"/>
      <c r="H155" s="13"/>
      <c r="I155" s="13"/>
      <c r="J155" s="13"/>
      <c r="K155" s="13"/>
      <c r="L155" s="13"/>
      <c r="M155" s="13"/>
      <c r="N155" s="13"/>
      <c r="O155" s="2453" t="s">
        <v>2588</v>
      </c>
      <c r="P155" s="2454"/>
      <c r="Q155" s="2454"/>
      <c r="R155" s="2454"/>
      <c r="S155" s="2454"/>
      <c r="T155" s="2454"/>
      <c r="U155" s="2454"/>
      <c r="V155" s="2454"/>
      <c r="W155" s="2454"/>
      <c r="X155" s="2454"/>
      <c r="Y155" s="2454"/>
      <c r="Z155" s="2454"/>
      <c r="AA155" s="2454"/>
      <c r="AB155" s="2454"/>
      <c r="AC155" s="2454"/>
      <c r="AD155" s="2454"/>
      <c r="AE155" s="2454"/>
      <c r="AF155" s="2454"/>
      <c r="AG155" s="2454"/>
      <c r="AH155" s="2454"/>
      <c r="AZ155" s="25"/>
    </row>
    <row r="156" spans="1:96" ht="12.75">
      <c r="D156" s="32" t="s">
        <v>323</v>
      </c>
      <c r="F156" s="32"/>
      <c r="G156" s="32"/>
      <c r="H156" s="32"/>
      <c r="I156" s="32"/>
      <c r="J156" s="32"/>
      <c r="K156" s="32"/>
      <c r="L156" s="32"/>
      <c r="M156" s="32"/>
      <c r="N156" s="32"/>
      <c r="O156" s="2022" t="s">
        <v>2589</v>
      </c>
      <c r="P156" s="2022"/>
      <c r="Q156" s="2022"/>
      <c r="R156" s="2022"/>
      <c r="S156" s="2022"/>
      <c r="T156" s="2022"/>
      <c r="U156" s="2022"/>
      <c r="V156" s="2022"/>
      <c r="W156" s="2022"/>
      <c r="X156" s="2022"/>
      <c r="Y156" s="2022"/>
      <c r="Z156" s="2022"/>
      <c r="AA156" s="2022"/>
      <c r="AB156" s="2022"/>
      <c r="AC156" s="2022"/>
      <c r="AD156" s="2022"/>
      <c r="AE156" s="2022"/>
      <c r="AF156" s="2022"/>
      <c r="AG156" s="2022"/>
      <c r="AH156" s="2022"/>
      <c r="BT156" s="12" t="s">
        <v>317</v>
      </c>
    </row>
    <row r="157" spans="1:96" ht="12.75">
      <c r="D157" s="32" t="s">
        <v>324</v>
      </c>
      <c r="F157" s="32"/>
      <c r="G157" s="32"/>
      <c r="H157" s="32"/>
      <c r="I157" s="32"/>
      <c r="J157" s="32"/>
      <c r="K157" s="32"/>
      <c r="L157" s="32"/>
      <c r="M157" s="32"/>
      <c r="N157" s="32"/>
      <c r="O157" s="2021" t="s">
        <v>71</v>
      </c>
      <c r="P157" s="2019"/>
      <c r="Q157" s="2019"/>
      <c r="R157" s="2019"/>
      <c r="S157" s="2019"/>
      <c r="T157" s="2019"/>
      <c r="U157" s="2019"/>
      <c r="V157" s="2019"/>
      <c r="W157" s="2019"/>
      <c r="X157" s="2019"/>
      <c r="Y157" s="14"/>
      <c r="Z157" s="14"/>
      <c r="AA157" s="14"/>
      <c r="AB157" s="14"/>
      <c r="AC157" s="14"/>
      <c r="AD157" s="14"/>
      <c r="AE157" s="14"/>
      <c r="AF157" s="14"/>
      <c r="BN157" s="36" t="s">
        <v>671</v>
      </c>
      <c r="BT157" s="12" t="s">
        <v>509</v>
      </c>
    </row>
    <row r="158" spans="1:96" ht="12.75">
      <c r="D158" s="32" t="s">
        <v>325</v>
      </c>
      <c r="F158" s="32"/>
      <c r="G158" s="32"/>
      <c r="H158" s="32"/>
      <c r="I158" s="32"/>
      <c r="J158" s="32"/>
      <c r="K158" s="32"/>
      <c r="L158" s="32"/>
      <c r="M158" s="32"/>
      <c r="N158" s="32"/>
      <c r="O158" s="2465">
        <v>95814</v>
      </c>
      <c r="P158" s="2465"/>
      <c r="Q158" s="2465"/>
      <c r="R158" s="2465"/>
      <c r="S158" s="15"/>
      <c r="T158" s="15"/>
      <c r="U158" s="15"/>
      <c r="V158" s="15"/>
      <c r="W158" s="15"/>
      <c r="X158" s="15"/>
      <c r="Y158" s="15"/>
      <c r="Z158" s="15"/>
      <c r="AA158" s="15"/>
      <c r="AB158" s="15"/>
      <c r="AC158" s="15"/>
      <c r="AD158" s="15"/>
      <c r="AE158" s="15"/>
      <c r="AF158" s="15"/>
      <c r="BN158" s="36" t="s">
        <v>672</v>
      </c>
      <c r="BT158" s="12" t="s">
        <v>510</v>
      </c>
    </row>
    <row r="159" spans="1:96" ht="12.75">
      <c r="D159" s="32" t="s">
        <v>326</v>
      </c>
      <c r="F159" s="32"/>
      <c r="G159" s="32"/>
      <c r="H159" s="32"/>
      <c r="I159" s="32"/>
      <c r="J159" s="32"/>
      <c r="K159" s="32"/>
      <c r="L159" s="32"/>
      <c r="M159" s="32"/>
      <c r="N159" s="32"/>
      <c r="O159" s="2461">
        <v>9168746141</v>
      </c>
      <c r="P159" s="2461"/>
      <c r="Q159" s="2461"/>
      <c r="R159" s="2461"/>
      <c r="S159" s="2461"/>
      <c r="T159" s="2461"/>
      <c r="V159" s="146" t="s">
        <v>278</v>
      </c>
      <c r="W159" s="2466"/>
      <c r="X159" s="2466"/>
      <c r="Y159" s="16"/>
      <c r="Z159" s="16"/>
      <c r="AA159" s="16"/>
      <c r="AB159" s="16"/>
      <c r="AC159" s="16"/>
      <c r="AD159" s="16"/>
      <c r="AE159" s="16"/>
      <c r="AF159" s="16"/>
      <c r="BN159" s="36" t="s">
        <v>350</v>
      </c>
      <c r="BT159" s="12" t="s">
        <v>511</v>
      </c>
    </row>
    <row r="160" spans="1:96" ht="12.75">
      <c r="D160" s="32" t="s">
        <v>327</v>
      </c>
      <c r="F160" s="32"/>
      <c r="G160" s="32"/>
      <c r="H160" s="32"/>
      <c r="I160" s="32"/>
      <c r="J160" s="32"/>
      <c r="K160" s="32"/>
      <c r="L160" s="32"/>
      <c r="M160" s="32"/>
      <c r="N160" s="32"/>
      <c r="O160" s="2461"/>
      <c r="P160" s="2461"/>
      <c r="Q160" s="2461"/>
      <c r="R160" s="2461"/>
      <c r="S160" s="2461"/>
      <c r="T160" s="2461"/>
      <c r="U160" s="16"/>
      <c r="V160" s="16"/>
      <c r="W160" s="16"/>
      <c r="X160" s="16"/>
      <c r="Y160" s="16"/>
      <c r="Z160" s="16"/>
      <c r="AA160" s="16"/>
      <c r="AB160" s="16"/>
      <c r="AC160" s="16"/>
      <c r="AD160" s="16"/>
      <c r="AE160" s="16"/>
      <c r="AF160" s="16"/>
      <c r="BN160" s="36" t="s">
        <v>697</v>
      </c>
      <c r="BT160" s="12" t="s">
        <v>512</v>
      </c>
    </row>
    <row r="161" spans="1:72" ht="12.75">
      <c r="D161" s="32" t="s">
        <v>328</v>
      </c>
      <c r="F161" s="32"/>
      <c r="G161" s="32"/>
      <c r="H161" s="32"/>
      <c r="I161" s="32"/>
      <c r="J161" s="32"/>
      <c r="K161" s="32"/>
      <c r="L161" s="32"/>
      <c r="M161" s="32"/>
      <c r="N161" s="32"/>
      <c r="O161" s="2351" t="s">
        <v>2590</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55" t="s">
        <v>1463</v>
      </c>
      <c r="E164" s="2455"/>
      <c r="F164" s="2455"/>
      <c r="G164" s="2455"/>
      <c r="H164" s="2455"/>
      <c r="I164" s="2455"/>
      <c r="J164" s="2455"/>
      <c r="K164" s="2455"/>
      <c r="L164" s="2455"/>
      <c r="M164" s="2455"/>
      <c r="N164" s="2455"/>
      <c r="O164" s="2455"/>
      <c r="P164" s="2455"/>
      <c r="Q164" s="2455"/>
      <c r="R164" s="2455"/>
      <c r="S164" s="2455"/>
      <c r="T164" s="2455"/>
      <c r="U164" s="2455"/>
      <c r="V164" s="2455"/>
      <c r="W164" s="2455"/>
      <c r="X164" s="2455"/>
      <c r="Y164" s="2455"/>
      <c r="Z164" s="2455"/>
      <c r="AA164" s="2455"/>
      <c r="AB164" s="2455"/>
      <c r="AC164" s="2455"/>
      <c r="AD164" s="2455"/>
      <c r="AE164" s="2455"/>
      <c r="AF164" s="2455"/>
      <c r="AG164" s="2455"/>
      <c r="AH164" s="2455"/>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2" t="s">
        <v>572</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75">
      <c r="A173" s="25"/>
      <c r="C173" s="38"/>
      <c r="D173" s="39" t="s">
        <v>331</v>
      </c>
      <c r="J173" s="2467" t="s">
        <v>390</v>
      </c>
      <c r="K173" s="2467"/>
      <c r="L173" s="2467"/>
      <c r="M173" s="2467"/>
      <c r="N173" s="2467"/>
      <c r="O173" s="2467"/>
      <c r="P173" s="2467"/>
      <c r="Q173" s="2467"/>
      <c r="R173" s="2467"/>
      <c r="S173" s="246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75">
      <c r="A174" s="25"/>
      <c r="C174" s="38"/>
      <c r="D174" s="58" t="s">
        <v>1415</v>
      </c>
      <c r="E174" s="25"/>
      <c r="F174" s="25"/>
      <c r="G174" s="25"/>
      <c r="H174" s="25"/>
      <c r="I174" s="25"/>
      <c r="J174" s="2022" t="s">
        <v>2465</v>
      </c>
      <c r="K174" s="2022"/>
      <c r="L174" s="2022"/>
      <c r="M174" s="2022"/>
      <c r="N174" s="2022"/>
      <c r="O174" s="2022"/>
      <c r="P174" s="2022"/>
      <c r="Q174" s="2022"/>
      <c r="R174" s="2022"/>
      <c r="S174" s="2022"/>
      <c r="T174" s="2022"/>
      <c r="U174" s="2022"/>
      <c r="V174" s="2022"/>
      <c r="W174" s="2022"/>
      <c r="X174" s="2022"/>
      <c r="Y174" s="2022"/>
      <c r="Z174" s="2022"/>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75">
      <c r="A175" s="25"/>
      <c r="C175" s="13"/>
      <c r="D175" s="58" t="s">
        <v>332</v>
      </c>
      <c r="F175" s="720"/>
      <c r="G175" s="720"/>
      <c r="H175" s="720"/>
      <c r="I175" s="720"/>
      <c r="J175" s="720"/>
      <c r="K175" s="720"/>
      <c r="L175" s="720"/>
      <c r="M175" s="720"/>
      <c r="N175" s="720"/>
      <c r="O175" s="42"/>
      <c r="Q175" s="25"/>
      <c r="R175" s="25"/>
      <c r="T175" s="720"/>
      <c r="U175" s="2023" t="s">
        <v>706</v>
      </c>
      <c r="V175" s="202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73"/>
      <c r="V176" s="2073"/>
      <c r="W176" s="4" t="s">
        <v>316</v>
      </c>
      <c r="X176" s="2458"/>
      <c r="Y176" s="245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75">
      <c r="A177" s="25"/>
      <c r="B177" s="12"/>
      <c r="C177" s="43"/>
      <c r="D177" s="25" t="s">
        <v>256</v>
      </c>
      <c r="E177" s="12"/>
      <c r="F177" s="12"/>
      <c r="G177" s="12"/>
      <c r="H177" s="12"/>
      <c r="I177" s="12"/>
      <c r="J177" s="12"/>
      <c r="K177" s="12"/>
      <c r="L177" s="12"/>
      <c r="M177" s="25"/>
      <c r="N177" s="12"/>
      <c r="O177" s="12"/>
      <c r="P177" s="12"/>
      <c r="Q177" s="12"/>
      <c r="R177" s="2023" t="s">
        <v>706</v>
      </c>
      <c r="S177" s="202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327"/>
      <c r="AG178" s="2327"/>
      <c r="AH178" s="4" t="s">
        <v>316</v>
      </c>
      <c r="AI178" s="2441"/>
      <c r="AJ178" s="2441"/>
      <c r="AK178" s="2441"/>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465</v>
      </c>
      <c r="E180" s="25"/>
      <c r="X180" s="2023" t="s">
        <v>706</v>
      </c>
      <c r="Y180" s="2023"/>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613</v>
      </c>
      <c r="E184" s="25"/>
      <c r="F184" s="25"/>
      <c r="G184" s="25"/>
      <c r="H184" s="25"/>
      <c r="I184" s="2035" t="str">
        <f>H18</f>
        <v>Anton Power Inn</v>
      </c>
      <c r="J184" s="2035"/>
      <c r="K184" s="2035"/>
      <c r="L184" s="2035"/>
      <c r="M184" s="2035"/>
      <c r="N184" s="2035"/>
      <c r="O184" s="2035"/>
      <c r="P184" s="2035"/>
      <c r="Q184" s="2035"/>
      <c r="R184" s="2035"/>
      <c r="S184" s="2035"/>
      <c r="T184" s="2035"/>
      <c r="U184" s="2035"/>
      <c r="V184" s="2035"/>
      <c r="W184" s="2035"/>
      <c r="X184" s="2035"/>
      <c r="Y184" s="2035"/>
      <c r="Z184" s="2035"/>
      <c r="AA184" s="2035"/>
      <c r="AB184" s="2035"/>
      <c r="AC184" s="2035"/>
      <c r="AD184" s="2035"/>
      <c r="AE184" s="2035"/>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75">
      <c r="A185" s="25"/>
      <c r="C185" s="45"/>
      <c r="D185" s="25" t="s">
        <v>614</v>
      </c>
      <c r="E185" s="25"/>
      <c r="F185" s="25"/>
      <c r="G185" s="25"/>
      <c r="H185" s="25"/>
      <c r="I185" s="2020" t="s">
        <v>2466</v>
      </c>
      <c r="J185" s="2018"/>
      <c r="K185" s="2018"/>
      <c r="L185" s="2018"/>
      <c r="M185" s="2018"/>
      <c r="N185" s="2018"/>
      <c r="O185" s="2018"/>
      <c r="P185" s="2018"/>
      <c r="Q185" s="2018"/>
      <c r="R185" s="2018"/>
      <c r="S185" s="2018"/>
      <c r="T185" s="2018"/>
      <c r="U185" s="2018"/>
      <c r="V185" s="2018"/>
      <c r="W185" s="2018"/>
      <c r="X185" s="2018"/>
      <c r="Y185" s="2018"/>
      <c r="Z185" s="2018"/>
      <c r="AA185" s="2018"/>
      <c r="AB185" s="2018"/>
      <c r="AC185" s="2018"/>
      <c r="AD185" s="2018"/>
      <c r="AE185" s="2018"/>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c r="Z187" s="2435"/>
      <c r="AA187" s="2435"/>
      <c r="AB187" s="2435"/>
      <c r="AC187" s="2435"/>
      <c r="AD187" s="2435"/>
      <c r="AE187" s="2435"/>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436"/>
      <c r="F188" s="2436"/>
      <c r="G188" s="2436"/>
      <c r="H188" s="2436"/>
      <c r="I188" s="2436"/>
      <c r="J188" s="2436"/>
      <c r="K188" s="2436"/>
      <c r="L188" s="2436"/>
      <c r="M188" s="2436"/>
      <c r="N188" s="2436"/>
      <c r="O188" s="2436"/>
      <c r="P188" s="2436"/>
      <c r="Q188" s="2436"/>
      <c r="R188" s="2436"/>
      <c r="S188" s="2436"/>
      <c r="T188" s="2436"/>
      <c r="U188" s="2436"/>
      <c r="V188" s="2436"/>
      <c r="W188" s="2436"/>
      <c r="X188" s="2436"/>
      <c r="Y188" s="2436"/>
      <c r="Z188" s="2436"/>
      <c r="AA188" s="2436"/>
      <c r="AB188" s="2436"/>
      <c r="AC188" s="2436"/>
      <c r="AD188" s="2436"/>
      <c r="AE188" s="2436"/>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615</v>
      </c>
      <c r="E189" s="25"/>
      <c r="I189" s="2021" t="s">
        <v>71</v>
      </c>
      <c r="J189" s="2022"/>
      <c r="K189" s="2022"/>
      <c r="L189" s="2022"/>
      <c r="M189" s="2022"/>
      <c r="N189" s="2022"/>
      <c r="O189" s="2022"/>
      <c r="P189" s="2022"/>
      <c r="Q189" s="25" t="s">
        <v>617</v>
      </c>
      <c r="T189" s="2022" t="s">
        <v>71</v>
      </c>
      <c r="U189" s="2022"/>
      <c r="V189" s="2022"/>
      <c r="W189" s="2022"/>
      <c r="X189" s="2022"/>
      <c r="Y189" s="2022"/>
      <c r="Z189" s="2022"/>
      <c r="AA189" s="2022"/>
      <c r="AB189" s="2022"/>
      <c r="AC189" s="2022"/>
      <c r="AD189" s="2022"/>
      <c r="AE189" s="2022"/>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75">
      <c r="A190" s="25"/>
      <c r="C190" s="46"/>
      <c r="D190" s="25" t="s">
        <v>618</v>
      </c>
      <c r="E190" s="25"/>
      <c r="F190" s="25"/>
      <c r="G190" s="25"/>
      <c r="I190" s="2018">
        <v>95828</v>
      </c>
      <c r="J190" s="2018"/>
      <c r="K190" s="2018"/>
      <c r="L190" s="2018"/>
      <c r="M190" s="2018"/>
      <c r="N190" s="2018"/>
      <c r="O190" s="25" t="s">
        <v>620</v>
      </c>
      <c r="P190" s="25"/>
      <c r="Q190" s="25"/>
      <c r="R190" s="25"/>
      <c r="S190" s="25"/>
      <c r="T190" s="2457">
        <v>51.01</v>
      </c>
      <c r="U190" s="2457"/>
      <c r="V190" s="2457"/>
      <c r="W190" s="2457"/>
      <c r="X190" s="2457"/>
      <c r="Y190" s="2457"/>
      <c r="Z190" s="2457"/>
      <c r="AA190" s="2457"/>
      <c r="AB190" s="2457"/>
      <c r="AC190" s="2457"/>
      <c r="AD190" s="2457"/>
      <c r="AE190" s="2457"/>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670</v>
      </c>
      <c r="BT190" s="12" t="s">
        <v>71</v>
      </c>
    </row>
    <row r="191" spans="1:96" ht="12.75">
      <c r="A191" s="25"/>
      <c r="C191" s="46"/>
      <c r="D191" s="25" t="s">
        <v>495</v>
      </c>
      <c r="E191" s="25"/>
      <c r="F191" s="25"/>
      <c r="G191" s="25"/>
      <c r="H191" s="25"/>
      <c r="I191" s="25"/>
      <c r="J191" s="25"/>
      <c r="K191" s="25"/>
      <c r="L191" s="25"/>
      <c r="M191" s="25"/>
      <c r="N191" s="2434" t="s">
        <v>2467</v>
      </c>
      <c r="O191" s="2435"/>
      <c r="P191" s="2435"/>
      <c r="Q191" s="2435"/>
      <c r="R191" s="2435"/>
      <c r="S191" s="2435"/>
      <c r="T191" s="2435"/>
      <c r="U191" s="2435"/>
      <c r="V191" s="2435"/>
      <c r="W191" s="2435"/>
      <c r="X191" s="2435"/>
      <c r="Y191" s="2435"/>
      <c r="Z191" s="2435"/>
      <c r="AA191" s="2435"/>
      <c r="AB191" s="2435"/>
      <c r="AC191" s="2435"/>
      <c r="AD191" s="2435"/>
      <c r="AE191" s="2435"/>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726</v>
      </c>
      <c r="BT191" s="12" t="s">
        <v>770</v>
      </c>
    </row>
    <row r="192" spans="1:96" ht="12.75">
      <c r="A192" s="25"/>
      <c r="C192" s="46"/>
      <c r="D192" s="25"/>
      <c r="E192" s="25"/>
      <c r="F192" s="25"/>
      <c r="G192" s="25"/>
      <c r="H192" s="25"/>
      <c r="I192" s="25"/>
      <c r="J192" s="25"/>
      <c r="K192" s="25"/>
      <c r="L192" s="25"/>
      <c r="M192" s="170"/>
      <c r="N192" s="2436"/>
      <c r="O192" s="2436"/>
      <c r="P192" s="2436"/>
      <c r="Q192" s="2436"/>
      <c r="R192" s="2436"/>
      <c r="S192" s="2436"/>
      <c r="T192" s="2436"/>
      <c r="U192" s="2436"/>
      <c r="V192" s="2436"/>
      <c r="W192" s="2436"/>
      <c r="X192" s="2436"/>
      <c r="Y192" s="2436"/>
      <c r="Z192" s="2436"/>
      <c r="AA192" s="2436"/>
      <c r="AB192" s="2436"/>
      <c r="AC192" s="2436"/>
      <c r="AD192" s="2436"/>
      <c r="AE192" s="2436"/>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727</v>
      </c>
      <c r="BT192" s="12" t="s">
        <v>771</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462" t="s">
        <v>2468</v>
      </c>
      <c r="U193" s="2462"/>
      <c r="V193" s="2462"/>
      <c r="W193" s="2462"/>
      <c r="X193" s="2462"/>
      <c r="Y193" s="2462"/>
      <c r="Z193" s="2462"/>
      <c r="AA193" s="2462"/>
      <c r="AB193" s="2462"/>
      <c r="AC193" s="2462"/>
      <c r="AD193" s="2462"/>
      <c r="AE193" s="2462"/>
      <c r="AF193" s="2462"/>
      <c r="AG193" s="2462"/>
      <c r="AH193" s="2462"/>
      <c r="AI193" s="2462"/>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728</v>
      </c>
      <c r="BT193" s="12" t="s">
        <v>772</v>
      </c>
    </row>
    <row r="194" spans="1:96" ht="12.75">
      <c r="A194" s="25"/>
      <c r="C194" s="46"/>
      <c r="D194" s="25" t="s">
        <v>341</v>
      </c>
      <c r="E194" s="25"/>
      <c r="F194" s="25"/>
      <c r="G194" s="25"/>
      <c r="H194" s="25"/>
      <c r="I194" s="25"/>
      <c r="J194" s="25"/>
      <c r="K194" s="25"/>
      <c r="L194" s="25"/>
      <c r="M194" s="25"/>
      <c r="N194" s="25"/>
      <c r="O194" s="25"/>
      <c r="P194" s="25"/>
      <c r="Q194" s="25"/>
      <c r="R194" s="25"/>
      <c r="T194" s="2023" t="s">
        <v>706</v>
      </c>
      <c r="U194" s="2023"/>
      <c r="W194" s="25" t="s">
        <v>722</v>
      </c>
      <c r="X194" s="25"/>
      <c r="Y194" s="25"/>
      <c r="Z194" s="25"/>
      <c r="AA194" s="25"/>
      <c r="AB194" s="25"/>
      <c r="AC194" s="25"/>
      <c r="AD194" s="25"/>
      <c r="AE194" s="25"/>
      <c r="AF194" s="25"/>
      <c r="AG194" s="25"/>
      <c r="AH194" s="2023">
        <v>7</v>
      </c>
      <c r="AI194" s="2023"/>
      <c r="AJ194" s="3"/>
      <c r="AK194" s="3"/>
      <c r="AL194" s="3"/>
      <c r="AM194" s="682"/>
      <c r="AN194" s="682"/>
      <c r="AO194" s="682"/>
      <c r="AP194" s="682"/>
      <c r="AQ194" s="682"/>
      <c r="AR194" s="682"/>
      <c r="AS194" s="682"/>
      <c r="AT194" s="682"/>
      <c r="AU194" s="682"/>
      <c r="AV194" s="682"/>
      <c r="AW194" s="682"/>
      <c r="AX194" s="682"/>
      <c r="AY194" s="682"/>
      <c r="BC194" s="720" t="s">
        <v>1647</v>
      </c>
      <c r="BN194" s="36" t="s">
        <v>729</v>
      </c>
      <c r="BT194" s="12" t="s">
        <v>773</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29" t="s">
        <v>578</v>
      </c>
      <c r="U195" s="2029"/>
      <c r="V195" s="12"/>
      <c r="W195" s="25" t="s">
        <v>723</v>
      </c>
      <c r="X195" s="25"/>
      <c r="Y195" s="25"/>
      <c r="Z195" s="25"/>
      <c r="AA195" s="25"/>
      <c r="AB195" s="25"/>
      <c r="AC195" s="25"/>
      <c r="AD195" s="25"/>
      <c r="AE195" s="25"/>
      <c r="AF195" s="25"/>
      <c r="AG195" s="25"/>
      <c r="AH195" s="2023">
        <v>9</v>
      </c>
      <c r="AI195" s="2023"/>
      <c r="AJ195" s="3"/>
      <c r="AK195" s="3"/>
      <c r="AL195" s="3"/>
      <c r="AM195" s="682"/>
      <c r="AN195" s="682"/>
      <c r="AO195" s="682"/>
      <c r="AP195" s="682"/>
      <c r="AQ195" s="682"/>
      <c r="AR195" s="682"/>
      <c r="AS195" s="682"/>
      <c r="AT195" s="682"/>
      <c r="AU195" s="682"/>
      <c r="AV195" s="682"/>
      <c r="AW195" s="682"/>
      <c r="AX195" s="682"/>
      <c r="AY195" s="682"/>
      <c r="BC195" s="720" t="s">
        <v>2447</v>
      </c>
      <c r="BN195" s="36" t="s">
        <v>248</v>
      </c>
      <c r="BT195" s="12" t="s">
        <v>774</v>
      </c>
      <c r="CR195" s="25"/>
    </row>
    <row r="196" spans="1:96" ht="12.75">
      <c r="A196" s="25"/>
      <c r="C196" s="46"/>
      <c r="D196" s="177" t="s">
        <v>173</v>
      </c>
      <c r="E196" s="25"/>
      <c r="F196" s="25"/>
      <c r="G196" s="25"/>
      <c r="H196" s="25"/>
      <c r="I196" s="25"/>
      <c r="J196" s="25"/>
      <c r="K196" s="25"/>
      <c r="L196" s="25"/>
      <c r="M196" s="25"/>
      <c r="N196" s="25"/>
      <c r="O196" s="25"/>
      <c r="P196" s="25"/>
      <c r="Q196" s="25"/>
      <c r="R196" s="25"/>
      <c r="T196" s="2029" t="s">
        <v>706</v>
      </c>
      <c r="U196" s="2029"/>
      <c r="W196" s="25" t="s">
        <v>724</v>
      </c>
      <c r="X196" s="25"/>
      <c r="Y196" s="25"/>
      <c r="Z196" s="25"/>
      <c r="AA196" s="25"/>
      <c r="AB196" s="25"/>
      <c r="AC196" s="25"/>
      <c r="AD196" s="25"/>
      <c r="AE196" s="25"/>
      <c r="AF196" s="25"/>
      <c r="AG196" s="25"/>
      <c r="AH196" s="2023">
        <v>6</v>
      </c>
      <c r="AI196" s="2023"/>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29"/>
      <c r="U197" s="202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23" t="s">
        <v>706</v>
      </c>
      <c r="Z198" s="202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197</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740</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742</v>
      </c>
      <c r="BO202" s="51"/>
      <c r="BP202" s="54"/>
      <c r="BQ202" s="54"/>
      <c r="BR202" s="54"/>
      <c r="BS202" s="54"/>
      <c r="BT202" s="55" t="s">
        <v>200</v>
      </c>
    </row>
    <row r="203" spans="1:96" ht="12.75" customHeight="1">
      <c r="A203" s="25"/>
      <c r="C203" s="25"/>
      <c r="D203" s="2035" t="s">
        <v>404</v>
      </c>
      <c r="E203" s="2035"/>
      <c r="F203" s="2035"/>
      <c r="G203" s="2035"/>
      <c r="H203" s="2035"/>
      <c r="I203" s="2035"/>
      <c r="J203" s="2035"/>
      <c r="K203" s="2035"/>
      <c r="L203" s="2035"/>
      <c r="M203" s="2035"/>
      <c r="P203" s="2443">
        <f>M26</f>
        <v>3003041</v>
      </c>
      <c r="Q203" s="2444"/>
      <c r="R203" s="2444"/>
      <c r="S203" s="2444"/>
      <c r="T203" s="2444"/>
      <c r="U203" s="2444"/>
      <c r="V203" s="25"/>
      <c r="W203" s="25"/>
      <c r="X203" s="25"/>
      <c r="Y203" s="25"/>
      <c r="Z203" s="2463" t="s">
        <v>2469</v>
      </c>
      <c r="AA203" s="2463"/>
      <c r="AB203" s="2463"/>
      <c r="AC203" s="2463"/>
      <c r="AD203" s="2463"/>
      <c r="AE203" s="2463"/>
      <c r="AF203" s="246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743</v>
      </c>
      <c r="BO203" s="51"/>
      <c r="BP203" s="54"/>
      <c r="BQ203" s="54"/>
      <c r="BR203" s="54"/>
      <c r="BS203" s="55"/>
      <c r="BT203" s="55" t="s">
        <v>201</v>
      </c>
    </row>
    <row r="204" spans="1:96" ht="12.75" customHeight="1">
      <c r="A204" s="25"/>
      <c r="C204" s="45"/>
      <c r="D204" s="2459" t="s">
        <v>1485</v>
      </c>
      <c r="E204" s="2035"/>
      <c r="F204" s="2035"/>
      <c r="G204" s="2035"/>
      <c r="H204" s="2035"/>
      <c r="I204" s="2035"/>
      <c r="J204" s="2035"/>
      <c r="K204" s="2035"/>
      <c r="L204" s="2035"/>
      <c r="M204" s="2035"/>
      <c r="P204" s="2444">
        <f>M27</f>
        <v>7496701</v>
      </c>
      <c r="Q204" s="2444"/>
      <c r="R204" s="2444"/>
      <c r="S204" s="2444"/>
      <c r="T204" s="2444"/>
      <c r="U204" s="2444"/>
      <c r="V204" s="47"/>
      <c r="W204" s="58" t="s">
        <v>2231</v>
      </c>
      <c r="Z204" s="2463"/>
      <c r="AA204" s="2463"/>
      <c r="AB204" s="2463"/>
      <c r="AC204" s="2463"/>
      <c r="AD204" s="2463"/>
      <c r="AE204" s="2463"/>
      <c r="AF204" s="2463"/>
      <c r="AG204" s="25" t="s">
        <v>1486</v>
      </c>
      <c r="AH204" s="25"/>
      <c r="AI204" s="25"/>
      <c r="AJ204" s="25"/>
      <c r="AK204" s="25"/>
      <c r="AL204" s="25"/>
      <c r="AM204" s="25"/>
      <c r="AN204" s="25"/>
      <c r="AO204" s="25"/>
      <c r="AP204" s="2023" t="s">
        <v>706</v>
      </c>
      <c r="AQ204" s="2023"/>
      <c r="AR204" s="682"/>
      <c r="AS204" s="682"/>
      <c r="AT204" s="682"/>
      <c r="AU204" s="682"/>
      <c r="AV204" s="682"/>
      <c r="AW204" s="682"/>
      <c r="AX204" s="682"/>
      <c r="AY204" s="682"/>
      <c r="BC204" s="685" t="s">
        <v>645</v>
      </c>
      <c r="BD204" s="681"/>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4"/>
      <c r="AA205" s="2464"/>
      <c r="AB205" s="2464"/>
      <c r="AC205" s="2464"/>
      <c r="AD205" s="2464"/>
      <c r="AE205" s="2464"/>
      <c r="AF205" s="2464"/>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75">
      <c r="A207" s="25"/>
      <c r="C207" s="45"/>
      <c r="D207" s="2019" t="s">
        <v>2470</v>
      </c>
      <c r="E207" s="2019"/>
      <c r="F207" s="2019"/>
      <c r="G207" s="2019"/>
      <c r="H207" s="2019"/>
      <c r="I207" s="2019"/>
      <c r="J207" s="2019"/>
      <c r="K207" s="2019"/>
      <c r="L207" s="2019"/>
      <c r="M207" s="20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75">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206</v>
      </c>
    </row>
    <row r="210" spans="1:96" ht="12.75">
      <c r="C210" s="45"/>
      <c r="D210" s="2019" t="s">
        <v>1157</v>
      </c>
      <c r="E210" s="2019"/>
      <c r="F210" s="2019"/>
      <c r="G210" s="2019"/>
      <c r="H210" s="2019"/>
      <c r="I210" s="2019"/>
      <c r="J210" s="2019"/>
      <c r="K210" s="2019"/>
      <c r="L210" s="2019"/>
      <c r="M210" s="201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23"/>
      <c r="Z211" s="202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555" t="s">
        <v>626</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83"/>
      <c r="AC214" s="2483"/>
      <c r="AD214" s="2483"/>
      <c r="AE214" s="2483"/>
      <c r="AF214" s="2483"/>
      <c r="AG214" s="2483"/>
      <c r="AH214" s="2483"/>
      <c r="AI214" s="2483"/>
      <c r="AJ214" s="2483"/>
      <c r="AK214" s="2483"/>
      <c r="AL214" s="2483"/>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75" customHeight="1">
      <c r="A215" s="12"/>
      <c r="B215" s="12"/>
      <c r="C215" s="12"/>
      <c r="D215" s="58" t="s">
        <v>2019</v>
      </c>
      <c r="Z215" s="69"/>
      <c r="AB215" s="2483"/>
      <c r="AC215" s="2483"/>
      <c r="AD215" s="2483"/>
      <c r="AE215" s="2483"/>
      <c r="AF215" s="2483"/>
      <c r="AG215" s="2483"/>
      <c r="AH215" s="2483"/>
      <c r="AI215" s="2483"/>
      <c r="AJ215" s="2483"/>
      <c r="AK215" s="2483"/>
      <c r="AL215" s="2483"/>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75">
      <c r="A217" s="505" t="s">
        <v>627</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019" t="s">
        <v>1185</v>
      </c>
      <c r="E219" s="2019"/>
      <c r="F219" s="2019"/>
      <c r="G219" s="2019"/>
      <c r="H219" s="2019"/>
      <c r="I219" s="2019"/>
      <c r="J219" s="2019"/>
      <c r="K219" s="2019"/>
      <c r="L219" s="2019"/>
      <c r="M219" s="2019"/>
      <c r="N219" s="2019"/>
      <c r="O219" s="2019"/>
      <c r="P219" s="2019"/>
      <c r="Q219" s="2019"/>
      <c r="R219" s="2019"/>
      <c r="S219" s="2019"/>
      <c r="T219" s="2019"/>
      <c r="U219" s="2019"/>
      <c r="V219" s="2019"/>
      <c r="W219" s="2019"/>
      <c r="X219" s="2019"/>
      <c r="Y219" s="2019"/>
      <c r="Z219" s="201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082" t="s">
        <v>573</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3" t="s">
        <v>626</v>
      </c>
      <c r="AJ225" s="202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3" t="s">
        <v>578</v>
      </c>
      <c r="AJ226" s="2023"/>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3" t="s">
        <v>578</v>
      </c>
      <c r="AJ227" s="2023"/>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3" t="s">
        <v>626</v>
      </c>
      <c r="AJ228" s="2023"/>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2</v>
      </c>
      <c r="BO229" s="61"/>
    </row>
    <row r="230" spans="1:69" ht="12.75">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456" t="str">
        <f>H16</f>
        <v>Anton DevCo, Inc.</v>
      </c>
      <c r="N231" s="2456"/>
      <c r="O231" s="2456"/>
      <c r="P231" s="2456"/>
      <c r="Q231" s="2456"/>
      <c r="R231" s="2456"/>
      <c r="S231" s="2456"/>
      <c r="T231" s="2456"/>
      <c r="U231" s="2456"/>
      <c r="V231" s="2456"/>
      <c r="W231" s="2456"/>
      <c r="X231" s="2456"/>
      <c r="Y231" s="2456"/>
      <c r="Z231" s="2456"/>
      <c r="AA231" s="2456"/>
      <c r="AB231" s="2456"/>
      <c r="AC231" s="2456"/>
      <c r="AD231" s="2456"/>
      <c r="AE231" s="2456"/>
      <c r="AF231" s="2456"/>
      <c r="AG231" s="2456"/>
      <c r="AH231" s="2456"/>
      <c r="AI231" s="2456"/>
      <c r="AJ231" s="2456"/>
      <c r="AK231" s="2456"/>
      <c r="BA231" s="58"/>
      <c r="BB231" s="385"/>
      <c r="BG231" s="388"/>
      <c r="BQ231" s="61"/>
    </row>
    <row r="232" spans="1:69" ht="12.75">
      <c r="D232" s="57" t="s">
        <v>90</v>
      </c>
      <c r="E232" s="57"/>
      <c r="F232" s="57"/>
      <c r="G232" s="57"/>
      <c r="H232" s="57"/>
      <c r="I232" s="57"/>
      <c r="J232" s="57"/>
      <c r="K232" s="7"/>
      <c r="M232" s="2021" t="s">
        <v>2475</v>
      </c>
      <c r="N232" s="2019"/>
      <c r="O232" s="2019"/>
      <c r="P232" s="2019"/>
      <c r="Q232" s="2019"/>
      <c r="R232" s="2019"/>
      <c r="S232" s="2019"/>
      <c r="T232" s="2019"/>
      <c r="U232" s="2019"/>
      <c r="V232" s="2019"/>
      <c r="W232" s="2019"/>
      <c r="X232" s="2019"/>
      <c r="Y232" s="2019"/>
      <c r="Z232" s="2019"/>
      <c r="AA232" s="2019"/>
      <c r="AB232" s="2019"/>
      <c r="AC232" s="2019"/>
      <c r="AD232" s="2019"/>
      <c r="AE232" s="2019"/>
      <c r="AZ232" s="7"/>
      <c r="BA232" s="58"/>
      <c r="BB232" s="335" t="s">
        <v>571</v>
      </c>
      <c r="BG232" s="390">
        <f>IF(AND(AND($M$248="nonprofit",$M$256="nonprofit",$M$264="for profit")),2,0)</f>
        <v>0</v>
      </c>
      <c r="BQ232" s="61"/>
    </row>
    <row r="233" spans="1:69" ht="12.75">
      <c r="D233" s="57" t="s">
        <v>615</v>
      </c>
      <c r="E233" s="57"/>
      <c r="M233" s="2021" t="s">
        <v>71</v>
      </c>
      <c r="N233" s="2019"/>
      <c r="O233" s="2019"/>
      <c r="P233" s="2019"/>
      <c r="Q233" s="2019"/>
      <c r="R233" s="2019"/>
      <c r="S233" s="2019"/>
      <c r="T233" s="2019"/>
      <c r="V233" s="59" t="s">
        <v>91</v>
      </c>
      <c r="W233" s="2020" t="s">
        <v>2471</v>
      </c>
      <c r="X233" s="2024"/>
      <c r="Y233" s="57" t="s">
        <v>618</v>
      </c>
      <c r="AC233" s="2019">
        <v>95811</v>
      </c>
      <c r="AD233" s="2019"/>
      <c r="AE233" s="2019"/>
      <c r="BB233" s="335" t="s">
        <v>571</v>
      </c>
      <c r="BG233" s="390">
        <f>IF(AND(AND($M$248="nonprofit",$M$256="for profit",$M$264="nonprofit")),2,0)</f>
        <v>0</v>
      </c>
    </row>
    <row r="234" spans="1:69" ht="12.75">
      <c r="D234" s="60" t="s">
        <v>92</v>
      </c>
      <c r="E234" s="7"/>
      <c r="F234" s="7"/>
      <c r="G234" s="7"/>
      <c r="H234" s="7"/>
      <c r="I234" s="7"/>
      <c r="J234" s="7"/>
      <c r="K234" s="29"/>
      <c r="M234" s="2021" t="s">
        <v>2472</v>
      </c>
      <c r="N234" s="2019"/>
      <c r="O234" s="2019"/>
      <c r="P234" s="2019"/>
      <c r="Q234" s="2019"/>
      <c r="R234" s="2019"/>
      <c r="S234" s="2019"/>
      <c r="T234" s="2019"/>
      <c r="U234" s="2019"/>
      <c r="V234" s="2019"/>
      <c r="W234" s="2019"/>
      <c r="X234" s="2019"/>
      <c r="Y234" s="2019"/>
      <c r="Z234" s="2019"/>
      <c r="AA234" s="2019"/>
      <c r="AB234" s="2019"/>
      <c r="AC234" s="2019"/>
      <c r="AD234" s="2019"/>
      <c r="AE234" s="2019"/>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75">
      <c r="D235" s="60" t="s">
        <v>93</v>
      </c>
      <c r="E235" s="7"/>
      <c r="F235" s="7"/>
      <c r="M235" s="2101" t="s">
        <v>2473</v>
      </c>
      <c r="N235" s="2031"/>
      <c r="O235" s="2031"/>
      <c r="P235" s="2031"/>
      <c r="Q235" s="2031"/>
      <c r="R235" s="2031"/>
      <c r="S235" s="7" t="s">
        <v>211</v>
      </c>
      <c r="T235" s="7"/>
      <c r="U235" s="2024"/>
      <c r="V235" s="2024"/>
      <c r="W235" s="2024"/>
      <c r="X235" s="7" t="s">
        <v>94</v>
      </c>
      <c r="Z235" s="2031"/>
      <c r="AA235" s="2031"/>
      <c r="AB235" s="2031"/>
      <c r="AC235" s="2031"/>
      <c r="AD235" s="2031"/>
      <c r="AE235" s="2031"/>
      <c r="BB235" s="386"/>
      <c r="BG235" s="387"/>
    </row>
    <row r="236" spans="1:69" ht="12.75">
      <c r="D236" s="60" t="s">
        <v>95</v>
      </c>
      <c r="E236" s="7"/>
      <c r="F236" s="7"/>
      <c r="M236" s="2351" t="s">
        <v>2474</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75">
      <c r="A237" s="50" t="s">
        <v>621</v>
      </c>
      <c r="C237" s="37" t="s">
        <v>558</v>
      </c>
      <c r="M237" s="2018" t="s">
        <v>559</v>
      </c>
      <c r="N237" s="2018"/>
      <c r="O237" s="2018"/>
      <c r="P237" s="2018"/>
      <c r="Q237" s="2018"/>
      <c r="R237" s="2018"/>
      <c r="S237" s="2018"/>
      <c r="T237" s="2018"/>
      <c r="U237" s="388" t="s">
        <v>977</v>
      </c>
      <c r="V237" s="326"/>
      <c r="W237" s="326"/>
      <c r="X237" s="326"/>
      <c r="Y237" s="326"/>
      <c r="Z237" s="326"/>
      <c r="AA237" s="2449" t="s">
        <v>626</v>
      </c>
      <c r="AB237" s="2450"/>
      <c r="AC237" s="2450"/>
      <c r="AD237" s="2450"/>
      <c r="AE237" s="2450"/>
      <c r="AF237" s="2450"/>
      <c r="AG237" s="2450"/>
      <c r="AH237" s="2450"/>
      <c r="AI237" s="2450"/>
      <c r="AJ237" s="2450"/>
      <c r="AK237" s="2450"/>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22"/>
      <c r="N238" s="2022"/>
      <c r="O238" s="2022"/>
      <c r="P238" s="2022"/>
      <c r="Q238" s="2022"/>
      <c r="R238" s="2022"/>
      <c r="S238" s="2022"/>
      <c r="T238" s="2022"/>
      <c r="U238" s="2022"/>
      <c r="V238" s="2022"/>
      <c r="W238" s="2022"/>
      <c r="X238" s="2022"/>
      <c r="Y238" s="2022"/>
      <c r="Z238" s="2022"/>
      <c r="AA238" s="2022"/>
      <c r="AB238" s="2022"/>
      <c r="AC238" s="2022"/>
      <c r="AD238" s="2022"/>
      <c r="AE238" s="202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75">
      <c r="D239" s="60"/>
      <c r="K239" s="3"/>
      <c r="BB239" s="384" t="s">
        <v>944</v>
      </c>
      <c r="BG239" s="390">
        <f>IF(AND(AND($M$248="for profit",$M$256="for profit",$M$264="(select one)")),3,0)</f>
        <v>0</v>
      </c>
    </row>
    <row r="240" spans="1:69" ht="12.75">
      <c r="A240" s="50" t="s">
        <v>624</v>
      </c>
      <c r="C240" s="50" t="s">
        <v>1385</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506</v>
      </c>
      <c r="D242" s="57" t="s">
        <v>565</v>
      </c>
      <c r="E242" s="57"/>
      <c r="F242" s="57"/>
      <c r="G242" s="57"/>
      <c r="H242" s="57"/>
      <c r="I242" s="57"/>
      <c r="J242" s="57"/>
      <c r="K242" s="57"/>
      <c r="L242" s="7"/>
      <c r="M242" s="2447" t="s">
        <v>2463</v>
      </c>
      <c r="N242" s="2448"/>
      <c r="O242" s="2448"/>
      <c r="P242" s="2448"/>
      <c r="Q242" s="2448"/>
      <c r="R242" s="2448"/>
      <c r="S242" s="2448"/>
      <c r="T242" s="2448"/>
      <c r="U242" s="2448"/>
      <c r="V242" s="2448"/>
      <c r="W242" s="2448"/>
      <c r="X242" s="2448"/>
      <c r="Y242" s="2448"/>
      <c r="Z242" s="2448"/>
      <c r="AA242" s="2448"/>
      <c r="AB242" s="2448"/>
      <c r="AC242" s="2448"/>
      <c r="AD242" s="2448"/>
      <c r="AE242" s="2448"/>
      <c r="AF242" s="2448" t="s">
        <v>2524</v>
      </c>
      <c r="AG242" s="2448"/>
      <c r="AH242" s="2448"/>
      <c r="AI242" s="2448"/>
      <c r="AJ242" s="2448"/>
      <c r="AK242" s="244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1" t="s">
        <v>2476</v>
      </c>
      <c r="N243" s="2019"/>
      <c r="O243" s="2019"/>
      <c r="P243" s="2019"/>
      <c r="Q243" s="2019"/>
      <c r="R243" s="2019"/>
      <c r="S243" s="2019"/>
      <c r="T243" s="2019"/>
      <c r="U243" s="2019"/>
      <c r="V243" s="2019"/>
      <c r="W243" s="2019"/>
      <c r="X243" s="2019"/>
      <c r="Y243" s="2019"/>
      <c r="Z243" s="2019"/>
      <c r="AA243" s="2019"/>
      <c r="AB243" s="2019"/>
      <c r="AC243" s="2019"/>
      <c r="AD243" s="2019"/>
      <c r="AE243" s="2019"/>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21" t="s">
        <v>71</v>
      </c>
      <c r="N244" s="2019"/>
      <c r="O244" s="2019"/>
      <c r="P244" s="2019"/>
      <c r="Q244" s="2019"/>
      <c r="R244" s="2019"/>
      <c r="S244" s="2019"/>
      <c r="T244" s="2019"/>
      <c r="V244" s="59" t="s">
        <v>91</v>
      </c>
      <c r="W244" s="2020" t="s">
        <v>2471</v>
      </c>
      <c r="X244" s="2024"/>
      <c r="Y244" s="57" t="s">
        <v>618</v>
      </c>
      <c r="AC244" s="2019">
        <v>95811</v>
      </c>
      <c r="AD244" s="2019"/>
      <c r="AE244" s="2019"/>
      <c r="AF244" s="58" t="s">
        <v>1382</v>
      </c>
      <c r="AG244" s="720"/>
      <c r="AH244" s="720"/>
      <c r="AI244" s="720"/>
      <c r="AJ244" s="720"/>
      <c r="AK244" s="720"/>
      <c r="BB244" s="12" t="s">
        <v>317</v>
      </c>
      <c r="BG244" s="12">
        <v>1</v>
      </c>
      <c r="BH244" s="12" t="s">
        <v>567</v>
      </c>
      <c r="BM244" s="25"/>
      <c r="BN244" s="3"/>
      <c r="BO244" s="3"/>
    </row>
    <row r="245" spans="1:72" ht="12.75">
      <c r="A245" s="29"/>
      <c r="B245" s="7"/>
      <c r="C245" s="7"/>
      <c r="D245" s="60" t="s">
        <v>92</v>
      </c>
      <c r="E245" s="7"/>
      <c r="F245" s="7"/>
      <c r="G245" s="7"/>
      <c r="H245" s="7"/>
      <c r="I245" s="7"/>
      <c r="J245" s="7"/>
      <c r="K245" s="7"/>
      <c r="L245" s="29"/>
      <c r="M245" s="2021" t="s">
        <v>2472</v>
      </c>
      <c r="N245" s="2019"/>
      <c r="O245" s="2019"/>
      <c r="P245" s="2019"/>
      <c r="Q245" s="2019"/>
      <c r="R245" s="2019"/>
      <c r="S245" s="2019"/>
      <c r="T245" s="2019"/>
      <c r="U245" s="2019"/>
      <c r="V245" s="2019"/>
      <c r="W245" s="2019"/>
      <c r="X245" s="2019"/>
      <c r="Y245" s="2019"/>
      <c r="Z245" s="2019"/>
      <c r="AA245" s="2019"/>
      <c r="AB245" s="2019"/>
      <c r="AC245" s="2019"/>
      <c r="AD245" s="2019"/>
      <c r="AE245" s="2019"/>
      <c r="AH245" s="2482">
        <v>5.0000000000000001E-3</v>
      </c>
      <c r="AI245" s="2482"/>
      <c r="AJ245" s="2482"/>
      <c r="AK245" s="2482"/>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Joint Venture</v>
      </c>
    </row>
    <row r="246" spans="1:72" ht="12.75">
      <c r="A246" s="29"/>
      <c r="B246" s="7"/>
      <c r="C246" s="7"/>
      <c r="D246" s="60" t="s">
        <v>93</v>
      </c>
      <c r="E246" s="7"/>
      <c r="F246" s="7"/>
      <c r="M246" s="2101" t="s">
        <v>2473</v>
      </c>
      <c r="N246" s="2031"/>
      <c r="O246" s="2031"/>
      <c r="P246" s="2031"/>
      <c r="Q246" s="2031"/>
      <c r="R246" s="2031"/>
      <c r="S246" s="7" t="s">
        <v>211</v>
      </c>
      <c r="T246" s="7"/>
      <c r="U246" s="2024"/>
      <c r="V246" s="2024"/>
      <c r="W246" s="2024"/>
      <c r="X246" s="7" t="s">
        <v>94</v>
      </c>
      <c r="Z246" s="2031"/>
      <c r="AA246" s="2031"/>
      <c r="AB246" s="2031"/>
      <c r="AC246" s="2031"/>
      <c r="AD246" s="2031"/>
      <c r="AE246" s="2031"/>
      <c r="BB246" s="7" t="s">
        <v>177</v>
      </c>
      <c r="BG246" s="12">
        <v>3</v>
      </c>
      <c r="BH246" s="12" t="s">
        <v>569</v>
      </c>
      <c r="BN246" s="391"/>
      <c r="BO246" s="39"/>
    </row>
    <row r="247" spans="1:72" ht="12.75">
      <c r="A247" s="29"/>
      <c r="B247" s="7"/>
      <c r="C247" s="7"/>
      <c r="D247" s="60" t="s">
        <v>95</v>
      </c>
      <c r="E247" s="7"/>
      <c r="F247" s="7"/>
      <c r="M247" s="2351" t="s">
        <v>2474</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18" t="s">
        <v>569</v>
      </c>
      <c r="N248" s="2018"/>
      <c r="O248" s="2018"/>
      <c r="P248" s="2018"/>
      <c r="Q248" s="2018"/>
      <c r="R248" s="2018"/>
      <c r="S248" s="2018"/>
      <c r="T248" s="2018"/>
      <c r="U248" s="388" t="s">
        <v>977</v>
      </c>
      <c r="V248" s="326"/>
      <c r="W248" s="326"/>
      <c r="X248" s="326"/>
      <c r="Y248" s="326"/>
      <c r="Z248" s="326"/>
      <c r="AA248" s="2449" t="s">
        <v>626</v>
      </c>
      <c r="AB248" s="2450"/>
      <c r="AC248" s="2450"/>
      <c r="AD248" s="2450"/>
      <c r="AE248" s="2450"/>
      <c r="AF248" s="2450"/>
      <c r="AG248" s="2450"/>
      <c r="AH248" s="2450"/>
      <c r="AI248" s="2450"/>
      <c r="AJ248" s="2450"/>
      <c r="AK248" s="245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447" t="s">
        <v>2525</v>
      </c>
      <c r="N250" s="2448"/>
      <c r="O250" s="2448"/>
      <c r="P250" s="2448"/>
      <c r="Q250" s="2448"/>
      <c r="R250" s="2448"/>
      <c r="S250" s="2448"/>
      <c r="T250" s="2448"/>
      <c r="U250" s="2448"/>
      <c r="V250" s="2448"/>
      <c r="W250" s="2448"/>
      <c r="X250" s="2448"/>
      <c r="Y250" s="2448"/>
      <c r="Z250" s="2448"/>
      <c r="AA250" s="2448"/>
      <c r="AB250" s="2448"/>
      <c r="AC250" s="2448"/>
      <c r="AD250" s="2448"/>
      <c r="AE250" s="2448"/>
      <c r="AF250" s="2448" t="s">
        <v>2526</v>
      </c>
      <c r="AG250" s="2448"/>
      <c r="AH250" s="2448"/>
      <c r="AI250" s="2448"/>
      <c r="AJ250" s="2448"/>
      <c r="AK250" s="2448"/>
      <c r="BN250" s="61"/>
    </row>
    <row r="251" spans="1:72" ht="12.75">
      <c r="A251" s="29"/>
      <c r="B251" s="7"/>
      <c r="C251" s="7"/>
      <c r="D251" s="57" t="s">
        <v>90</v>
      </c>
      <c r="E251" s="57"/>
      <c r="F251" s="57"/>
      <c r="G251" s="57"/>
      <c r="H251" s="57"/>
      <c r="I251" s="57"/>
      <c r="J251" s="57"/>
      <c r="K251" s="57"/>
      <c r="L251" s="7"/>
      <c r="M251" s="2021" t="s">
        <v>2527</v>
      </c>
      <c r="N251" s="2019"/>
      <c r="O251" s="2019"/>
      <c r="P251" s="2019"/>
      <c r="Q251" s="2019"/>
      <c r="R251" s="2019"/>
      <c r="S251" s="2019"/>
      <c r="T251" s="2019"/>
      <c r="U251" s="2019"/>
      <c r="V251" s="2019"/>
      <c r="W251" s="2019"/>
      <c r="X251" s="2019"/>
      <c r="Y251" s="2019"/>
      <c r="Z251" s="2019"/>
      <c r="AA251" s="2019"/>
      <c r="AB251" s="2019"/>
      <c r="AC251" s="2019"/>
      <c r="AD251" s="2019"/>
      <c r="AE251" s="2019"/>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21" t="s">
        <v>71</v>
      </c>
      <c r="N252" s="2019"/>
      <c r="O252" s="2019"/>
      <c r="P252" s="2019"/>
      <c r="Q252" s="2019"/>
      <c r="R252" s="2019"/>
      <c r="S252" s="2019"/>
      <c r="T252" s="2019"/>
      <c r="V252" s="59" t="s">
        <v>91</v>
      </c>
      <c r="W252" s="2020" t="s">
        <v>2471</v>
      </c>
      <c r="X252" s="2024"/>
      <c r="Y252" s="57" t="s">
        <v>618</v>
      </c>
      <c r="AC252" s="2019">
        <v>95816</v>
      </c>
      <c r="AD252" s="2019"/>
      <c r="AE252" s="2019"/>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021" t="s">
        <v>2530</v>
      </c>
      <c r="N253" s="2019"/>
      <c r="O253" s="2019"/>
      <c r="P253" s="2019"/>
      <c r="Q253" s="2019"/>
      <c r="R253" s="2019"/>
      <c r="S253" s="2019"/>
      <c r="T253" s="2019"/>
      <c r="U253" s="2019"/>
      <c r="V253" s="2019"/>
      <c r="W253" s="2019"/>
      <c r="X253" s="2019"/>
      <c r="Y253" s="2019"/>
      <c r="Z253" s="2019"/>
      <c r="AA253" s="2019"/>
      <c r="AB253" s="2019"/>
      <c r="AC253" s="2019"/>
      <c r="AD253" s="2019"/>
      <c r="AE253" s="2019"/>
      <c r="AF253" s="720"/>
      <c r="AG253" s="720"/>
      <c r="AH253" s="2482">
        <v>5.0000000000000001E-3</v>
      </c>
      <c r="AI253" s="2482"/>
      <c r="AJ253" s="2482"/>
      <c r="AK253" s="248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1" t="s">
        <v>2528</v>
      </c>
      <c r="N254" s="2031"/>
      <c r="O254" s="2031"/>
      <c r="P254" s="2031"/>
      <c r="Q254" s="2031"/>
      <c r="R254" s="2031"/>
      <c r="S254" s="7" t="s">
        <v>211</v>
      </c>
      <c r="T254" s="7"/>
      <c r="U254" s="2024"/>
      <c r="V254" s="2024"/>
      <c r="W254" s="2024"/>
      <c r="X254" s="7" t="s">
        <v>94</v>
      </c>
      <c r="Z254" s="2031"/>
      <c r="AA254" s="2031"/>
      <c r="AB254" s="2031"/>
      <c r="AC254" s="2031"/>
      <c r="AD254" s="2031"/>
      <c r="AE254" s="2031"/>
    </row>
    <row r="255" spans="1:72" ht="12.75">
      <c r="A255" s="29"/>
      <c r="B255" s="7"/>
      <c r="C255" s="7"/>
      <c r="D255" s="60" t="s">
        <v>95</v>
      </c>
      <c r="E255" s="7"/>
      <c r="F255" s="7"/>
      <c r="M255" s="2351" t="s">
        <v>2529</v>
      </c>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18" t="s">
        <v>567</v>
      </c>
      <c r="N256" s="2018"/>
      <c r="O256" s="2018"/>
      <c r="P256" s="2018"/>
      <c r="Q256" s="2018"/>
      <c r="R256" s="2018"/>
      <c r="S256" s="2018"/>
      <c r="T256" s="2018"/>
      <c r="U256" s="388" t="s">
        <v>977</v>
      </c>
      <c r="V256" s="326"/>
      <c r="W256" s="326"/>
      <c r="X256" s="326"/>
      <c r="Y256" s="326"/>
      <c r="Z256" s="326"/>
      <c r="AA256" s="2449" t="s">
        <v>626</v>
      </c>
      <c r="AB256" s="2450"/>
      <c r="AC256" s="2450"/>
      <c r="AD256" s="2450"/>
      <c r="AE256" s="2450"/>
      <c r="AF256" s="2450"/>
      <c r="AG256" s="2450"/>
      <c r="AH256" s="2450"/>
      <c r="AI256" s="2450"/>
      <c r="AJ256" s="2450"/>
      <c r="AK256" s="245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448"/>
      <c r="N258" s="2448"/>
      <c r="O258" s="2448"/>
      <c r="P258" s="2448"/>
      <c r="Q258" s="2448"/>
      <c r="R258" s="2448"/>
      <c r="S258" s="2448"/>
      <c r="T258" s="2448"/>
      <c r="U258" s="2448"/>
      <c r="V258" s="2448"/>
      <c r="W258" s="2448"/>
      <c r="X258" s="2448"/>
      <c r="Y258" s="2448"/>
      <c r="Z258" s="2448"/>
      <c r="AA258" s="2448"/>
      <c r="AB258" s="2448"/>
      <c r="AC258" s="2448"/>
      <c r="AD258" s="2448"/>
      <c r="AE258" s="2448"/>
      <c r="AF258" s="2448" t="s">
        <v>317</v>
      </c>
      <c r="AG258" s="2448"/>
      <c r="AH258" s="2448"/>
      <c r="AI258" s="2448"/>
      <c r="AJ258" s="2448"/>
      <c r="AK258" s="24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19"/>
      <c r="N259" s="2019"/>
      <c r="O259" s="2019"/>
      <c r="P259" s="2019"/>
      <c r="Q259" s="2019"/>
      <c r="R259" s="2019"/>
      <c r="S259" s="2019"/>
      <c r="T259" s="2019"/>
      <c r="U259" s="2019"/>
      <c r="V259" s="2019"/>
      <c r="W259" s="2019"/>
      <c r="X259" s="2019"/>
      <c r="Y259" s="2019"/>
      <c r="Z259" s="2019"/>
      <c r="AA259" s="2019"/>
      <c r="AB259" s="2019"/>
      <c r="AC259" s="2019"/>
      <c r="AD259" s="2019"/>
      <c r="AE259" s="2019"/>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19"/>
      <c r="N260" s="2019"/>
      <c r="O260" s="2019"/>
      <c r="P260" s="2019"/>
      <c r="Q260" s="2019"/>
      <c r="R260" s="2019"/>
      <c r="S260" s="2019"/>
      <c r="T260" s="2019"/>
      <c r="V260" s="59" t="s">
        <v>91</v>
      </c>
      <c r="W260" s="2024"/>
      <c r="X260" s="2024"/>
      <c r="Y260" s="57" t="s">
        <v>618</v>
      </c>
      <c r="AC260" s="2019"/>
      <c r="AD260" s="2019"/>
      <c r="AE260" s="2019"/>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19"/>
      <c r="N261" s="2019"/>
      <c r="O261" s="2019"/>
      <c r="P261" s="2019"/>
      <c r="Q261" s="2019"/>
      <c r="R261" s="2019"/>
      <c r="S261" s="2019"/>
      <c r="T261" s="2019"/>
      <c r="U261" s="2019"/>
      <c r="V261" s="2019"/>
      <c r="W261" s="2019"/>
      <c r="X261" s="2019"/>
      <c r="Y261" s="2019"/>
      <c r="Z261" s="2019"/>
      <c r="AA261" s="2019"/>
      <c r="AB261" s="2019"/>
      <c r="AC261" s="2019"/>
      <c r="AD261" s="2019"/>
      <c r="AE261" s="2019"/>
      <c r="AF261" s="720"/>
      <c r="AG261" s="720"/>
      <c r="AH261" s="2482"/>
      <c r="AI261" s="2482"/>
      <c r="AJ261" s="2482"/>
      <c r="AK261" s="248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1"/>
      <c r="N262" s="2031"/>
      <c r="O262" s="2031"/>
      <c r="P262" s="2031"/>
      <c r="Q262" s="2031"/>
      <c r="R262" s="2031"/>
      <c r="S262" s="7" t="s">
        <v>211</v>
      </c>
      <c r="T262" s="7"/>
      <c r="U262" s="2024"/>
      <c r="V262" s="2024"/>
      <c r="W262" s="2024"/>
      <c r="X262" s="7" t="s">
        <v>94</v>
      </c>
      <c r="Z262" s="2031"/>
      <c r="AA262" s="2031"/>
      <c r="AB262" s="2031"/>
      <c r="AC262" s="2031"/>
      <c r="AD262" s="2031"/>
      <c r="AE262" s="203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80"/>
      <c r="AB263" s="2480"/>
      <c r="AC263" s="2480"/>
      <c r="AD263" s="2480"/>
      <c r="AE263" s="24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18" t="s">
        <v>317</v>
      </c>
      <c r="N264" s="2018"/>
      <c r="O264" s="2018"/>
      <c r="P264" s="2018"/>
      <c r="Q264" s="2018"/>
      <c r="R264" s="2018"/>
      <c r="S264" s="2018"/>
      <c r="T264" s="2018"/>
      <c r="U264" s="388" t="s">
        <v>977</v>
      </c>
      <c r="V264" s="326"/>
      <c r="W264" s="326"/>
      <c r="X264" s="326"/>
      <c r="Y264" s="326"/>
      <c r="Z264" s="326"/>
      <c r="AA264" s="2481"/>
      <c r="AB264" s="2481"/>
      <c r="AC264" s="2481"/>
      <c r="AD264" s="2481"/>
      <c r="AE264" s="2481"/>
      <c r="AF264" s="2481"/>
      <c r="AG264" s="2481"/>
      <c r="AH264" s="2481"/>
      <c r="AI264" s="2481"/>
      <c r="AJ264" s="2481"/>
      <c r="AK264" s="248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304</v>
      </c>
      <c r="D266" s="7"/>
      <c r="E266" s="7"/>
      <c r="F266" s="7"/>
      <c r="G266" s="7"/>
      <c r="H266" s="7"/>
      <c r="I266" s="7"/>
      <c r="J266" s="7"/>
      <c r="K266" s="7"/>
      <c r="L266" s="7"/>
      <c r="M266" s="147"/>
      <c r="N266" s="147"/>
      <c r="O266" s="147"/>
      <c r="P266" s="147"/>
      <c r="Q266" s="147"/>
      <c r="T266" s="2460" t="str">
        <f>BO245</f>
        <v>Joint Venture</v>
      </c>
      <c r="U266" s="2460"/>
      <c r="V266" s="2460"/>
      <c r="W266" s="2460"/>
      <c r="X266" s="2460"/>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019" t="s">
        <v>177</v>
      </c>
      <c r="E269" s="2019"/>
      <c r="F269" s="2019"/>
      <c r="G269" s="2019"/>
      <c r="H269" s="2019"/>
      <c r="J269" s="12" t="s">
        <v>286</v>
      </c>
      <c r="X269" s="2357">
        <v>44497</v>
      </c>
      <c r="Y269" s="2357"/>
      <c r="Z269" s="2357"/>
      <c r="AA269" s="2357"/>
      <c r="AB269" s="2357"/>
      <c r="AC269" s="2357"/>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47" t="s">
        <v>2463</v>
      </c>
      <c r="M273" s="2448"/>
      <c r="N273" s="2448"/>
      <c r="O273" s="2448"/>
      <c r="P273" s="2448"/>
      <c r="Q273" s="2448"/>
      <c r="R273" s="2448"/>
      <c r="S273" s="2448"/>
      <c r="T273" s="2448"/>
      <c r="U273" s="2448"/>
      <c r="V273" s="2448"/>
      <c r="W273" s="2448"/>
      <c r="X273" s="2448"/>
      <c r="Y273" s="2448"/>
      <c r="Z273" s="2448"/>
      <c r="AA273" s="2448"/>
      <c r="AB273" s="2448"/>
      <c r="AC273" s="2448"/>
      <c r="AD273" s="2448"/>
      <c r="AE273" s="2448"/>
      <c r="AF273" s="2448"/>
      <c r="AG273" s="2448"/>
      <c r="AH273" s="2448"/>
      <c r="AI273" s="2448"/>
      <c r="AJ273" s="244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1" t="s">
        <v>2476</v>
      </c>
      <c r="M274" s="2019"/>
      <c r="N274" s="2019"/>
      <c r="O274" s="2019"/>
      <c r="P274" s="2019"/>
      <c r="Q274" s="2019"/>
      <c r="R274" s="2019"/>
      <c r="S274" s="2019"/>
      <c r="T274" s="2019"/>
      <c r="U274" s="2019"/>
      <c r="V274" s="2019"/>
      <c r="W274" s="2019"/>
      <c r="X274" s="2019"/>
      <c r="Y274" s="2019"/>
      <c r="Z274" s="2019"/>
      <c r="AA274" s="2019"/>
      <c r="AB274" s="2019"/>
      <c r="AC274" s="2019"/>
      <c r="AD274" s="201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1" t="s">
        <v>71</v>
      </c>
      <c r="M275" s="2019"/>
      <c r="N275" s="2019"/>
      <c r="O275" s="2019"/>
      <c r="P275" s="2019"/>
      <c r="Q275" s="2019"/>
      <c r="R275" s="2019"/>
      <c r="S275" s="2019"/>
      <c r="U275" s="59" t="s">
        <v>91</v>
      </c>
      <c r="V275" s="2020" t="s">
        <v>2477</v>
      </c>
      <c r="W275" s="2024"/>
      <c r="X275" s="57" t="s">
        <v>618</v>
      </c>
      <c r="AB275" s="2019">
        <v>95811</v>
      </c>
      <c r="AC275" s="2019"/>
      <c r="AD275" s="201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1" t="s">
        <v>2472</v>
      </c>
      <c r="M276" s="2019"/>
      <c r="N276" s="2019"/>
      <c r="O276" s="2019"/>
      <c r="P276" s="2019"/>
      <c r="Q276" s="2019"/>
      <c r="R276" s="2019"/>
      <c r="S276" s="2019"/>
      <c r="T276" s="2019"/>
      <c r="U276" s="2019"/>
      <c r="V276" s="2019"/>
      <c r="W276" s="2019"/>
      <c r="X276" s="2019"/>
      <c r="Y276" s="2019"/>
      <c r="Z276" s="2019"/>
      <c r="AA276" s="2019"/>
      <c r="AB276" s="2019"/>
      <c r="AC276" s="2019"/>
      <c r="AD276" s="201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01" t="s">
        <v>2473</v>
      </c>
      <c r="M277" s="2031"/>
      <c r="N277" s="2031"/>
      <c r="O277" s="2031"/>
      <c r="P277" s="2031"/>
      <c r="Q277" s="2031"/>
      <c r="R277" s="7" t="s">
        <v>211</v>
      </c>
      <c r="S277" s="7"/>
      <c r="T277" s="2024"/>
      <c r="U277" s="2024"/>
      <c r="V277" s="2024"/>
      <c r="W277" s="7" t="s">
        <v>94</v>
      </c>
      <c r="Y277" s="2031"/>
      <c r="Z277" s="2031"/>
      <c r="AA277" s="2031"/>
      <c r="AB277" s="2031"/>
      <c r="AC277" s="2031"/>
      <c r="AD277" s="2031"/>
      <c r="BN277" s="61"/>
    </row>
    <row r="278" spans="1:66" ht="12.75">
      <c r="D278" s="60" t="s">
        <v>95</v>
      </c>
      <c r="E278" s="7"/>
      <c r="F278" s="7"/>
      <c r="L278" s="2351" t="s">
        <v>2474</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75">
      <c r="D279" s="58" t="s">
        <v>658</v>
      </c>
      <c r="E279" s="58"/>
      <c r="F279" s="58"/>
      <c r="G279" s="58"/>
      <c r="H279" s="58"/>
      <c r="I279" s="58"/>
      <c r="L279" s="2020" t="s">
        <v>2478</v>
      </c>
      <c r="M279" s="2020"/>
      <c r="N279" s="2020"/>
      <c r="O279" s="2020"/>
      <c r="P279" s="2020"/>
      <c r="Q279" s="2020"/>
      <c r="R279" s="2020"/>
      <c r="S279" s="2020"/>
      <c r="T279" s="2020"/>
      <c r="U279" s="2020"/>
      <c r="V279" s="2020"/>
      <c r="W279" s="2020"/>
      <c r="X279" s="2020"/>
      <c r="Y279" s="2020"/>
      <c r="Z279" s="2020"/>
      <c r="AA279" s="2020"/>
      <c r="AB279" s="2020"/>
      <c r="AC279" s="2020"/>
      <c r="AD279" s="2020"/>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2" t="s">
        <v>574</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21" t="s">
        <v>2463</v>
      </c>
      <c r="I286" s="2022"/>
      <c r="J286" s="2022"/>
      <c r="K286" s="2022"/>
      <c r="L286" s="2022"/>
      <c r="M286" s="2022"/>
      <c r="N286" s="2022"/>
      <c r="O286" s="2022"/>
      <c r="P286" s="2022"/>
      <c r="Q286" s="2022"/>
      <c r="R286" s="2022"/>
      <c r="T286" s="58" t="s">
        <v>600</v>
      </c>
      <c r="V286" s="58"/>
      <c r="W286" s="58"/>
      <c r="X286" s="58"/>
      <c r="Y286" s="58"/>
      <c r="AA286" s="2021" t="s">
        <v>2481</v>
      </c>
      <c r="AB286" s="2022"/>
      <c r="AC286" s="2022"/>
      <c r="AD286" s="2022"/>
      <c r="AE286" s="2022"/>
      <c r="AF286" s="2022"/>
      <c r="AG286" s="2022"/>
      <c r="AH286" s="2022"/>
      <c r="AI286" s="2022"/>
      <c r="AJ286" s="2022"/>
      <c r="AK286" s="2022"/>
      <c r="BN286" s="61"/>
    </row>
    <row r="287" spans="1:66" ht="12.75">
      <c r="B287" s="58" t="s">
        <v>504</v>
      </c>
      <c r="C287" s="58"/>
      <c r="D287" s="58"/>
      <c r="E287" s="58"/>
      <c r="F287" s="58"/>
      <c r="H287" s="2020" t="s">
        <v>2479</v>
      </c>
      <c r="I287" s="2018"/>
      <c r="J287" s="2018"/>
      <c r="K287" s="2018"/>
      <c r="L287" s="2018"/>
      <c r="M287" s="2018"/>
      <c r="N287" s="2018"/>
      <c r="O287" s="2018"/>
      <c r="P287" s="2018"/>
      <c r="Q287" s="2018"/>
      <c r="R287" s="2018"/>
      <c r="T287" s="58" t="s">
        <v>504</v>
      </c>
      <c r="V287" s="58"/>
      <c r="W287" s="58"/>
      <c r="X287" s="58"/>
      <c r="Y287" s="58"/>
      <c r="AA287" s="2020" t="s">
        <v>2482</v>
      </c>
      <c r="AB287" s="2018"/>
      <c r="AC287" s="2018"/>
      <c r="AD287" s="2018"/>
      <c r="AE287" s="2018"/>
      <c r="AF287" s="2018"/>
      <c r="AG287" s="2018"/>
      <c r="AH287" s="2018"/>
      <c r="AI287" s="2018"/>
      <c r="AJ287" s="2018"/>
      <c r="AK287" s="2018"/>
      <c r="BN287" s="61"/>
    </row>
    <row r="288" spans="1:66" ht="12.75">
      <c r="B288" s="58" t="s">
        <v>505</v>
      </c>
      <c r="C288" s="58"/>
      <c r="D288" s="58"/>
      <c r="E288" s="58"/>
      <c r="F288" s="58"/>
      <c r="H288" s="2020" t="s">
        <v>2480</v>
      </c>
      <c r="I288" s="2018"/>
      <c r="J288" s="2018"/>
      <c r="K288" s="2018"/>
      <c r="L288" s="2018"/>
      <c r="M288" s="2018"/>
      <c r="N288" s="2018"/>
      <c r="O288" s="2018"/>
      <c r="P288" s="2018"/>
      <c r="Q288" s="2018"/>
      <c r="R288" s="2018"/>
      <c r="T288" s="58" t="s">
        <v>79</v>
      </c>
      <c r="V288" s="58"/>
      <c r="W288" s="58"/>
      <c r="X288" s="58"/>
      <c r="Y288" s="58"/>
      <c r="AA288" s="2020" t="s">
        <v>2483</v>
      </c>
      <c r="AB288" s="2018"/>
      <c r="AC288" s="2018"/>
      <c r="AD288" s="2018"/>
      <c r="AE288" s="2018"/>
      <c r="AF288" s="2018"/>
      <c r="AG288" s="2018"/>
      <c r="AH288" s="2018"/>
      <c r="AI288" s="2018"/>
      <c r="AJ288" s="2018"/>
      <c r="AK288" s="2018"/>
      <c r="BN288" s="61"/>
    </row>
    <row r="289" spans="2:66" ht="12.75" customHeight="1">
      <c r="B289" s="58" t="s">
        <v>92</v>
      </c>
      <c r="C289" s="58"/>
      <c r="D289" s="58"/>
      <c r="E289" s="58"/>
      <c r="F289" s="58"/>
      <c r="H289" s="2020" t="s">
        <v>2472</v>
      </c>
      <c r="I289" s="2018"/>
      <c r="J289" s="2018"/>
      <c r="K289" s="2018"/>
      <c r="L289" s="2018"/>
      <c r="M289" s="2018"/>
      <c r="N289" s="2018"/>
      <c r="O289" s="2018"/>
      <c r="P289" s="2018"/>
      <c r="Q289" s="2018"/>
      <c r="R289" s="2018"/>
      <c r="T289" s="58" t="s">
        <v>92</v>
      </c>
      <c r="V289" s="58"/>
      <c r="W289" s="58"/>
      <c r="X289" s="58"/>
      <c r="Y289" s="58"/>
      <c r="AA289" s="2020" t="s">
        <v>2484</v>
      </c>
      <c r="AB289" s="2018"/>
      <c r="AC289" s="2018"/>
      <c r="AD289" s="2018"/>
      <c r="AE289" s="2018"/>
      <c r="AF289" s="2018"/>
      <c r="AG289" s="2018"/>
      <c r="AH289" s="2018"/>
      <c r="AI289" s="2018"/>
      <c r="AJ289" s="2018"/>
      <c r="AK289" s="2018"/>
      <c r="BN289" s="61"/>
    </row>
    <row r="290" spans="2:66" ht="12.75" customHeight="1">
      <c r="B290" s="58" t="s">
        <v>93</v>
      </c>
      <c r="C290" s="58"/>
      <c r="D290" s="58"/>
      <c r="E290" s="58"/>
      <c r="F290" s="58"/>
      <c r="G290" s="58"/>
      <c r="H290" s="2440" t="s">
        <v>2473</v>
      </c>
      <c r="I290" s="2075"/>
      <c r="J290" s="2075"/>
      <c r="K290" s="2075"/>
      <c r="L290" s="2075"/>
      <c r="M290" s="2075"/>
      <c r="N290" s="7" t="s">
        <v>211</v>
      </c>
      <c r="O290" s="7"/>
      <c r="P290" s="2019"/>
      <c r="Q290" s="2019"/>
      <c r="R290" s="2019"/>
      <c r="S290" s="58"/>
      <c r="T290" s="58" t="s">
        <v>93</v>
      </c>
      <c r="V290" s="58"/>
      <c r="W290" s="58"/>
      <c r="X290" s="58"/>
      <c r="Y290" s="58"/>
      <c r="AA290" s="2440" t="s">
        <v>2485</v>
      </c>
      <c r="AB290" s="2075"/>
      <c r="AC290" s="2075"/>
      <c r="AD290" s="2075"/>
      <c r="AE290" s="2075"/>
      <c r="AF290" s="2075"/>
      <c r="AG290" s="7" t="s">
        <v>211</v>
      </c>
      <c r="AH290" s="7"/>
      <c r="AI290" s="2019"/>
      <c r="AJ290" s="2019"/>
      <c r="AK290" s="2019"/>
      <c r="BN290" s="61"/>
    </row>
    <row r="291" spans="2:66" ht="12.75" customHeight="1">
      <c r="B291" s="58" t="s">
        <v>94</v>
      </c>
      <c r="C291" s="58"/>
      <c r="D291" s="58"/>
      <c r="E291" s="58"/>
      <c r="F291" s="58"/>
      <c r="G291" s="58"/>
      <c r="H291" s="2031"/>
      <c r="I291" s="2031"/>
      <c r="J291" s="2031"/>
      <c r="K291" s="2031"/>
      <c r="L291" s="2031"/>
      <c r="M291" s="2031"/>
      <c r="N291" s="60"/>
      <c r="O291" s="60"/>
      <c r="P291" s="62"/>
      <c r="Q291" s="62"/>
      <c r="R291" s="62"/>
      <c r="S291" s="58"/>
      <c r="T291" s="58" t="s">
        <v>94</v>
      </c>
      <c r="V291" s="58"/>
      <c r="W291" s="58"/>
      <c r="X291" s="58"/>
      <c r="Y291" s="58"/>
      <c r="AA291" s="2031"/>
      <c r="AB291" s="2031"/>
      <c r="AC291" s="2031"/>
      <c r="AD291" s="2031"/>
      <c r="AE291" s="2031"/>
      <c r="AF291" s="2031"/>
      <c r="AG291" s="60"/>
      <c r="AH291" s="60"/>
      <c r="AI291" s="62"/>
      <c r="AJ291" s="62"/>
      <c r="AK291" s="62"/>
      <c r="BN291" s="61"/>
    </row>
    <row r="292" spans="2:66" ht="12.75" customHeight="1">
      <c r="B292" s="58" t="s">
        <v>80</v>
      </c>
      <c r="C292" s="58"/>
      <c r="D292" s="58"/>
      <c r="E292" s="58"/>
      <c r="F292" s="58"/>
      <c r="G292" s="58"/>
      <c r="H292" s="2020" t="s">
        <v>2474</v>
      </c>
      <c r="I292" s="2018"/>
      <c r="J292" s="2018"/>
      <c r="K292" s="2018"/>
      <c r="L292" s="2018"/>
      <c r="M292" s="2018"/>
      <c r="N292" s="2022"/>
      <c r="O292" s="2022"/>
      <c r="P292" s="2022"/>
      <c r="Q292" s="2022"/>
      <c r="R292" s="2022"/>
      <c r="S292" s="58"/>
      <c r="T292" s="58" t="s">
        <v>80</v>
      </c>
      <c r="V292" s="58"/>
      <c r="W292" s="58"/>
      <c r="X292" s="58"/>
      <c r="Y292" s="58"/>
      <c r="AA292" s="2020" t="s">
        <v>2486</v>
      </c>
      <c r="AB292" s="2018"/>
      <c r="AC292" s="2018"/>
      <c r="AD292" s="2018"/>
      <c r="AE292" s="2018"/>
      <c r="AF292" s="2018"/>
      <c r="AG292" s="2022"/>
      <c r="AH292" s="2022"/>
      <c r="AI292" s="2022"/>
      <c r="AJ292" s="2022"/>
      <c r="AK292" s="202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21" t="s">
        <v>2544</v>
      </c>
      <c r="I294" s="2022"/>
      <c r="J294" s="2022"/>
      <c r="K294" s="2022"/>
      <c r="L294" s="2022"/>
      <c r="M294" s="2022"/>
      <c r="N294" s="2022"/>
      <c r="O294" s="2022"/>
      <c r="P294" s="2022"/>
      <c r="Q294" s="2022"/>
      <c r="R294" s="2022"/>
      <c r="T294" s="58" t="s">
        <v>375</v>
      </c>
      <c r="V294" s="58"/>
      <c r="W294" s="58"/>
      <c r="X294" s="58"/>
      <c r="Y294" s="58"/>
      <c r="AA294" s="2021" t="s">
        <v>2487</v>
      </c>
      <c r="AB294" s="2022"/>
      <c r="AC294" s="2022"/>
      <c r="AD294" s="2022"/>
      <c r="AE294" s="2022"/>
      <c r="AF294" s="2022"/>
      <c r="AG294" s="2022"/>
      <c r="AH294" s="2022"/>
      <c r="AI294" s="2022"/>
      <c r="AJ294" s="2022"/>
      <c r="AK294" s="2022"/>
      <c r="BN294" s="61"/>
    </row>
    <row r="295" spans="2:66" ht="12.75">
      <c r="B295" s="58" t="s">
        <v>504</v>
      </c>
      <c r="C295" s="58"/>
      <c r="D295" s="58"/>
      <c r="E295" s="58"/>
      <c r="F295" s="58"/>
      <c r="H295" s="2020" t="s">
        <v>2545</v>
      </c>
      <c r="I295" s="2018"/>
      <c r="J295" s="2018"/>
      <c r="K295" s="2018"/>
      <c r="L295" s="2018"/>
      <c r="M295" s="2018"/>
      <c r="N295" s="2018"/>
      <c r="O295" s="2018"/>
      <c r="P295" s="2018"/>
      <c r="Q295" s="2018"/>
      <c r="R295" s="2018"/>
      <c r="T295" s="58" t="s">
        <v>504</v>
      </c>
      <c r="V295" s="58"/>
      <c r="W295" s="58"/>
      <c r="X295" s="58"/>
      <c r="Y295" s="58"/>
      <c r="AA295" s="2020" t="s">
        <v>2488</v>
      </c>
      <c r="AB295" s="2018"/>
      <c r="AC295" s="2018"/>
      <c r="AD295" s="2018"/>
      <c r="AE295" s="2018"/>
      <c r="AF295" s="2018"/>
      <c r="AG295" s="2018"/>
      <c r="AH295" s="2018"/>
      <c r="AI295" s="2018"/>
      <c r="AJ295" s="2018"/>
      <c r="AK295" s="2018"/>
      <c r="BN295" s="61"/>
    </row>
    <row r="296" spans="2:66" ht="12.75">
      <c r="B296" s="58" t="s">
        <v>505</v>
      </c>
      <c r="C296" s="58"/>
      <c r="D296" s="58"/>
      <c r="E296" s="58"/>
      <c r="F296" s="58"/>
      <c r="H296" s="2020" t="s">
        <v>2546</v>
      </c>
      <c r="I296" s="2018"/>
      <c r="J296" s="2018"/>
      <c r="K296" s="2018"/>
      <c r="L296" s="2018"/>
      <c r="M296" s="2018"/>
      <c r="N296" s="2018"/>
      <c r="O296" s="2018"/>
      <c r="P296" s="2018"/>
      <c r="Q296" s="2018"/>
      <c r="R296" s="2018"/>
      <c r="T296" s="58" t="s">
        <v>79</v>
      </c>
      <c r="V296" s="58"/>
      <c r="W296" s="58"/>
      <c r="X296" s="58"/>
      <c r="Y296" s="58"/>
      <c r="AA296" s="2020" t="s">
        <v>2489</v>
      </c>
      <c r="AB296" s="2018"/>
      <c r="AC296" s="2018"/>
      <c r="AD296" s="2018"/>
      <c r="AE296" s="2018"/>
      <c r="AF296" s="2018"/>
      <c r="AG296" s="2018"/>
      <c r="AH296" s="2018"/>
      <c r="AI296" s="2018"/>
      <c r="AJ296" s="2018"/>
      <c r="AK296" s="2018"/>
      <c r="BN296" s="61"/>
    </row>
    <row r="297" spans="2:66" ht="12.75">
      <c r="B297" s="58" t="s">
        <v>92</v>
      </c>
      <c r="C297" s="58"/>
      <c r="D297" s="58"/>
      <c r="E297" s="58"/>
      <c r="F297" s="58"/>
      <c r="H297" s="2020" t="s">
        <v>2547</v>
      </c>
      <c r="I297" s="2018"/>
      <c r="J297" s="2018"/>
      <c r="K297" s="2018"/>
      <c r="L297" s="2018"/>
      <c r="M297" s="2018"/>
      <c r="N297" s="2018"/>
      <c r="O297" s="2018"/>
      <c r="P297" s="2018"/>
      <c r="Q297" s="2018"/>
      <c r="R297" s="2018"/>
      <c r="T297" s="58" t="s">
        <v>92</v>
      </c>
      <c r="V297" s="58"/>
      <c r="W297" s="58"/>
      <c r="X297" s="58"/>
      <c r="Y297" s="58"/>
      <c r="AA297" s="2020" t="s">
        <v>2490</v>
      </c>
      <c r="AB297" s="2018"/>
      <c r="AC297" s="2018"/>
      <c r="AD297" s="2018"/>
      <c r="AE297" s="2018"/>
      <c r="AF297" s="2018"/>
      <c r="AG297" s="2018"/>
      <c r="AH297" s="2018"/>
      <c r="AI297" s="2018"/>
      <c r="AJ297" s="2018"/>
      <c r="AK297" s="2018"/>
      <c r="BN297" s="61"/>
    </row>
    <row r="298" spans="2:66" ht="12.75">
      <c r="B298" s="58" t="s">
        <v>93</v>
      </c>
      <c r="C298" s="58"/>
      <c r="D298" s="58"/>
      <c r="E298" s="58"/>
      <c r="F298" s="58"/>
      <c r="G298" s="58"/>
      <c r="H298" s="2075">
        <v>4152625100</v>
      </c>
      <c r="I298" s="2075"/>
      <c r="J298" s="2075"/>
      <c r="K298" s="2075"/>
      <c r="L298" s="2075"/>
      <c r="M298" s="2075"/>
      <c r="N298" s="7" t="s">
        <v>211</v>
      </c>
      <c r="O298" s="7"/>
      <c r="P298" s="2019"/>
      <c r="Q298" s="2019"/>
      <c r="R298" s="2019"/>
      <c r="S298" s="58"/>
      <c r="T298" s="58" t="s">
        <v>93</v>
      </c>
      <c r="V298" s="58"/>
      <c r="W298" s="58"/>
      <c r="X298" s="58"/>
      <c r="Y298" s="58"/>
      <c r="AA298" s="2440" t="s">
        <v>2491</v>
      </c>
      <c r="AB298" s="2075"/>
      <c r="AC298" s="2075"/>
      <c r="AD298" s="2075"/>
      <c r="AE298" s="2075"/>
      <c r="AF298" s="2075"/>
      <c r="AG298" s="7" t="s">
        <v>211</v>
      </c>
      <c r="AH298" s="7"/>
      <c r="AI298" s="2019"/>
      <c r="AJ298" s="2019"/>
      <c r="AK298" s="2019"/>
      <c r="BN298" s="61"/>
    </row>
    <row r="299" spans="2:66" ht="12.75" customHeight="1">
      <c r="B299" s="58" t="s">
        <v>94</v>
      </c>
      <c r="C299" s="58"/>
      <c r="D299" s="58"/>
      <c r="E299" s="58"/>
      <c r="F299" s="58"/>
      <c r="G299" s="58"/>
      <c r="H299" s="2031"/>
      <c r="I299" s="2031"/>
      <c r="J299" s="2031"/>
      <c r="K299" s="2031"/>
      <c r="L299" s="2031"/>
      <c r="M299" s="2031"/>
      <c r="N299" s="60"/>
      <c r="O299" s="60"/>
      <c r="P299" s="62"/>
      <c r="Q299" s="62"/>
      <c r="R299" s="62"/>
      <c r="S299" s="58"/>
      <c r="T299" s="58" t="s">
        <v>94</v>
      </c>
      <c r="V299" s="58"/>
      <c r="W299" s="58"/>
      <c r="X299" s="58"/>
      <c r="Y299" s="58"/>
      <c r="AA299" s="2031"/>
      <c r="AB299" s="2031"/>
      <c r="AC299" s="2031"/>
      <c r="AD299" s="2031"/>
      <c r="AE299" s="2031"/>
      <c r="AF299" s="2031"/>
      <c r="AG299" s="60"/>
      <c r="AH299" s="60"/>
      <c r="AI299" s="62"/>
      <c r="AJ299" s="62"/>
      <c r="AK299" s="62"/>
      <c r="BN299" s="61"/>
    </row>
    <row r="300" spans="2:66" ht="12.75" customHeight="1">
      <c r="B300" s="58" t="s">
        <v>80</v>
      </c>
      <c r="C300" s="58"/>
      <c r="D300" s="58"/>
      <c r="E300" s="58"/>
      <c r="F300" s="58"/>
      <c r="G300" s="58"/>
      <c r="H300" s="2020" t="s">
        <v>2548</v>
      </c>
      <c r="I300" s="2018"/>
      <c r="J300" s="2018"/>
      <c r="K300" s="2018"/>
      <c r="L300" s="2018"/>
      <c r="M300" s="2018"/>
      <c r="N300" s="2022"/>
      <c r="O300" s="2022"/>
      <c r="P300" s="2022"/>
      <c r="Q300" s="2022"/>
      <c r="R300" s="2022"/>
      <c r="S300" s="58"/>
      <c r="T300" s="58" t="s">
        <v>80</v>
      </c>
      <c r="V300" s="58"/>
      <c r="W300" s="58"/>
      <c r="X300" s="58"/>
      <c r="Y300" s="58"/>
      <c r="AA300" s="2020" t="s">
        <v>2492</v>
      </c>
      <c r="AB300" s="2018"/>
      <c r="AC300" s="2018"/>
      <c r="AD300" s="2018"/>
      <c r="AE300" s="2018"/>
      <c r="AF300" s="2018"/>
      <c r="AG300" s="2022"/>
      <c r="AH300" s="2022"/>
      <c r="AI300" s="2022"/>
      <c r="AJ300" s="2022"/>
      <c r="AK300" s="2022"/>
      <c r="BN300" s="61"/>
    </row>
    <row r="301" spans="2:66" ht="12.75" customHeight="1">
      <c r="BN301" s="61"/>
    </row>
    <row r="302" spans="2:66" ht="12.75" customHeight="1">
      <c r="B302" s="58" t="s">
        <v>81</v>
      </c>
      <c r="C302" s="58"/>
      <c r="D302" s="58"/>
      <c r="E302" s="58"/>
      <c r="F302" s="58"/>
      <c r="H302" s="2021" t="s">
        <v>2549</v>
      </c>
      <c r="I302" s="2022"/>
      <c r="J302" s="2022"/>
      <c r="K302" s="2022"/>
      <c r="L302" s="2022"/>
      <c r="M302" s="2022"/>
      <c r="N302" s="2022"/>
      <c r="O302" s="2022"/>
      <c r="P302" s="2022"/>
      <c r="Q302" s="2022"/>
      <c r="R302" s="2022"/>
      <c r="T302" s="7" t="s">
        <v>945</v>
      </c>
      <c r="V302" s="58"/>
      <c r="W302" s="58"/>
      <c r="X302" s="58"/>
      <c r="Y302" s="58"/>
      <c r="AA302" s="2021" t="s">
        <v>2519</v>
      </c>
      <c r="AB302" s="2022"/>
      <c r="AC302" s="2022"/>
      <c r="AD302" s="2022"/>
      <c r="AE302" s="2022"/>
      <c r="AF302" s="2022"/>
      <c r="AG302" s="2022"/>
      <c r="AH302" s="2022"/>
      <c r="AI302" s="2022"/>
      <c r="AJ302" s="2022"/>
      <c r="AK302" s="2022"/>
      <c r="BN302" s="61"/>
    </row>
    <row r="303" spans="2:66" ht="12.75">
      <c r="B303" s="58" t="s">
        <v>504</v>
      </c>
      <c r="C303" s="58"/>
      <c r="D303" s="58"/>
      <c r="E303" s="58"/>
      <c r="F303" s="58"/>
      <c r="H303" s="2020" t="s">
        <v>2550</v>
      </c>
      <c r="I303" s="2018"/>
      <c r="J303" s="2018"/>
      <c r="K303" s="2018"/>
      <c r="L303" s="2018"/>
      <c r="M303" s="2018"/>
      <c r="N303" s="2018"/>
      <c r="O303" s="2018"/>
      <c r="P303" s="2018"/>
      <c r="Q303" s="2018"/>
      <c r="R303" s="2018"/>
      <c r="T303" s="58" t="s">
        <v>504</v>
      </c>
      <c r="V303" s="58"/>
      <c r="W303" s="58"/>
      <c r="X303" s="58"/>
      <c r="Y303" s="58"/>
      <c r="AA303" s="2020" t="s">
        <v>2531</v>
      </c>
      <c r="AB303" s="2018"/>
      <c r="AC303" s="2018"/>
      <c r="AD303" s="2018"/>
      <c r="AE303" s="2018"/>
      <c r="AF303" s="2018"/>
      <c r="AG303" s="2018"/>
      <c r="AH303" s="2018"/>
      <c r="AI303" s="2018"/>
      <c r="AJ303" s="2018"/>
      <c r="AK303" s="2018"/>
      <c r="BN303" s="61"/>
    </row>
    <row r="304" spans="2:66" ht="12.75">
      <c r="B304" s="58" t="s">
        <v>505</v>
      </c>
      <c r="C304" s="58"/>
      <c r="D304" s="58"/>
      <c r="E304" s="58"/>
      <c r="F304" s="58"/>
      <c r="H304" s="2020" t="s">
        <v>2489</v>
      </c>
      <c r="I304" s="2018"/>
      <c r="J304" s="2018"/>
      <c r="K304" s="2018"/>
      <c r="L304" s="2018"/>
      <c r="M304" s="2018"/>
      <c r="N304" s="2018"/>
      <c r="O304" s="2018"/>
      <c r="P304" s="2018"/>
      <c r="Q304" s="2018"/>
      <c r="R304" s="2018"/>
      <c r="T304" s="58" t="s">
        <v>79</v>
      </c>
      <c r="V304" s="58"/>
      <c r="W304" s="58"/>
      <c r="X304" s="58"/>
      <c r="Y304" s="58"/>
      <c r="AA304" s="2020" t="s">
        <v>2532</v>
      </c>
      <c r="AB304" s="2018"/>
      <c r="AC304" s="2018"/>
      <c r="AD304" s="2018"/>
      <c r="AE304" s="2018"/>
      <c r="AF304" s="2018"/>
      <c r="AG304" s="2018"/>
      <c r="AH304" s="2018"/>
      <c r="AI304" s="2018"/>
      <c r="AJ304" s="2018"/>
      <c r="AK304" s="2018"/>
      <c r="BN304" s="61"/>
    </row>
    <row r="305" spans="2:66" ht="12.75">
      <c r="B305" s="58" t="s">
        <v>92</v>
      </c>
      <c r="C305" s="58"/>
      <c r="D305" s="58"/>
      <c r="E305" s="58"/>
      <c r="F305" s="58"/>
      <c r="H305" s="2018"/>
      <c r="I305" s="2018"/>
      <c r="J305" s="2018"/>
      <c r="K305" s="2018"/>
      <c r="L305" s="2018"/>
      <c r="M305" s="2018"/>
      <c r="N305" s="2018"/>
      <c r="O305" s="2018"/>
      <c r="P305" s="2018"/>
      <c r="Q305" s="2018"/>
      <c r="R305" s="2018"/>
      <c r="T305" s="58" t="s">
        <v>92</v>
      </c>
      <c r="V305" s="58"/>
      <c r="W305" s="58"/>
      <c r="X305" s="58"/>
      <c r="Y305" s="58"/>
      <c r="AA305" s="2020" t="s">
        <v>2533</v>
      </c>
      <c r="AB305" s="2018"/>
      <c r="AC305" s="2018"/>
      <c r="AD305" s="2018"/>
      <c r="AE305" s="2018"/>
      <c r="AF305" s="2018"/>
      <c r="AG305" s="2018"/>
      <c r="AH305" s="2018"/>
      <c r="AI305" s="2018"/>
      <c r="AJ305" s="2018"/>
      <c r="AK305" s="2018"/>
      <c r="BN305" s="61"/>
    </row>
    <row r="306" spans="2:66" ht="12.75">
      <c r="B306" s="58" t="s">
        <v>93</v>
      </c>
      <c r="C306" s="58"/>
      <c r="D306" s="58"/>
      <c r="E306" s="58"/>
      <c r="F306" s="58"/>
      <c r="G306" s="58"/>
      <c r="H306" s="2075"/>
      <c r="I306" s="2075"/>
      <c r="J306" s="2075"/>
      <c r="K306" s="2075"/>
      <c r="L306" s="2075"/>
      <c r="M306" s="2075"/>
      <c r="N306" s="7" t="s">
        <v>211</v>
      </c>
      <c r="O306" s="7"/>
      <c r="P306" s="2019"/>
      <c r="Q306" s="2019"/>
      <c r="R306" s="2019"/>
      <c r="S306" s="58"/>
      <c r="T306" s="58" t="s">
        <v>93</v>
      </c>
      <c r="V306" s="58"/>
      <c r="W306" s="58"/>
      <c r="X306" s="58"/>
      <c r="Y306" s="58"/>
      <c r="AA306" s="2440" t="s">
        <v>2534</v>
      </c>
      <c r="AB306" s="2075"/>
      <c r="AC306" s="2075"/>
      <c r="AD306" s="2075"/>
      <c r="AE306" s="2075"/>
      <c r="AF306" s="2075"/>
      <c r="AG306" s="7" t="s">
        <v>211</v>
      </c>
      <c r="AH306" s="7"/>
      <c r="AI306" s="2019"/>
      <c r="AJ306" s="2019"/>
      <c r="AK306" s="2019"/>
      <c r="BN306" s="61"/>
    </row>
    <row r="307" spans="2:66" ht="12.75">
      <c r="B307" s="58" t="s">
        <v>94</v>
      </c>
      <c r="C307" s="58"/>
      <c r="D307" s="58"/>
      <c r="E307" s="58"/>
      <c r="F307" s="58"/>
      <c r="G307" s="58"/>
      <c r="H307" s="2031"/>
      <c r="I307" s="2031"/>
      <c r="J307" s="2031"/>
      <c r="K307" s="2031"/>
      <c r="L307" s="2031"/>
      <c r="M307" s="2031"/>
      <c r="N307" s="60"/>
      <c r="O307" s="60"/>
      <c r="P307" s="62"/>
      <c r="Q307" s="62"/>
      <c r="R307" s="62"/>
      <c r="S307" s="58"/>
      <c r="T307" s="58" t="s">
        <v>94</v>
      </c>
      <c r="V307" s="58"/>
      <c r="W307" s="58"/>
      <c r="X307" s="58"/>
      <c r="Y307" s="58"/>
      <c r="AA307" s="2031"/>
      <c r="AB307" s="2031"/>
      <c r="AC307" s="2031"/>
      <c r="AD307" s="2031"/>
      <c r="AE307" s="2031"/>
      <c r="AF307" s="2031"/>
      <c r="AG307" s="60"/>
      <c r="AH307" s="60"/>
      <c r="AI307" s="62"/>
      <c r="AJ307" s="62"/>
      <c r="AK307" s="62"/>
      <c r="BN307" s="61"/>
    </row>
    <row r="308" spans="2:66" ht="12.75">
      <c r="B308" s="58" t="s">
        <v>80</v>
      </c>
      <c r="C308" s="58"/>
      <c r="D308" s="58"/>
      <c r="E308" s="58"/>
      <c r="F308" s="58"/>
      <c r="G308" s="58"/>
      <c r="H308" s="2018"/>
      <c r="I308" s="2018"/>
      <c r="J308" s="2018"/>
      <c r="K308" s="2018"/>
      <c r="L308" s="2018"/>
      <c r="M308" s="2018"/>
      <c r="N308" s="2022"/>
      <c r="O308" s="2022"/>
      <c r="P308" s="2022"/>
      <c r="Q308" s="2022"/>
      <c r="R308" s="2022"/>
      <c r="S308" s="58"/>
      <c r="T308" s="58" t="s">
        <v>80</v>
      </c>
      <c r="V308" s="58"/>
      <c r="W308" s="58"/>
      <c r="X308" s="58"/>
      <c r="Y308" s="58"/>
      <c r="AA308" s="2020" t="s">
        <v>2535</v>
      </c>
      <c r="AB308" s="2018"/>
      <c r="AC308" s="2018"/>
      <c r="AD308" s="2018"/>
      <c r="AE308" s="2018"/>
      <c r="AF308" s="2018"/>
      <c r="AG308" s="2022"/>
      <c r="AH308" s="2022"/>
      <c r="AI308" s="2022"/>
      <c r="AJ308" s="2022"/>
      <c r="AK308" s="202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21" t="s">
        <v>2549</v>
      </c>
      <c r="I310" s="2022"/>
      <c r="J310" s="2022"/>
      <c r="K310" s="2022"/>
      <c r="L310" s="2022"/>
      <c r="M310" s="2022"/>
      <c r="N310" s="2022"/>
      <c r="O310" s="2022"/>
      <c r="P310" s="2022"/>
      <c r="Q310" s="2022"/>
      <c r="R310" s="2022"/>
      <c r="S310" s="58"/>
      <c r="T310" s="58" t="s">
        <v>376</v>
      </c>
      <c r="V310" s="58"/>
      <c r="W310" s="58"/>
      <c r="X310" s="58"/>
      <c r="Y310" s="58"/>
      <c r="AA310" s="2021" t="s">
        <v>2551</v>
      </c>
      <c r="AB310" s="2022"/>
      <c r="AC310" s="2022"/>
      <c r="AD310" s="2022"/>
      <c r="AE310" s="2022"/>
      <c r="AF310" s="2022"/>
      <c r="AG310" s="2022"/>
      <c r="AH310" s="2022"/>
      <c r="AI310" s="2022"/>
      <c r="AJ310" s="2022"/>
      <c r="AK310" s="2022"/>
      <c r="BN310" s="61"/>
    </row>
    <row r="311" spans="2:66" ht="12.75">
      <c r="B311" s="58" t="s">
        <v>504</v>
      </c>
      <c r="C311" s="58"/>
      <c r="D311" s="58"/>
      <c r="E311" s="58"/>
      <c r="F311" s="58"/>
      <c r="H311" s="2020" t="s">
        <v>2550</v>
      </c>
      <c r="I311" s="2018"/>
      <c r="J311" s="2018"/>
      <c r="K311" s="2018"/>
      <c r="L311" s="2018"/>
      <c r="M311" s="2018"/>
      <c r="N311" s="2018"/>
      <c r="O311" s="2018"/>
      <c r="P311" s="2018"/>
      <c r="Q311" s="2018"/>
      <c r="R311" s="2018"/>
      <c r="S311" s="58"/>
      <c r="T311" s="58" t="s">
        <v>504</v>
      </c>
      <c r="V311" s="58"/>
      <c r="W311" s="58"/>
      <c r="X311" s="58"/>
      <c r="Y311" s="58"/>
      <c r="AA311" s="2020" t="s">
        <v>2552</v>
      </c>
      <c r="AB311" s="2018"/>
      <c r="AC311" s="2018"/>
      <c r="AD311" s="2018"/>
      <c r="AE311" s="2018"/>
      <c r="AF311" s="2018"/>
      <c r="AG311" s="2018"/>
      <c r="AH311" s="2018"/>
      <c r="AI311" s="2018"/>
      <c r="AJ311" s="2018"/>
      <c r="AK311" s="2018"/>
      <c r="BN311" s="61"/>
    </row>
    <row r="312" spans="2:66" ht="12.75" customHeight="1">
      <c r="B312" s="58" t="s">
        <v>505</v>
      </c>
      <c r="C312" s="58"/>
      <c r="D312" s="58"/>
      <c r="E312" s="58"/>
      <c r="F312" s="58"/>
      <c r="H312" s="2020" t="s">
        <v>2489</v>
      </c>
      <c r="I312" s="2018"/>
      <c r="J312" s="2018"/>
      <c r="K312" s="2018"/>
      <c r="L312" s="2018"/>
      <c r="M312" s="2018"/>
      <c r="N312" s="2018"/>
      <c r="O312" s="2018"/>
      <c r="P312" s="2018"/>
      <c r="Q312" s="2018"/>
      <c r="R312" s="2018"/>
      <c r="S312" s="58"/>
      <c r="T312" s="58" t="s">
        <v>79</v>
      </c>
      <c r="V312" s="58"/>
      <c r="W312" s="58"/>
      <c r="X312" s="58"/>
      <c r="Y312" s="58"/>
      <c r="AA312" s="2020" t="s">
        <v>2553</v>
      </c>
      <c r="AB312" s="2018"/>
      <c r="AC312" s="2018"/>
      <c r="AD312" s="2018"/>
      <c r="AE312" s="2018"/>
      <c r="AF312" s="2018"/>
      <c r="AG312" s="2018"/>
      <c r="AH312" s="2018"/>
      <c r="AI312" s="2018"/>
      <c r="AJ312" s="2018"/>
      <c r="AK312" s="2018"/>
      <c r="BN312" s="61"/>
    </row>
    <row r="313" spans="2:66" ht="12.75">
      <c r="B313" s="58" t="s">
        <v>92</v>
      </c>
      <c r="C313" s="58"/>
      <c r="D313" s="58"/>
      <c r="E313" s="58"/>
      <c r="F313" s="58"/>
      <c r="H313" s="2018"/>
      <c r="I313" s="2018"/>
      <c r="J313" s="2018"/>
      <c r="K313" s="2018"/>
      <c r="L313" s="2018"/>
      <c r="M313" s="2018"/>
      <c r="N313" s="2018"/>
      <c r="O313" s="2018"/>
      <c r="P313" s="2018"/>
      <c r="Q313" s="2018"/>
      <c r="R313" s="2018"/>
      <c r="S313" s="58"/>
      <c r="T313" s="58" t="s">
        <v>92</v>
      </c>
      <c r="V313" s="58"/>
      <c r="W313" s="58"/>
      <c r="X313" s="58"/>
      <c r="Y313" s="58"/>
      <c r="AA313" s="2020" t="s">
        <v>2554</v>
      </c>
      <c r="AB313" s="2018"/>
      <c r="AC313" s="2018"/>
      <c r="AD313" s="2018"/>
      <c r="AE313" s="2018"/>
      <c r="AF313" s="2018"/>
      <c r="AG313" s="2018"/>
      <c r="AH313" s="2018"/>
      <c r="AI313" s="2018"/>
      <c r="AJ313" s="2018"/>
      <c r="AK313" s="2018"/>
      <c r="BN313" s="61"/>
    </row>
    <row r="314" spans="2:66" ht="12.75">
      <c r="B314" s="58" t="s">
        <v>93</v>
      </c>
      <c r="C314" s="58"/>
      <c r="D314" s="58"/>
      <c r="E314" s="58"/>
      <c r="F314" s="58"/>
      <c r="G314" s="58"/>
      <c r="H314" s="2075"/>
      <c r="I314" s="2075"/>
      <c r="J314" s="2075"/>
      <c r="K314" s="2075"/>
      <c r="L314" s="2075"/>
      <c r="M314" s="2075"/>
      <c r="N314" s="7" t="s">
        <v>211</v>
      </c>
      <c r="O314" s="7"/>
      <c r="P314" s="2019"/>
      <c r="Q314" s="2019"/>
      <c r="R314" s="2019"/>
      <c r="S314" s="58"/>
      <c r="T314" s="58" t="s">
        <v>93</v>
      </c>
      <c r="V314" s="58"/>
      <c r="W314" s="58"/>
      <c r="X314" s="58"/>
      <c r="Y314" s="58"/>
      <c r="AA314" s="2075">
        <v>3108604550</v>
      </c>
      <c r="AB314" s="2075"/>
      <c r="AC314" s="2075"/>
      <c r="AD314" s="2075"/>
      <c r="AE314" s="2075"/>
      <c r="AF314" s="2075"/>
      <c r="AG314" s="7" t="s">
        <v>211</v>
      </c>
      <c r="AH314" s="7"/>
      <c r="AI314" s="2019"/>
      <c r="AJ314" s="2019"/>
      <c r="AK314" s="2019"/>
      <c r="BN314" s="61"/>
    </row>
    <row r="315" spans="2:66" ht="12.75">
      <c r="B315" s="58" t="s">
        <v>94</v>
      </c>
      <c r="C315" s="58"/>
      <c r="D315" s="58"/>
      <c r="E315" s="58"/>
      <c r="F315" s="58"/>
      <c r="G315" s="58"/>
      <c r="H315" s="2031"/>
      <c r="I315" s="2031"/>
      <c r="J315" s="2031"/>
      <c r="K315" s="2031"/>
      <c r="L315" s="2031"/>
      <c r="M315" s="2031"/>
      <c r="N315" s="60"/>
      <c r="O315" s="60"/>
      <c r="P315" s="62"/>
      <c r="Q315" s="62"/>
      <c r="R315" s="62"/>
      <c r="S315" s="58"/>
      <c r="T315" s="58" t="s">
        <v>94</v>
      </c>
      <c r="V315" s="58"/>
      <c r="W315" s="58"/>
      <c r="X315" s="58"/>
      <c r="Y315" s="58"/>
      <c r="AA315" s="2031"/>
      <c r="AB315" s="2031"/>
      <c r="AC315" s="2031"/>
      <c r="AD315" s="2031"/>
      <c r="AE315" s="2031"/>
      <c r="AF315" s="2031"/>
      <c r="AG315" s="60"/>
      <c r="AH315" s="60"/>
      <c r="AI315" s="62"/>
      <c r="AJ315" s="62"/>
      <c r="AK315" s="62"/>
      <c r="BN315" s="61"/>
    </row>
    <row r="316" spans="2:66" ht="12.75">
      <c r="B316" s="58" t="s">
        <v>80</v>
      </c>
      <c r="C316" s="58"/>
      <c r="D316" s="58"/>
      <c r="E316" s="58"/>
      <c r="F316" s="58"/>
      <c r="G316" s="58"/>
      <c r="H316" s="2018"/>
      <c r="I316" s="2018"/>
      <c r="J316" s="2018"/>
      <c r="K316" s="2018"/>
      <c r="L316" s="2018"/>
      <c r="M316" s="2018"/>
      <c r="N316" s="2022"/>
      <c r="O316" s="2022"/>
      <c r="P316" s="2022"/>
      <c r="Q316" s="2022"/>
      <c r="R316" s="2022"/>
      <c r="S316" s="58"/>
      <c r="T316" s="58" t="s">
        <v>80</v>
      </c>
      <c r="V316" s="58"/>
      <c r="W316" s="58"/>
      <c r="X316" s="58"/>
      <c r="Y316" s="58"/>
      <c r="AA316" s="2020" t="s">
        <v>2555</v>
      </c>
      <c r="AB316" s="2018"/>
      <c r="AC316" s="2018"/>
      <c r="AD316" s="2018"/>
      <c r="AE316" s="2018"/>
      <c r="AF316" s="2018"/>
      <c r="AG316" s="2022"/>
      <c r="AH316" s="2022"/>
      <c r="AI316" s="2022"/>
      <c r="AJ316" s="2022"/>
      <c r="AK316" s="2022"/>
      <c r="BN316" s="61"/>
    </row>
    <row r="317" spans="2:66" ht="12.75">
      <c r="BN317" s="61"/>
    </row>
    <row r="318" spans="2:66" ht="12.75">
      <c r="B318" s="7" t="s">
        <v>979</v>
      </c>
      <c r="C318" s="58"/>
      <c r="D318" s="58"/>
      <c r="E318" s="58"/>
      <c r="F318" s="58"/>
      <c r="H318" s="2022" t="s">
        <v>626</v>
      </c>
      <c r="I318" s="2022"/>
      <c r="J318" s="2022"/>
      <c r="K318" s="2022"/>
      <c r="L318" s="2022"/>
      <c r="M318" s="2022"/>
      <c r="N318" s="2022"/>
      <c r="O318" s="2022"/>
      <c r="P318" s="2022"/>
      <c r="Q318" s="2022"/>
      <c r="R318" s="2022"/>
      <c r="T318" s="58" t="s">
        <v>377</v>
      </c>
      <c r="V318" s="58"/>
      <c r="W318" s="58"/>
      <c r="X318" s="58"/>
      <c r="Y318" s="58"/>
      <c r="AA318" s="2022" t="s">
        <v>2558</v>
      </c>
      <c r="AB318" s="2022"/>
      <c r="AC318" s="2022"/>
      <c r="AD318" s="2022"/>
      <c r="AE318" s="2022"/>
      <c r="AF318" s="2022"/>
      <c r="AG318" s="2022"/>
      <c r="AH318" s="2022"/>
      <c r="AI318" s="2022"/>
      <c r="AJ318" s="2022"/>
      <c r="AK318" s="2022"/>
      <c r="BN318" s="61"/>
    </row>
    <row r="319" spans="2:66" ht="12.75">
      <c r="B319" s="58" t="s">
        <v>504</v>
      </c>
      <c r="C319" s="58"/>
      <c r="D319" s="58"/>
      <c r="E319" s="58"/>
      <c r="F319" s="58"/>
      <c r="H319" s="2018"/>
      <c r="I319" s="2018"/>
      <c r="J319" s="2018"/>
      <c r="K319" s="2018"/>
      <c r="L319" s="2018"/>
      <c r="M319" s="2018"/>
      <c r="N319" s="2018"/>
      <c r="O319" s="2018"/>
      <c r="P319" s="2018"/>
      <c r="Q319" s="2018"/>
      <c r="R319" s="2018"/>
      <c r="T319" s="58" t="s">
        <v>504</v>
      </c>
      <c r="V319" s="58"/>
      <c r="W319" s="58"/>
      <c r="X319" s="58"/>
      <c r="Y319" s="58"/>
      <c r="AA319" s="2018" t="s">
        <v>2557</v>
      </c>
      <c r="AB319" s="2018"/>
      <c r="AC319" s="2018"/>
      <c r="AD319" s="2018"/>
      <c r="AE319" s="2018"/>
      <c r="AF319" s="2018"/>
      <c r="AG319" s="2018"/>
      <c r="AH319" s="2018"/>
      <c r="AI319" s="2018"/>
      <c r="AJ319" s="2018"/>
      <c r="AK319" s="2018"/>
      <c r="BN319" s="61"/>
    </row>
    <row r="320" spans="2:66" ht="12.75">
      <c r="B320" s="58" t="s">
        <v>505</v>
      </c>
      <c r="C320" s="58"/>
      <c r="D320" s="58"/>
      <c r="E320" s="58"/>
      <c r="F320" s="58"/>
      <c r="H320" s="2018"/>
      <c r="I320" s="2018"/>
      <c r="J320" s="2018"/>
      <c r="K320" s="2018"/>
      <c r="L320" s="2018"/>
      <c r="M320" s="2018"/>
      <c r="N320" s="2018"/>
      <c r="O320" s="2018"/>
      <c r="P320" s="2018"/>
      <c r="Q320" s="2018"/>
      <c r="R320" s="2018"/>
      <c r="T320" s="58" t="s">
        <v>79</v>
      </c>
      <c r="V320" s="58"/>
      <c r="W320" s="58"/>
      <c r="X320" s="58"/>
      <c r="Y320" s="58"/>
      <c r="AA320" s="2018" t="s">
        <v>2480</v>
      </c>
      <c r="AB320" s="2018"/>
      <c r="AC320" s="2018"/>
      <c r="AD320" s="2018"/>
      <c r="AE320" s="2018"/>
      <c r="AF320" s="2018"/>
      <c r="AG320" s="2018"/>
      <c r="AH320" s="2018"/>
      <c r="AI320" s="2018"/>
      <c r="AJ320" s="2018"/>
      <c r="AK320" s="2018"/>
      <c r="BN320" s="61"/>
    </row>
    <row r="321" spans="1:66" ht="12.75" customHeight="1">
      <c r="A321" s="39"/>
      <c r="B321" s="58" t="s">
        <v>92</v>
      </c>
      <c r="C321" s="58"/>
      <c r="D321" s="58"/>
      <c r="E321" s="58"/>
      <c r="F321" s="58"/>
      <c r="H321" s="2018"/>
      <c r="I321" s="2018"/>
      <c r="J321" s="2018"/>
      <c r="K321" s="2018"/>
      <c r="L321" s="2018"/>
      <c r="M321" s="2018"/>
      <c r="N321" s="2018"/>
      <c r="O321" s="2018"/>
      <c r="P321" s="2018"/>
      <c r="Q321" s="2018"/>
      <c r="R321" s="2018"/>
      <c r="T321" s="58" t="s">
        <v>92</v>
      </c>
      <c r="V321" s="58"/>
      <c r="W321" s="58"/>
      <c r="X321" s="58"/>
      <c r="Y321" s="58"/>
      <c r="AA321" s="2022" t="s">
        <v>2556</v>
      </c>
      <c r="AB321" s="2022"/>
      <c r="AC321" s="2022"/>
      <c r="AD321" s="2022"/>
      <c r="AE321" s="2022"/>
      <c r="AF321" s="2022"/>
      <c r="AG321" s="2022"/>
      <c r="AH321" s="2022"/>
      <c r="AI321" s="2022"/>
      <c r="AJ321" s="2022"/>
      <c r="AK321" s="2022"/>
      <c r="AL321" s="39"/>
      <c r="BN321" s="61"/>
    </row>
    <row r="322" spans="1:66" ht="12.75">
      <c r="A322" s="39"/>
      <c r="B322" s="58" t="s">
        <v>93</v>
      </c>
      <c r="C322" s="58"/>
      <c r="D322" s="58"/>
      <c r="E322" s="58"/>
      <c r="F322" s="58"/>
      <c r="G322" s="58"/>
      <c r="H322" s="2075"/>
      <c r="I322" s="2075"/>
      <c r="J322" s="2075"/>
      <c r="K322" s="2075"/>
      <c r="L322" s="2075"/>
      <c r="M322" s="2075"/>
      <c r="N322" s="7" t="s">
        <v>211</v>
      </c>
      <c r="O322" s="7"/>
      <c r="P322" s="2019"/>
      <c r="Q322" s="2019"/>
      <c r="R322" s="2019"/>
      <c r="S322" s="58"/>
      <c r="T322" s="58" t="s">
        <v>93</v>
      </c>
      <c r="V322" s="58"/>
      <c r="W322" s="58"/>
      <c r="X322" s="58"/>
      <c r="Y322" s="58"/>
      <c r="AA322" s="2075">
        <v>9164440288</v>
      </c>
      <c r="AB322" s="2075"/>
      <c r="AC322" s="2075"/>
      <c r="AD322" s="2075"/>
      <c r="AE322" s="2075"/>
      <c r="AF322" s="2075"/>
      <c r="AG322" s="7" t="s">
        <v>211</v>
      </c>
      <c r="AH322" s="7"/>
      <c r="AI322" s="2019"/>
      <c r="AJ322" s="2019"/>
      <c r="AK322" s="2019"/>
      <c r="AL322" s="39"/>
      <c r="BN322" s="61"/>
    </row>
    <row r="323" spans="1:66" ht="12.75" customHeight="1">
      <c r="A323" s="39"/>
      <c r="B323" s="58" t="s">
        <v>94</v>
      </c>
      <c r="C323" s="58"/>
      <c r="D323" s="58"/>
      <c r="E323" s="58"/>
      <c r="F323" s="58"/>
      <c r="G323" s="58"/>
      <c r="H323" s="2031"/>
      <c r="I323" s="2031"/>
      <c r="J323" s="2031"/>
      <c r="K323" s="2031"/>
      <c r="L323" s="2031"/>
      <c r="M323" s="2031"/>
      <c r="N323" s="60"/>
      <c r="O323" s="60"/>
      <c r="P323" s="62"/>
      <c r="Q323" s="62"/>
      <c r="R323" s="62"/>
      <c r="S323" s="58"/>
      <c r="T323" s="58" t="s">
        <v>94</v>
      </c>
      <c r="V323" s="58"/>
      <c r="W323" s="58"/>
      <c r="X323" s="58"/>
      <c r="Y323" s="58"/>
      <c r="AA323" s="2031">
        <v>9164443408</v>
      </c>
      <c r="AB323" s="2031"/>
      <c r="AC323" s="2031"/>
      <c r="AD323" s="2031"/>
      <c r="AE323" s="2031"/>
      <c r="AF323" s="2031"/>
      <c r="AG323" s="60"/>
      <c r="AH323" s="60"/>
      <c r="AI323" s="62"/>
      <c r="AJ323" s="62"/>
      <c r="AK323" s="62"/>
      <c r="AL323" s="39"/>
    </row>
    <row r="324" spans="1:66" ht="12.75">
      <c r="A324" s="39"/>
      <c r="B324" s="58" t="s">
        <v>80</v>
      </c>
      <c r="C324" s="58"/>
      <c r="D324" s="58"/>
      <c r="E324" s="58"/>
      <c r="F324" s="58"/>
      <c r="G324" s="58"/>
      <c r="H324" s="2018"/>
      <c r="I324" s="2018"/>
      <c r="J324" s="2018"/>
      <c r="K324" s="2018"/>
      <c r="L324" s="2018"/>
      <c r="M324" s="2018"/>
      <c r="N324" s="2022"/>
      <c r="O324" s="2022"/>
      <c r="P324" s="2022"/>
      <c r="Q324" s="2022"/>
      <c r="R324" s="2022"/>
      <c r="S324" s="58"/>
      <c r="T324" s="58" t="s">
        <v>80</v>
      </c>
      <c r="V324" s="58"/>
      <c r="W324" s="58"/>
      <c r="X324" s="58"/>
      <c r="Y324" s="58"/>
      <c r="AA324" s="2018" t="s">
        <v>2559</v>
      </c>
      <c r="AB324" s="2018"/>
      <c r="AC324" s="2018"/>
      <c r="AD324" s="2018"/>
      <c r="AE324" s="2018"/>
      <c r="AF324" s="2018"/>
      <c r="AG324" s="2022"/>
      <c r="AH324" s="2022"/>
      <c r="AI324" s="2022"/>
      <c r="AJ324" s="2022"/>
      <c r="AK324" s="202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22" t="s">
        <v>626</v>
      </c>
      <c r="I326" s="2022"/>
      <c r="J326" s="2022"/>
      <c r="K326" s="2022"/>
      <c r="L326" s="2022"/>
      <c r="M326" s="2022"/>
      <c r="N326" s="2022"/>
      <c r="O326" s="2022"/>
      <c r="P326" s="2022"/>
      <c r="Q326" s="2022"/>
      <c r="R326" s="2022"/>
      <c r="T326" s="58" t="s">
        <v>379</v>
      </c>
      <c r="V326" s="58"/>
      <c r="W326" s="58"/>
      <c r="X326" s="58"/>
      <c r="Y326" s="58"/>
      <c r="AA326" s="2022" t="s">
        <v>626</v>
      </c>
      <c r="AB326" s="2022"/>
      <c r="AC326" s="2022"/>
      <c r="AD326" s="2022"/>
      <c r="AE326" s="2022"/>
      <c r="AF326" s="2022"/>
      <c r="AG326" s="2022"/>
      <c r="AH326" s="2022"/>
      <c r="AI326" s="2022"/>
      <c r="AJ326" s="2022"/>
      <c r="AK326" s="2022"/>
      <c r="AL326" s="39"/>
    </row>
    <row r="327" spans="1:66" ht="12.75">
      <c r="A327" s="39"/>
      <c r="B327" s="58" t="s">
        <v>504</v>
      </c>
      <c r="C327" s="58"/>
      <c r="D327" s="58"/>
      <c r="E327" s="58"/>
      <c r="F327" s="58"/>
      <c r="H327" s="2018"/>
      <c r="I327" s="2018"/>
      <c r="J327" s="2018"/>
      <c r="K327" s="2018"/>
      <c r="L327" s="2018"/>
      <c r="M327" s="2018"/>
      <c r="N327" s="2018"/>
      <c r="O327" s="2018"/>
      <c r="P327" s="2018"/>
      <c r="Q327" s="2018"/>
      <c r="R327" s="2018"/>
      <c r="T327" s="58" t="s">
        <v>504</v>
      </c>
      <c r="V327" s="58"/>
      <c r="W327" s="58"/>
      <c r="X327" s="58"/>
      <c r="Y327" s="58"/>
      <c r="AA327" s="2018"/>
      <c r="AB327" s="2018"/>
      <c r="AC327" s="2018"/>
      <c r="AD327" s="2018"/>
      <c r="AE327" s="2018"/>
      <c r="AF327" s="2018"/>
      <c r="AG327" s="2018"/>
      <c r="AH327" s="2018"/>
      <c r="AI327" s="2018"/>
      <c r="AJ327" s="2018"/>
      <c r="AK327" s="2018"/>
      <c r="AL327" s="39"/>
    </row>
    <row r="328" spans="1:66" ht="12.75">
      <c r="A328" s="39"/>
      <c r="B328" s="58" t="s">
        <v>505</v>
      </c>
      <c r="C328" s="58"/>
      <c r="D328" s="58"/>
      <c r="E328" s="58"/>
      <c r="F328" s="58"/>
      <c r="H328" s="2018"/>
      <c r="I328" s="2018"/>
      <c r="J328" s="2018"/>
      <c r="K328" s="2018"/>
      <c r="L328" s="2018"/>
      <c r="M328" s="2018"/>
      <c r="N328" s="2018"/>
      <c r="O328" s="2018"/>
      <c r="P328" s="2018"/>
      <c r="Q328" s="2018"/>
      <c r="R328" s="2018"/>
      <c r="T328" s="58" t="s">
        <v>79</v>
      </c>
      <c r="V328" s="58"/>
      <c r="W328" s="58"/>
      <c r="X328" s="58"/>
      <c r="Y328" s="58"/>
      <c r="AA328" s="2018"/>
      <c r="AB328" s="2018"/>
      <c r="AC328" s="2018"/>
      <c r="AD328" s="2018"/>
      <c r="AE328" s="2018"/>
      <c r="AF328" s="2018"/>
      <c r="AG328" s="2018"/>
      <c r="AH328" s="2018"/>
      <c r="AI328" s="2018"/>
      <c r="AJ328" s="2018"/>
      <c r="AK328" s="2018"/>
      <c r="AL328" s="39"/>
    </row>
    <row r="329" spans="1:66" ht="12.75">
      <c r="A329" s="39"/>
      <c r="B329" s="58" t="s">
        <v>92</v>
      </c>
      <c r="C329" s="58"/>
      <c r="D329" s="58"/>
      <c r="E329" s="58"/>
      <c r="F329" s="58"/>
      <c r="H329" s="2018"/>
      <c r="I329" s="2018"/>
      <c r="J329" s="2018"/>
      <c r="K329" s="2018"/>
      <c r="L329" s="2018"/>
      <c r="M329" s="2018"/>
      <c r="N329" s="2018"/>
      <c r="O329" s="2018"/>
      <c r="P329" s="2018"/>
      <c r="Q329" s="2018"/>
      <c r="R329" s="2018"/>
      <c r="T329" s="58" t="s">
        <v>92</v>
      </c>
      <c r="V329" s="58"/>
      <c r="W329" s="58"/>
      <c r="X329" s="58"/>
      <c r="Y329" s="58"/>
      <c r="AA329" s="2018"/>
      <c r="AB329" s="2018"/>
      <c r="AC329" s="2018"/>
      <c r="AD329" s="2018"/>
      <c r="AE329" s="2018"/>
      <c r="AF329" s="2018"/>
      <c r="AG329" s="2018"/>
      <c r="AH329" s="2018"/>
      <c r="AI329" s="2018"/>
      <c r="AJ329" s="2018"/>
      <c r="AK329" s="2018"/>
      <c r="AL329" s="39"/>
    </row>
    <row r="330" spans="1:66" ht="12.75" customHeight="1">
      <c r="A330" s="39"/>
      <c r="B330" s="58" t="s">
        <v>93</v>
      </c>
      <c r="C330" s="58"/>
      <c r="D330" s="58"/>
      <c r="E330" s="58"/>
      <c r="F330" s="58"/>
      <c r="G330" s="58"/>
      <c r="H330" s="2075"/>
      <c r="I330" s="2075"/>
      <c r="J330" s="2075"/>
      <c r="K330" s="2075"/>
      <c r="L330" s="2075"/>
      <c r="M330" s="2075"/>
      <c r="N330" s="7" t="s">
        <v>211</v>
      </c>
      <c r="O330" s="7"/>
      <c r="P330" s="2019"/>
      <c r="Q330" s="2019"/>
      <c r="R330" s="2019"/>
      <c r="S330" s="58"/>
      <c r="T330" s="58" t="s">
        <v>93</v>
      </c>
      <c r="V330" s="58"/>
      <c r="W330" s="58"/>
      <c r="X330" s="58"/>
      <c r="Y330" s="58"/>
      <c r="AA330" s="2075"/>
      <c r="AB330" s="2075"/>
      <c r="AC330" s="2075"/>
      <c r="AD330" s="2075"/>
      <c r="AE330" s="2075"/>
      <c r="AF330" s="2075"/>
      <c r="AG330" s="7" t="s">
        <v>211</v>
      </c>
      <c r="AH330" s="7"/>
      <c r="AI330" s="2019"/>
      <c r="AJ330" s="2019"/>
      <c r="AK330" s="2019"/>
      <c r="AL330" s="39"/>
    </row>
    <row r="331" spans="1:66" ht="12.75">
      <c r="A331" s="39"/>
      <c r="B331" s="58" t="s">
        <v>94</v>
      </c>
      <c r="C331" s="58"/>
      <c r="D331" s="58"/>
      <c r="E331" s="58"/>
      <c r="F331" s="58"/>
      <c r="G331" s="58"/>
      <c r="H331" s="2031"/>
      <c r="I331" s="2031"/>
      <c r="J331" s="2031"/>
      <c r="K331" s="2031"/>
      <c r="L331" s="2031"/>
      <c r="M331" s="2031"/>
      <c r="N331" s="60"/>
      <c r="O331" s="60"/>
      <c r="P331" s="62"/>
      <c r="Q331" s="62"/>
      <c r="R331" s="62"/>
      <c r="S331" s="58"/>
      <c r="T331" s="58" t="s">
        <v>94</v>
      </c>
      <c r="V331" s="58"/>
      <c r="W331" s="58"/>
      <c r="X331" s="58"/>
      <c r="Y331" s="58"/>
      <c r="AA331" s="2031"/>
      <c r="AB331" s="2031"/>
      <c r="AC331" s="2031"/>
      <c r="AD331" s="2031"/>
      <c r="AE331" s="2031"/>
      <c r="AF331" s="2031"/>
      <c r="AG331" s="60"/>
      <c r="AH331" s="60"/>
      <c r="AI331" s="62"/>
      <c r="AJ331" s="62"/>
      <c r="AK331" s="62"/>
      <c r="AL331" s="39"/>
    </row>
    <row r="332" spans="1:66" ht="12.75">
      <c r="A332" s="39"/>
      <c r="B332" s="58" t="s">
        <v>80</v>
      </c>
      <c r="C332" s="58"/>
      <c r="D332" s="58"/>
      <c r="E332" s="58"/>
      <c r="F332" s="58"/>
      <c r="G332" s="58"/>
      <c r="H332" s="2018"/>
      <c r="I332" s="2018"/>
      <c r="J332" s="2018"/>
      <c r="K332" s="2018"/>
      <c r="L332" s="2018"/>
      <c r="M332" s="2018"/>
      <c r="N332" s="2022"/>
      <c r="O332" s="2022"/>
      <c r="P332" s="2022"/>
      <c r="Q332" s="2022"/>
      <c r="R332" s="2022"/>
      <c r="S332" s="58"/>
      <c r="T332" s="58" t="s">
        <v>80</v>
      </c>
      <c r="V332" s="58"/>
      <c r="W332" s="58"/>
      <c r="X332" s="58"/>
      <c r="Y332" s="58"/>
      <c r="AA332" s="2018"/>
      <c r="AB332" s="2018"/>
      <c r="AC332" s="2018"/>
      <c r="AD332" s="2018"/>
      <c r="AE332" s="2018"/>
      <c r="AF332" s="2018"/>
      <c r="AG332" s="2022"/>
      <c r="AH332" s="2022"/>
      <c r="AI332" s="2022"/>
      <c r="AJ332" s="2022"/>
      <c r="AK332" s="202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1" t="s">
        <v>2493</v>
      </c>
      <c r="I334" s="2022"/>
      <c r="J334" s="2022"/>
      <c r="K334" s="2022"/>
      <c r="L334" s="2022"/>
      <c r="M334" s="2022"/>
      <c r="N334" s="2022"/>
      <c r="O334" s="2022"/>
      <c r="P334" s="2022"/>
      <c r="Q334" s="2022"/>
      <c r="R334" s="2022"/>
      <c r="T334" s="406" t="s">
        <v>954</v>
      </c>
      <c r="V334" s="58"/>
      <c r="W334" s="58"/>
      <c r="X334" s="58"/>
      <c r="Y334" s="58"/>
      <c r="AA334" s="2021" t="s">
        <v>2560</v>
      </c>
      <c r="AB334" s="2022"/>
      <c r="AC334" s="2022"/>
      <c r="AD334" s="2022"/>
      <c r="AE334" s="2022"/>
      <c r="AF334" s="2022"/>
      <c r="AG334" s="2022"/>
      <c r="AH334" s="2022"/>
      <c r="AI334" s="2022"/>
      <c r="AJ334" s="2022"/>
      <c r="AK334" s="2022"/>
      <c r="AL334" s="39"/>
    </row>
    <row r="335" spans="1:66" ht="12.75" customHeight="1">
      <c r="B335" s="58" t="s">
        <v>504</v>
      </c>
      <c r="C335" s="240"/>
      <c r="D335" s="240"/>
      <c r="E335" s="240"/>
      <c r="F335" s="240"/>
      <c r="G335" s="3"/>
      <c r="H335" s="2020" t="s">
        <v>2494</v>
      </c>
      <c r="I335" s="2018"/>
      <c r="J335" s="2018"/>
      <c r="K335" s="2018"/>
      <c r="L335" s="2018"/>
      <c r="M335" s="2018"/>
      <c r="N335" s="2018"/>
      <c r="O335" s="2018"/>
      <c r="P335" s="2018"/>
      <c r="Q335" s="2018"/>
      <c r="R335" s="2018"/>
      <c r="T335" s="58" t="s">
        <v>504</v>
      </c>
      <c r="V335" s="58"/>
      <c r="W335" s="58"/>
      <c r="X335" s="58"/>
      <c r="Y335" s="58"/>
      <c r="AA335" s="2020" t="s">
        <v>2475</v>
      </c>
      <c r="AB335" s="2018"/>
      <c r="AC335" s="2018"/>
      <c r="AD335" s="2018"/>
      <c r="AE335" s="2018"/>
      <c r="AF335" s="2018"/>
      <c r="AG335" s="2018"/>
      <c r="AH335" s="2018"/>
      <c r="AI335" s="2018"/>
      <c r="AJ335" s="2018"/>
      <c r="AK335" s="2018"/>
      <c r="AL335" s="39"/>
    </row>
    <row r="336" spans="1:66" ht="12.75" customHeight="1">
      <c r="B336" s="58" t="s">
        <v>79</v>
      </c>
      <c r="C336" s="240"/>
      <c r="D336" s="240"/>
      <c r="E336" s="240"/>
      <c r="F336" s="240"/>
      <c r="G336" s="3"/>
      <c r="H336" s="2020" t="s">
        <v>2495</v>
      </c>
      <c r="I336" s="2018"/>
      <c r="J336" s="2018"/>
      <c r="K336" s="2018"/>
      <c r="L336" s="2018"/>
      <c r="M336" s="2018"/>
      <c r="N336" s="2018"/>
      <c r="O336" s="2018"/>
      <c r="P336" s="2018"/>
      <c r="Q336" s="2018"/>
      <c r="R336" s="2018"/>
      <c r="T336" s="58" t="s">
        <v>79</v>
      </c>
      <c r="V336" s="58"/>
      <c r="W336" s="58"/>
      <c r="X336" s="58"/>
      <c r="Y336" s="58"/>
      <c r="AA336" s="2020" t="s">
        <v>2480</v>
      </c>
      <c r="AB336" s="2018"/>
      <c r="AC336" s="2018"/>
      <c r="AD336" s="2018"/>
      <c r="AE336" s="2018"/>
      <c r="AF336" s="2018"/>
      <c r="AG336" s="2018"/>
      <c r="AH336" s="2018"/>
      <c r="AI336" s="2018"/>
      <c r="AJ336" s="2018"/>
      <c r="AK336" s="2018"/>
      <c r="AL336" s="39"/>
    </row>
    <row r="337" spans="1:66" ht="12.75" customHeight="1">
      <c r="A337" s="39"/>
      <c r="B337" s="58" t="s">
        <v>92</v>
      </c>
      <c r="C337" s="240"/>
      <c r="D337" s="240"/>
      <c r="E337" s="240"/>
      <c r="F337" s="240"/>
      <c r="G337" s="240"/>
      <c r="H337" s="2020" t="s">
        <v>2496</v>
      </c>
      <c r="I337" s="2018"/>
      <c r="J337" s="2018"/>
      <c r="K337" s="2018"/>
      <c r="L337" s="2018"/>
      <c r="M337" s="2018"/>
      <c r="N337" s="2018"/>
      <c r="O337" s="2018"/>
      <c r="P337" s="2018"/>
      <c r="Q337" s="2018"/>
      <c r="R337" s="2018"/>
      <c r="T337" s="58" t="s">
        <v>92</v>
      </c>
      <c r="V337" s="58"/>
      <c r="W337" s="58"/>
      <c r="X337" s="58"/>
      <c r="Y337" s="58"/>
      <c r="AA337" s="2020" t="s">
        <v>2500</v>
      </c>
      <c r="AB337" s="2018"/>
      <c r="AC337" s="2018"/>
      <c r="AD337" s="2018"/>
      <c r="AE337" s="2018"/>
      <c r="AF337" s="2018"/>
      <c r="AG337" s="2018"/>
      <c r="AH337" s="2018"/>
      <c r="AI337" s="2018"/>
      <c r="AJ337" s="2018"/>
      <c r="AK337" s="2018"/>
      <c r="AL337" s="39"/>
    </row>
    <row r="338" spans="1:66" ht="12.75" customHeight="1">
      <c r="A338" s="39"/>
      <c r="B338" s="58" t="s">
        <v>93</v>
      </c>
      <c r="C338" s="240"/>
      <c r="D338" s="240"/>
      <c r="E338" s="240"/>
      <c r="F338" s="240"/>
      <c r="G338" s="240"/>
      <c r="H338" s="2440" t="s">
        <v>2497</v>
      </c>
      <c r="I338" s="2075"/>
      <c r="J338" s="2075"/>
      <c r="K338" s="2075"/>
      <c r="L338" s="2075"/>
      <c r="M338" s="2075"/>
      <c r="N338" s="7" t="s">
        <v>211</v>
      </c>
      <c r="O338" s="7"/>
      <c r="P338" s="2019"/>
      <c r="Q338" s="2019"/>
      <c r="R338" s="2019"/>
      <c r="S338" s="58"/>
      <c r="T338" s="58" t="s">
        <v>93</v>
      </c>
      <c r="V338" s="58"/>
      <c r="W338" s="58"/>
      <c r="X338" s="58"/>
      <c r="Y338" s="58"/>
      <c r="AA338" s="2440" t="s">
        <v>2501</v>
      </c>
      <c r="AB338" s="2075"/>
      <c r="AC338" s="2075"/>
      <c r="AD338" s="2075"/>
      <c r="AE338" s="2075"/>
      <c r="AF338" s="2075"/>
      <c r="AG338" s="7" t="s">
        <v>211</v>
      </c>
      <c r="AH338" s="7"/>
      <c r="AI338" s="2019"/>
      <c r="AJ338" s="2019"/>
      <c r="AK338" s="2019"/>
      <c r="AL338" s="39"/>
    </row>
    <row r="339" spans="1:66" ht="12.75">
      <c r="A339" s="39"/>
      <c r="B339" s="58" t="s">
        <v>94</v>
      </c>
      <c r="C339" s="240"/>
      <c r="D339" s="240"/>
      <c r="E339" s="240"/>
      <c r="F339" s="240"/>
      <c r="G339" s="240"/>
      <c r="H339" s="2031"/>
      <c r="I339" s="2031"/>
      <c r="J339" s="2031"/>
      <c r="K339" s="2031"/>
      <c r="L339" s="2031"/>
      <c r="M339" s="2031"/>
      <c r="N339" s="60"/>
      <c r="O339" s="60"/>
      <c r="P339" s="62"/>
      <c r="Q339" s="62"/>
      <c r="R339" s="62"/>
      <c r="S339" s="58"/>
      <c r="T339" s="58" t="s">
        <v>94</v>
      </c>
      <c r="V339" s="58"/>
      <c r="W339" s="58"/>
      <c r="X339" s="58"/>
      <c r="Y339" s="58"/>
      <c r="AA339" s="2031"/>
      <c r="AB339" s="2031"/>
      <c r="AC339" s="2031"/>
      <c r="AD339" s="2031"/>
      <c r="AE339" s="2031"/>
      <c r="AF339" s="2031"/>
      <c r="AG339" s="60"/>
      <c r="AH339" s="60"/>
      <c r="AI339" s="62"/>
      <c r="AJ339" s="62"/>
      <c r="AK339" s="62"/>
      <c r="AL339" s="39"/>
    </row>
    <row r="340" spans="1:66" ht="12.75">
      <c r="A340" s="39"/>
      <c r="B340" s="58" t="s">
        <v>80</v>
      </c>
      <c r="C340" s="237"/>
      <c r="D340" s="237"/>
      <c r="E340" s="237"/>
      <c r="F340" s="237"/>
      <c r="G340" s="237"/>
      <c r="H340" s="2020" t="s">
        <v>2498</v>
      </c>
      <c r="I340" s="2018"/>
      <c r="J340" s="2018"/>
      <c r="K340" s="2018"/>
      <c r="L340" s="2018"/>
      <c r="M340" s="2018"/>
      <c r="N340" s="2022"/>
      <c r="O340" s="2022"/>
      <c r="P340" s="2022"/>
      <c r="Q340" s="2022"/>
      <c r="R340" s="2022"/>
      <c r="S340" s="58"/>
      <c r="T340" s="58" t="s">
        <v>80</v>
      </c>
      <c r="V340" s="58"/>
      <c r="W340" s="58"/>
      <c r="X340" s="58"/>
      <c r="Y340" s="58"/>
      <c r="AA340" s="2020" t="s">
        <v>2502</v>
      </c>
      <c r="AB340" s="2018"/>
      <c r="AC340" s="2018"/>
      <c r="AD340" s="2018"/>
      <c r="AE340" s="2018"/>
      <c r="AF340" s="2018"/>
      <c r="AG340" s="2022"/>
      <c r="AH340" s="2022"/>
      <c r="AI340" s="2022"/>
      <c r="AJ340" s="2022"/>
      <c r="AK340" s="202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21" t="s">
        <v>626</v>
      </c>
      <c r="Q342" s="2022"/>
      <c r="R342" s="2022"/>
      <c r="S342" s="2022"/>
      <c r="T342" s="2022"/>
      <c r="U342" s="2022"/>
      <c r="V342" s="2022"/>
      <c r="W342" s="2022"/>
      <c r="X342" s="2022"/>
      <c r="Y342" s="2022"/>
      <c r="Z342" s="2022"/>
      <c r="AA342" s="2022"/>
      <c r="AB342" s="2022"/>
      <c r="AC342" s="2022"/>
      <c r="AD342" s="2022"/>
      <c r="AE342" s="2022"/>
      <c r="AF342" s="88"/>
      <c r="AG342" s="88"/>
      <c r="AH342" s="88"/>
      <c r="AI342" s="88"/>
      <c r="AJ342" s="88"/>
      <c r="AK342" s="88"/>
      <c r="AL342" s="39"/>
      <c r="BN342" s="12" t="s">
        <v>626</v>
      </c>
    </row>
    <row r="343" spans="1:66" ht="12.75">
      <c r="A343" s="3"/>
      <c r="B343" s="60"/>
      <c r="C343" s="60"/>
      <c r="D343" s="60"/>
      <c r="E343" s="60"/>
      <c r="F343" s="60"/>
      <c r="G343" s="3"/>
      <c r="H343" s="88"/>
      <c r="I343" s="7" t="s">
        <v>504</v>
      </c>
      <c r="P343" s="2018"/>
      <c r="Q343" s="2018"/>
      <c r="R343" s="2018"/>
      <c r="S343" s="2018"/>
      <c r="T343" s="2018"/>
      <c r="U343" s="2018"/>
      <c r="V343" s="2018"/>
      <c r="W343" s="2018"/>
      <c r="X343" s="2018"/>
      <c r="Y343" s="2018"/>
      <c r="Z343" s="2018"/>
      <c r="AA343" s="2018"/>
      <c r="AB343" s="2018"/>
      <c r="AC343" s="2018"/>
      <c r="AD343" s="2018"/>
      <c r="AE343" s="2018"/>
      <c r="AF343" s="88"/>
      <c r="AG343" s="88"/>
      <c r="AH343" s="88"/>
      <c r="AI343" s="88"/>
      <c r="AJ343" s="88"/>
      <c r="AK343" s="88"/>
      <c r="AL343" s="39"/>
      <c r="BN343" s="12" t="s">
        <v>706</v>
      </c>
    </row>
    <row r="344" spans="1:66" ht="12.75">
      <c r="A344" s="3"/>
      <c r="B344" s="60"/>
      <c r="C344" s="60"/>
      <c r="D344" s="60"/>
      <c r="E344" s="60"/>
      <c r="F344" s="60"/>
      <c r="G344" s="3"/>
      <c r="H344" s="88"/>
      <c r="I344" s="7" t="s">
        <v>79</v>
      </c>
      <c r="P344" s="2018"/>
      <c r="Q344" s="2018"/>
      <c r="R344" s="2018"/>
      <c r="S344" s="2018"/>
      <c r="T344" s="2018"/>
      <c r="U344" s="2018"/>
      <c r="V344" s="2018"/>
      <c r="W344" s="2018"/>
      <c r="X344" s="2018"/>
      <c r="Y344" s="2018"/>
      <c r="Z344" s="2018"/>
      <c r="AA344" s="2018"/>
      <c r="AB344" s="2018"/>
      <c r="AC344" s="2018"/>
      <c r="AD344" s="2018"/>
      <c r="AE344" s="2018"/>
      <c r="AF344" s="88"/>
      <c r="AG344" s="88"/>
      <c r="AH344" s="88"/>
      <c r="AI344" s="88"/>
      <c r="AJ344" s="88"/>
      <c r="AK344" s="88"/>
      <c r="AL344" s="39"/>
      <c r="BN344" s="12" t="s">
        <v>578</v>
      </c>
    </row>
    <row r="345" spans="1:66" ht="12.75">
      <c r="A345" s="3"/>
      <c r="B345" s="60"/>
      <c r="C345" s="60"/>
      <c r="D345" s="60"/>
      <c r="E345" s="60"/>
      <c r="F345" s="60"/>
      <c r="G345" s="60"/>
      <c r="H345" s="88"/>
      <c r="I345" s="7" t="s">
        <v>92</v>
      </c>
      <c r="P345" s="2018"/>
      <c r="Q345" s="2018"/>
      <c r="R345" s="2018"/>
      <c r="S345" s="2018"/>
      <c r="T345" s="2018"/>
      <c r="U345" s="2018"/>
      <c r="V345" s="2018"/>
      <c r="W345" s="2018"/>
      <c r="X345" s="2018"/>
      <c r="Y345" s="2018"/>
      <c r="Z345" s="2018"/>
      <c r="AA345" s="2018"/>
      <c r="AB345" s="2018"/>
      <c r="AC345" s="2018"/>
      <c r="AD345" s="2018"/>
      <c r="AE345" s="2018"/>
      <c r="AF345" s="88"/>
      <c r="AG345" s="88"/>
      <c r="AH345" s="88"/>
      <c r="AI345" s="88"/>
      <c r="AJ345" s="88"/>
      <c r="AK345" s="88"/>
      <c r="AL345" s="39"/>
    </row>
    <row r="346" spans="1:66" ht="12.75">
      <c r="A346" s="3"/>
      <c r="B346" s="60"/>
      <c r="C346" s="60"/>
      <c r="D346" s="60"/>
      <c r="E346" s="60"/>
      <c r="F346" s="60"/>
      <c r="G346" s="60"/>
      <c r="H346" s="466"/>
      <c r="I346" s="7" t="s">
        <v>93</v>
      </c>
      <c r="P346" s="2031"/>
      <c r="Q346" s="2031"/>
      <c r="R346" s="2031"/>
      <c r="S346" s="2031"/>
      <c r="T346" s="2031"/>
      <c r="U346" s="2031"/>
      <c r="V346" s="2031"/>
      <c r="W346" s="2031"/>
      <c r="X346" s="2031"/>
      <c r="Y346" s="2031"/>
      <c r="Z346" s="2031"/>
      <c r="AA346" s="7" t="s">
        <v>211</v>
      </c>
      <c r="AB346" s="7"/>
      <c r="AC346" s="2024"/>
      <c r="AD346" s="2024"/>
      <c r="AE346" s="2024"/>
      <c r="AF346" s="466"/>
      <c r="AG346" s="60"/>
      <c r="AH346" s="60"/>
      <c r="AI346" s="407"/>
      <c r="AJ346" s="407"/>
      <c r="AK346" s="407"/>
      <c r="AL346" s="39"/>
    </row>
    <row r="347" spans="1:66" ht="12.75" customHeight="1">
      <c r="A347" s="3"/>
      <c r="B347" s="60"/>
      <c r="C347" s="60"/>
      <c r="D347" s="60"/>
      <c r="E347" s="60"/>
      <c r="F347" s="60"/>
      <c r="G347" s="60"/>
      <c r="H347" s="466"/>
      <c r="I347" s="7" t="s">
        <v>94</v>
      </c>
      <c r="P347" s="2031"/>
      <c r="Q347" s="2031"/>
      <c r="R347" s="2031"/>
      <c r="S347" s="2031"/>
      <c r="T347" s="2031"/>
      <c r="U347" s="2031"/>
      <c r="V347" s="2031"/>
      <c r="W347" s="2031"/>
      <c r="X347" s="2031"/>
      <c r="Y347" s="2031"/>
      <c r="Z347" s="2031"/>
      <c r="AF347" s="466"/>
      <c r="AG347" s="60"/>
      <c r="AH347" s="60"/>
      <c r="AI347" s="62"/>
      <c r="AJ347" s="62"/>
      <c r="AK347" s="62"/>
      <c r="AL347" s="39"/>
    </row>
    <row r="348" spans="1:66" ht="12.75">
      <c r="A348" s="3"/>
      <c r="B348" s="60"/>
      <c r="C348" s="407"/>
      <c r="D348" s="407"/>
      <c r="E348" s="407"/>
      <c r="F348" s="407"/>
      <c r="G348" s="407"/>
      <c r="H348" s="88"/>
      <c r="I348" s="7" t="s">
        <v>80</v>
      </c>
      <c r="P348" s="2022"/>
      <c r="Q348" s="2022"/>
      <c r="R348" s="2022"/>
      <c r="S348" s="2022"/>
      <c r="T348" s="2022"/>
      <c r="U348" s="2022"/>
      <c r="V348" s="2022"/>
      <c r="W348" s="2022"/>
      <c r="X348" s="2022"/>
      <c r="Y348" s="2022"/>
      <c r="Z348" s="2022"/>
      <c r="AA348" s="2022"/>
      <c r="AB348" s="2022"/>
      <c r="AC348" s="2022"/>
      <c r="AD348" s="2022"/>
      <c r="AE348" s="202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2" t="s">
        <v>575</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023" t="s">
        <v>578</v>
      </c>
      <c r="N354" s="2023"/>
      <c r="P354" s="12" t="s">
        <v>2018</v>
      </c>
      <c r="AJ354" s="2023" t="s">
        <v>706</v>
      </c>
      <c r="AK354" s="2023"/>
    </row>
    <row r="355" spans="1:37" ht="12.75" customHeight="1">
      <c r="D355" s="58" t="s">
        <v>2007</v>
      </c>
      <c r="M355" s="2023" t="s">
        <v>626</v>
      </c>
      <c r="N355" s="2023"/>
      <c r="P355" s="58" t="s">
        <v>2230</v>
      </c>
      <c r="AJ355" s="2092"/>
      <c r="AK355" s="2092"/>
    </row>
    <row r="356" spans="1:37" ht="12.75" customHeight="1">
      <c r="D356" s="12" t="s">
        <v>747</v>
      </c>
      <c r="M356" s="2023" t="s">
        <v>626</v>
      </c>
      <c r="N356" s="2023"/>
      <c r="P356" s="720" t="s">
        <v>2017</v>
      </c>
      <c r="AJ356" s="2023" t="s">
        <v>706</v>
      </c>
      <c r="AK356" s="2023"/>
    </row>
    <row r="357" spans="1:37" ht="12.75" customHeight="1">
      <c r="D357" s="12" t="s">
        <v>748</v>
      </c>
      <c r="M357" s="2023" t="s">
        <v>626</v>
      </c>
      <c r="N357" s="202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23" t="s">
        <v>626</v>
      </c>
      <c r="O362" s="2023"/>
      <c r="P362" s="69"/>
      <c r="Q362" s="69"/>
      <c r="R362" s="69"/>
      <c r="S362" s="69"/>
      <c r="T362" s="69"/>
      <c r="U362" s="69"/>
      <c r="V362" s="69"/>
      <c r="W362" s="69"/>
      <c r="X362" s="69"/>
      <c r="Y362" s="70"/>
      <c r="Z362" s="70"/>
      <c r="AC362" s="69"/>
      <c r="AD362" s="69"/>
      <c r="AE362" s="69"/>
    </row>
    <row r="363" spans="1:37" ht="12.75" customHeight="1">
      <c r="E363" s="12" t="s">
        <v>382</v>
      </c>
      <c r="Y363" s="2023" t="s">
        <v>626</v>
      </c>
      <c r="Z363" s="2023"/>
    </row>
    <row r="364" spans="1:37" ht="12.75" customHeight="1">
      <c r="D364" s="7" t="s">
        <v>1061</v>
      </c>
      <c r="Q364" s="2022" t="s">
        <v>626</v>
      </c>
      <c r="R364" s="2022"/>
      <c r="S364" s="2022"/>
      <c r="T364" s="2022"/>
      <c r="U364" s="2022"/>
      <c r="V364" s="2022"/>
      <c r="W364" s="2022"/>
      <c r="X364" s="2022"/>
      <c r="Y364" s="2022"/>
      <c r="Z364" s="2022"/>
      <c r="AA364" s="2022"/>
      <c r="AB364" s="2022"/>
      <c r="AC364" s="2022"/>
      <c r="AD364" s="2022"/>
      <c r="AE364" s="2022"/>
      <c r="AF364" s="2022"/>
      <c r="AG364" s="202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23" t="s">
        <v>626</v>
      </c>
      <c r="K366" s="2023"/>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749</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479</v>
      </c>
      <c r="F369" s="7"/>
      <c r="G369" s="7"/>
      <c r="H369" s="7"/>
      <c r="I369" s="7"/>
      <c r="J369" s="7"/>
      <c r="K369" s="7"/>
      <c r="L369" s="7"/>
      <c r="N369" s="2028"/>
      <c r="O369" s="2028"/>
      <c r="P369" s="2028"/>
      <c r="Q369" s="2028"/>
      <c r="R369" s="7"/>
      <c r="U369" s="7" t="s">
        <v>480</v>
      </c>
      <c r="V369" s="7"/>
      <c r="W369" s="7"/>
      <c r="X369" s="7"/>
      <c r="Y369" s="7"/>
      <c r="Z369" s="7"/>
      <c r="AA369" s="7"/>
      <c r="AB369" s="7"/>
      <c r="AC369" s="2028"/>
      <c r="AD369" s="2028"/>
      <c r="AE369" s="2028"/>
      <c r="AF369" s="2028"/>
    </row>
    <row r="370" spans="1:36" ht="12.75" customHeight="1">
      <c r="E370" s="7" t="s">
        <v>481</v>
      </c>
      <c r="F370" s="7"/>
      <c r="G370" s="7"/>
      <c r="H370" s="7"/>
      <c r="I370" s="7"/>
      <c r="J370" s="7"/>
      <c r="K370" s="7"/>
      <c r="L370" s="7"/>
      <c r="N370" s="2028"/>
      <c r="O370" s="2028"/>
      <c r="P370" s="2028"/>
      <c r="Q370" s="2028"/>
      <c r="R370" s="7"/>
      <c r="U370" s="7" t="s">
        <v>0</v>
      </c>
      <c r="V370" s="7"/>
      <c r="W370" s="7"/>
      <c r="X370" s="7"/>
      <c r="Y370" s="7"/>
      <c r="Z370" s="7"/>
      <c r="AA370" s="7"/>
      <c r="AB370" s="7"/>
      <c r="AC370" s="2028"/>
      <c r="AD370" s="2028"/>
      <c r="AE370" s="2028"/>
      <c r="AF370" s="2028"/>
    </row>
    <row r="371" spans="1:36" ht="12.75" customHeight="1">
      <c r="E371" s="7" t="s">
        <v>1</v>
      </c>
      <c r="F371" s="7"/>
      <c r="G371" s="7"/>
      <c r="H371" s="7"/>
      <c r="I371" s="7"/>
      <c r="J371" s="7"/>
      <c r="K371" s="7"/>
      <c r="L371" s="7"/>
      <c r="N371" s="2028"/>
      <c r="O371" s="2028"/>
      <c r="P371" s="2028"/>
      <c r="Q371" s="2028"/>
      <c r="R371" s="7"/>
      <c r="V371" s="7"/>
      <c r="W371" s="7"/>
      <c r="X371" s="7"/>
      <c r="Y371" s="7"/>
      <c r="Z371" s="7"/>
      <c r="AA371" s="7"/>
      <c r="AB371" s="7"/>
    </row>
    <row r="372" spans="1:36" ht="12.75" customHeight="1">
      <c r="E372" s="7" t="s">
        <v>2</v>
      </c>
      <c r="F372" s="7"/>
      <c r="G372" s="7"/>
      <c r="H372" s="7"/>
      <c r="I372" s="7"/>
      <c r="J372" s="7"/>
      <c r="K372" s="7"/>
      <c r="L372" s="7"/>
      <c r="N372" s="2562"/>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026"/>
      <c r="T376" s="2026"/>
      <c r="U376" s="4" t="s">
        <v>316</v>
      </c>
      <c r="V376" s="2026"/>
      <c r="W376" s="2026"/>
      <c r="Y376" s="25" t="s">
        <v>314</v>
      </c>
      <c r="AA376" s="25"/>
      <c r="AB376" s="25" t="s">
        <v>315</v>
      </c>
      <c r="AD376" s="2026"/>
      <c r="AE376" s="2026"/>
      <c r="AF376" s="4" t="s">
        <v>316</v>
      </c>
      <c r="AG376" s="2026"/>
      <c r="AH376" s="2026"/>
    </row>
    <row r="377" spans="1:36" ht="12.75" customHeight="1">
      <c r="E377" s="7" t="s">
        <v>1092</v>
      </c>
      <c r="F377" s="7"/>
      <c r="G377" s="7"/>
      <c r="H377" s="7"/>
      <c r="I377" s="7"/>
      <c r="J377" s="7"/>
      <c r="K377" s="7"/>
      <c r="L377" s="7"/>
      <c r="N377" s="2026"/>
      <c r="O377" s="2026"/>
      <c r="P377" s="2026"/>
    </row>
    <row r="378" spans="1:36" ht="12.75" customHeight="1">
      <c r="E378" s="383" t="s">
        <v>1093</v>
      </c>
      <c r="F378" s="7"/>
      <c r="G378" s="7"/>
      <c r="H378" s="7"/>
      <c r="I378" s="7"/>
      <c r="J378" s="7"/>
      <c r="K378" s="7"/>
      <c r="L378" s="7"/>
      <c r="AG378" s="2441" t="s">
        <v>626</v>
      </c>
      <c r="AH378" s="2441"/>
    </row>
    <row r="379" spans="1:36" ht="12.75" customHeight="1">
      <c r="E379" s="7"/>
      <c r="F379" s="7"/>
      <c r="G379" s="7" t="s">
        <v>1114</v>
      </c>
      <c r="H379" s="7"/>
      <c r="I379" s="7"/>
      <c r="J379" s="7"/>
      <c r="K379" s="7"/>
      <c r="L379" s="7"/>
      <c r="AG379" s="2441" t="s">
        <v>626</v>
      </c>
      <c r="AH379" s="2441"/>
    </row>
    <row r="380" spans="1:36" ht="12.75" customHeight="1">
      <c r="E380" s="7"/>
      <c r="F380" s="7"/>
      <c r="G380" s="510" t="s">
        <v>1094</v>
      </c>
      <c r="H380" s="7"/>
      <c r="I380" s="7"/>
      <c r="J380" s="7"/>
      <c r="K380" s="7"/>
      <c r="L380" s="7"/>
      <c r="V380" s="2023" t="s">
        <v>626</v>
      </c>
      <c r="W380" s="2023"/>
      <c r="Y380" s="35" t="s">
        <v>1063</v>
      </c>
    </row>
    <row r="381" spans="1:36" ht="12.75" customHeight="1">
      <c r="E381" s="7" t="s">
        <v>1064</v>
      </c>
      <c r="F381" s="7"/>
      <c r="G381" s="7"/>
      <c r="H381" s="7"/>
      <c r="I381" s="7"/>
      <c r="J381" s="7"/>
      <c r="K381" s="7"/>
      <c r="L381" s="7"/>
      <c r="V381" s="2023" t="s">
        <v>626</v>
      </c>
      <c r="W381" s="2023"/>
      <c r="Y381" s="7" t="s">
        <v>1065</v>
      </c>
    </row>
    <row r="382" spans="1:36" ht="12.75" customHeight="1"/>
    <row r="383" spans="1:36" ht="12.75" customHeight="1">
      <c r="A383" s="50" t="s">
        <v>82</v>
      </c>
      <c r="B383" s="50"/>
    </row>
    <row r="384" spans="1:36" ht="12.75" customHeight="1">
      <c r="D384" s="12" t="s">
        <v>450</v>
      </c>
      <c r="J384" s="2021" t="s">
        <v>2503</v>
      </c>
      <c r="K384" s="2022"/>
      <c r="L384" s="2022"/>
      <c r="M384" s="2022"/>
      <c r="N384" s="2022"/>
      <c r="O384" s="2022"/>
      <c r="P384" s="2022"/>
      <c r="Q384" s="2022"/>
      <c r="R384" s="2022"/>
      <c r="S384" s="2022"/>
      <c r="T384" s="2022"/>
      <c r="U384" s="2022"/>
      <c r="V384" s="14" t="s">
        <v>88</v>
      </c>
      <c r="W384" s="14"/>
      <c r="X384" s="14"/>
      <c r="Y384" s="14"/>
      <c r="Z384" s="14"/>
      <c r="AA384" s="14"/>
      <c r="AB384" s="14"/>
      <c r="AC384" s="2022"/>
      <c r="AD384" s="2022"/>
      <c r="AE384" s="2022"/>
      <c r="AF384" s="2022"/>
      <c r="AG384" s="2022"/>
      <c r="AH384" s="2022"/>
      <c r="AI384" s="2022"/>
      <c r="AJ384" s="2022"/>
    </row>
    <row r="385" spans="1:96" ht="12.75" customHeight="1">
      <c r="A385" s="720"/>
      <c r="B385" s="720"/>
      <c r="C385" s="720"/>
      <c r="D385" s="58" t="s">
        <v>1384</v>
      </c>
      <c r="E385" s="720"/>
      <c r="F385" s="720"/>
      <c r="G385" s="720"/>
      <c r="H385" s="720"/>
      <c r="I385" s="720"/>
      <c r="J385" s="2020" t="s">
        <v>2504</v>
      </c>
      <c r="K385" s="2018"/>
      <c r="L385" s="2018"/>
      <c r="M385" s="2018"/>
      <c r="N385" s="2018"/>
      <c r="O385" s="2018"/>
      <c r="P385" s="2018"/>
      <c r="Q385" s="2018"/>
      <c r="R385" s="2018"/>
      <c r="S385" s="2018"/>
      <c r="T385" s="2018"/>
      <c r="U385" s="2018"/>
      <c r="V385" s="58" t="s">
        <v>1384</v>
      </c>
      <c r="W385" s="14"/>
      <c r="X385" s="14"/>
      <c r="Y385" s="14"/>
      <c r="Z385" s="14"/>
      <c r="AA385" s="14"/>
      <c r="AB385" s="14"/>
      <c r="AC385" s="2021" t="s">
        <v>2506</v>
      </c>
      <c r="AD385" s="2022"/>
      <c r="AE385" s="2022"/>
      <c r="AF385" s="2022"/>
      <c r="AG385" s="2022"/>
      <c r="AH385" s="2022"/>
      <c r="AI385" s="2022"/>
      <c r="AJ385" s="2022"/>
      <c r="AK385" s="720"/>
      <c r="AL385" s="720"/>
    </row>
    <row r="386" spans="1:96" ht="12.75" customHeight="1">
      <c r="A386" s="720"/>
      <c r="B386" s="720"/>
      <c r="C386" s="720"/>
      <c r="D386" s="58" t="s">
        <v>464</v>
      </c>
      <c r="E386" s="720"/>
      <c r="F386" s="720"/>
      <c r="G386" s="720"/>
      <c r="H386" s="720"/>
      <c r="I386" s="720"/>
      <c r="J386" s="2020" t="s">
        <v>2505</v>
      </c>
      <c r="K386" s="2018"/>
      <c r="L386" s="2018"/>
      <c r="M386" s="2018"/>
      <c r="N386" s="2018"/>
      <c r="O386" s="2018"/>
      <c r="P386" s="2018"/>
      <c r="Q386" s="2018"/>
      <c r="R386" s="2018"/>
      <c r="S386" s="2018"/>
      <c r="T386" s="2018"/>
      <c r="U386" s="2018"/>
      <c r="V386" s="58" t="s">
        <v>464</v>
      </c>
      <c r="W386" s="14"/>
      <c r="X386" s="14"/>
      <c r="Y386" s="14"/>
      <c r="Z386" s="14"/>
      <c r="AA386" s="14"/>
      <c r="AB386" s="14"/>
      <c r="AC386" s="2021" t="s">
        <v>2507</v>
      </c>
      <c r="AD386" s="2022"/>
      <c r="AE386" s="2022"/>
      <c r="AF386" s="2022"/>
      <c r="AG386" s="2022"/>
      <c r="AH386" s="2022"/>
      <c r="AI386" s="2022"/>
      <c r="AJ386" s="2022"/>
      <c r="AK386" s="720"/>
      <c r="AL386" s="720"/>
    </row>
    <row r="387" spans="1:96" ht="12.75" customHeight="1">
      <c r="A387" s="720"/>
      <c r="B387" s="720"/>
      <c r="C387" s="720"/>
      <c r="D387" s="480" t="s">
        <v>1380</v>
      </c>
      <c r="E387" s="720"/>
      <c r="F387" s="720"/>
      <c r="G387" s="720"/>
      <c r="H387" s="720"/>
      <c r="I387" s="88"/>
      <c r="J387" s="2560" t="s">
        <v>2562</v>
      </c>
      <c r="K387" s="2029"/>
      <c r="L387" s="2029"/>
      <c r="M387" s="2029"/>
      <c r="N387" s="2029"/>
      <c r="O387" s="2029"/>
      <c r="P387" s="2029"/>
      <c r="Q387" s="2029"/>
      <c r="R387" s="2029"/>
      <c r="S387" s="2029"/>
      <c r="T387" s="2029"/>
      <c r="U387" s="2029"/>
      <c r="V387" s="2022" t="s">
        <v>2561</v>
      </c>
      <c r="W387" s="2022"/>
      <c r="X387" s="2022"/>
      <c r="Y387" s="2022"/>
      <c r="Z387" s="2022"/>
      <c r="AA387" s="2022"/>
      <c r="AB387" s="2022"/>
      <c r="AC387" s="2022"/>
      <c r="AD387" s="2022"/>
      <c r="AE387" s="2022"/>
      <c r="AF387" s="2022"/>
      <c r="AG387" s="2022"/>
      <c r="AH387" s="2022"/>
      <c r="AI387" s="2022"/>
      <c r="AJ387" s="2022"/>
      <c r="AK387" s="720"/>
      <c r="AL387" s="720"/>
    </row>
    <row r="388" spans="1:96" ht="12.75" customHeight="1">
      <c r="D388" s="12" t="s">
        <v>4</v>
      </c>
      <c r="Q388" s="2474">
        <v>43944</v>
      </c>
      <c r="R388" s="2474"/>
      <c r="S388" s="2474"/>
      <c r="T388" s="2474"/>
      <c r="U388" s="2474"/>
      <c r="V388" s="12" t="s">
        <v>319</v>
      </c>
      <c r="AI388" s="2023" t="s">
        <v>706</v>
      </c>
      <c r="AJ388" s="2023"/>
    </row>
    <row r="389" spans="1:96" ht="12.75" customHeight="1">
      <c r="D389" s="12" t="s">
        <v>5</v>
      </c>
      <c r="Q389" s="2348">
        <v>45129</v>
      </c>
      <c r="R389" s="2349"/>
      <c r="S389" s="2349"/>
      <c r="T389" s="2349"/>
      <c r="U389" s="2349"/>
      <c r="W389" s="33" t="s">
        <v>78</v>
      </c>
      <c r="AG389" s="2058"/>
      <c r="AH389" s="2058"/>
      <c r="AI389" s="2058"/>
      <c r="AJ389" s="2058"/>
    </row>
    <row r="390" spans="1:96" ht="12.75" customHeight="1">
      <c r="D390" s="12" t="s">
        <v>449</v>
      </c>
      <c r="Q390" s="2025">
        <v>1175000</v>
      </c>
      <c r="R390" s="2025"/>
      <c r="S390" s="2025"/>
      <c r="T390" s="2025"/>
      <c r="U390" s="2025"/>
      <c r="V390" s="58" t="s">
        <v>1383</v>
      </c>
      <c r="AG390" s="2561">
        <v>44497</v>
      </c>
      <c r="AH390" s="2561"/>
      <c r="AI390" s="2561"/>
      <c r="AJ390" s="2561"/>
    </row>
    <row r="391" spans="1:96" ht="12.75" customHeight="1">
      <c r="D391" s="12" t="s">
        <v>93</v>
      </c>
      <c r="I391" s="2075"/>
      <c r="J391" s="2075"/>
      <c r="K391" s="2075"/>
      <c r="L391" s="2075"/>
      <c r="M391" s="2075"/>
      <c r="N391" s="2075"/>
      <c r="Q391" s="57" t="s">
        <v>211</v>
      </c>
      <c r="S391" s="2442"/>
      <c r="T391" s="2442"/>
      <c r="U391" s="2442"/>
      <c r="V391" s="12" t="s">
        <v>77</v>
      </c>
      <c r="AI391" s="2023" t="s">
        <v>706</v>
      </c>
      <c r="AJ391" s="2023"/>
    </row>
    <row r="392" spans="1:96" ht="12.75" customHeight="1">
      <c r="D392" s="12" t="s">
        <v>320</v>
      </c>
      <c r="Q392" s="2262"/>
      <c r="R392" s="2262"/>
      <c r="S392" s="2262"/>
      <c r="T392" s="2262"/>
      <c r="U392" s="2262"/>
      <c r="V392" s="12" t="s">
        <v>321</v>
      </c>
      <c r="AG392" s="2058"/>
      <c r="AH392" s="2058"/>
      <c r="AI392" s="2058"/>
      <c r="AJ392" s="2058"/>
    </row>
    <row r="393" spans="1:96" ht="12.75" customHeight="1">
      <c r="D393" s="12" t="s">
        <v>322</v>
      </c>
      <c r="Q393" s="2489">
        <v>1.0574999999999999E-2</v>
      </c>
      <c r="R393" s="2489"/>
      <c r="S393" s="2489"/>
      <c r="T393" s="2489"/>
      <c r="U393" s="2489"/>
      <c r="V393" s="720" t="s">
        <v>1360</v>
      </c>
      <c r="AG393" s="2058">
        <v>0</v>
      </c>
      <c r="AH393" s="2058"/>
      <c r="AI393" s="2058"/>
      <c r="AJ393" s="2058"/>
    </row>
    <row r="394" spans="1:96" ht="12.75">
      <c r="D394" s="720" t="s">
        <v>1359</v>
      </c>
      <c r="V394" s="720"/>
      <c r="AG394" s="2058">
        <v>0</v>
      </c>
      <c r="AH394" s="2058"/>
      <c r="AI394" s="2058"/>
      <c r="AJ394" s="205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23" t="s">
        <v>706</v>
      </c>
      <c r="AJ396" s="2023"/>
      <c r="AM396" s="39"/>
      <c r="AN396" s="39"/>
      <c r="AO396" s="39"/>
      <c r="AP396" s="39"/>
      <c r="AQ396" s="39"/>
      <c r="AR396" s="39"/>
      <c r="AS396" s="39"/>
      <c r="AT396" s="39"/>
      <c r="AU396" s="39"/>
      <c r="AV396" s="39"/>
      <c r="AW396" s="39"/>
      <c r="AX396" s="39"/>
      <c r="AY396" s="39"/>
      <c r="CR396" s="25"/>
    </row>
    <row r="397" spans="1:96" s="720" customFormat="1" ht="12.75">
      <c r="D397" s="58" t="s">
        <v>2038</v>
      </c>
      <c r="T397" s="2080"/>
      <c r="U397" s="2080"/>
      <c r="V397" s="2080"/>
      <c r="W397" s="2080"/>
      <c r="X397" s="2080"/>
      <c r="Y397" s="2080"/>
      <c r="Z397" s="2080"/>
      <c r="AA397" s="2080"/>
      <c r="AB397" s="2080"/>
      <c r="AC397" s="2080"/>
      <c r="AD397" s="2080"/>
      <c r="AE397" s="2080"/>
      <c r="AF397" s="2080"/>
      <c r="AG397" s="2080"/>
      <c r="AH397" s="2080"/>
      <c r="AI397" s="2080"/>
      <c r="AJ397" s="2080"/>
      <c r="AM397" s="39"/>
      <c r="AN397" s="39"/>
      <c r="AO397" s="39"/>
      <c r="AP397" s="39"/>
      <c r="AQ397" s="39"/>
      <c r="AR397" s="39"/>
      <c r="AS397" s="39"/>
      <c r="AT397" s="39"/>
      <c r="AU397" s="39"/>
      <c r="AV397" s="39"/>
      <c r="AW397" s="39"/>
      <c r="AX397" s="39"/>
      <c r="AY397" s="39"/>
      <c r="CR397" s="25"/>
    </row>
    <row r="398" spans="1:96" s="720" customFormat="1" ht="12.75">
      <c r="D398" s="58" t="s">
        <v>2037</v>
      </c>
      <c r="T398" s="2080"/>
      <c r="U398" s="2080"/>
      <c r="V398" s="2080"/>
      <c r="W398" s="2080"/>
      <c r="X398" s="2080"/>
      <c r="Y398" s="2080"/>
      <c r="Z398" s="2080"/>
      <c r="AA398" s="2080"/>
      <c r="AB398" s="2080"/>
      <c r="AC398" s="2080"/>
      <c r="AD398" s="2080"/>
      <c r="AE398" s="2080"/>
      <c r="AF398" s="2080"/>
      <c r="AG398" s="2080"/>
      <c r="AH398" s="2080"/>
      <c r="AI398" s="2080"/>
      <c r="AJ398" s="2080"/>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080" t="s">
        <v>706</v>
      </c>
      <c r="T400" s="2080"/>
      <c r="U400" s="2080"/>
      <c r="V400" s="480" t="s">
        <v>2031</v>
      </c>
      <c r="W400" s="720"/>
      <c r="X400" s="720"/>
      <c r="Y400" s="720"/>
      <c r="Z400" s="720"/>
      <c r="AA400" s="720"/>
      <c r="AB400" s="39"/>
      <c r="AC400" s="39"/>
      <c r="AD400" s="39"/>
      <c r="AE400" s="39"/>
      <c r="AF400" s="39"/>
      <c r="AG400" s="2577"/>
      <c r="AH400" s="2577"/>
      <c r="AI400" s="2577"/>
      <c r="AJ400" s="2577"/>
      <c r="AK400" s="39"/>
      <c r="AL400" s="720"/>
    </row>
    <row r="401" spans="1:96" s="720" customFormat="1" ht="12.75">
      <c r="D401" s="58" t="s">
        <v>2027</v>
      </c>
      <c r="S401" s="2080" t="s">
        <v>626</v>
      </c>
      <c r="T401" s="2080"/>
      <c r="U401" s="2080"/>
      <c r="V401" s="480" t="s">
        <v>2033</v>
      </c>
      <c r="AB401" s="39"/>
      <c r="AC401" s="39"/>
      <c r="AD401" s="39"/>
      <c r="AE401" s="2578"/>
      <c r="AF401" s="2578"/>
      <c r="AG401" s="2578"/>
      <c r="AH401" s="2578"/>
      <c r="AI401" s="2578"/>
      <c r="AJ401" s="2578"/>
      <c r="AK401" s="39"/>
      <c r="AM401" s="39"/>
      <c r="AN401" s="39"/>
      <c r="AO401" s="39"/>
      <c r="AP401" s="39"/>
      <c r="AQ401" s="39"/>
      <c r="AR401" s="39"/>
      <c r="AS401" s="39"/>
      <c r="AT401" s="39"/>
      <c r="AU401" s="39"/>
      <c r="AV401" s="39"/>
      <c r="AW401" s="39"/>
      <c r="AX401" s="39"/>
      <c r="AY401" s="39"/>
      <c r="CR401" s="25"/>
    </row>
    <row r="402" spans="1:96" s="720" customFormat="1" ht="12.75">
      <c r="D402" s="58" t="s">
        <v>2029</v>
      </c>
      <c r="K402" s="2483"/>
      <c r="L402" s="2483"/>
      <c r="M402" s="2483"/>
      <c r="N402" s="2483"/>
      <c r="O402" s="2483"/>
      <c r="P402" s="2483"/>
      <c r="Q402" s="2483"/>
      <c r="R402" s="2483"/>
      <c r="S402" s="2483"/>
      <c r="T402" s="2483"/>
      <c r="U402" s="2483"/>
      <c r="V402" s="2483"/>
      <c r="W402" s="2483"/>
      <c r="X402" s="2483"/>
      <c r="Y402" s="2483"/>
      <c r="Z402" s="2483"/>
      <c r="AA402" s="2483"/>
      <c r="AB402" s="2483"/>
      <c r="AC402" s="2483"/>
      <c r="AD402" s="2483"/>
      <c r="AE402" s="2483"/>
      <c r="AF402" s="2483"/>
      <c r="AG402" s="2483"/>
      <c r="AH402" s="2483"/>
      <c r="AI402" s="2483"/>
      <c r="AJ402" s="2483"/>
      <c r="AK402" s="39"/>
      <c r="AM402" s="39"/>
      <c r="AN402" s="39"/>
      <c r="AO402" s="39"/>
      <c r="AP402" s="39"/>
      <c r="AQ402" s="39"/>
      <c r="AR402" s="39"/>
      <c r="AS402" s="39"/>
      <c r="AT402" s="39"/>
      <c r="AU402" s="39"/>
      <c r="AV402" s="39"/>
      <c r="AW402" s="39"/>
      <c r="AX402" s="39"/>
      <c r="AY402" s="39"/>
      <c r="CR402" s="25"/>
    </row>
    <row r="403" spans="1:96" s="720" customFormat="1" ht="12.75">
      <c r="D403" s="58" t="s">
        <v>2032</v>
      </c>
      <c r="K403" s="2483"/>
      <c r="L403" s="2483"/>
      <c r="M403" s="2483"/>
      <c r="N403" s="2483"/>
      <c r="O403" s="2483"/>
      <c r="P403" s="2483"/>
      <c r="Q403" s="2483"/>
      <c r="R403" s="2483"/>
      <c r="S403" s="2483"/>
      <c r="T403" s="2483"/>
      <c r="U403" s="2483"/>
      <c r="V403" s="2483"/>
      <c r="W403" s="2483"/>
      <c r="X403" s="2483"/>
      <c r="Y403" s="2483"/>
      <c r="Z403" s="2483"/>
      <c r="AA403" s="2483"/>
      <c r="AB403" s="2483"/>
      <c r="AC403" s="2483"/>
      <c r="AD403" s="2483"/>
      <c r="AE403" s="2483"/>
      <c r="AF403" s="2483"/>
      <c r="AG403" s="2483"/>
      <c r="AH403" s="2483"/>
      <c r="AI403" s="2483"/>
      <c r="AJ403" s="2483"/>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539" t="s">
        <v>1386</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20" customFormat="1" ht="12.75">
      <c r="D405" s="2538" t="s">
        <v>2034</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20"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21" t="s">
        <v>2508</v>
      </c>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row>
    <row r="410" spans="1:96" ht="12.75" customHeight="1">
      <c r="C410" s="25"/>
      <c r="D410" s="25"/>
      <c r="E410" s="12" t="s">
        <v>111</v>
      </c>
      <c r="F410" s="25"/>
      <c r="G410" s="25"/>
      <c r="H410" s="25"/>
      <c r="I410" s="25"/>
      <c r="J410" s="25"/>
      <c r="K410" s="25"/>
      <c r="L410" s="25"/>
      <c r="M410" s="25"/>
      <c r="N410" s="25"/>
      <c r="O410" s="25"/>
      <c r="P410" s="720"/>
      <c r="Q410" s="720"/>
      <c r="R410" s="2023" t="s">
        <v>626</v>
      </c>
      <c r="S410" s="2023"/>
      <c r="T410" s="12" t="s">
        <v>604</v>
      </c>
      <c r="U410" s="720"/>
      <c r="V410" s="720"/>
      <c r="W410" s="720"/>
      <c r="X410" s="720"/>
      <c r="Y410" s="720"/>
      <c r="Z410" s="720"/>
      <c r="AA410" s="720"/>
      <c r="AB410" s="720"/>
      <c r="AC410" s="720"/>
      <c r="AD410" s="2028">
        <v>0</v>
      </c>
      <c r="AE410" s="2028"/>
      <c r="AF410" s="720"/>
    </row>
    <row r="411" spans="1:96" ht="12.75">
      <c r="C411" s="25"/>
      <c r="E411" s="12" t="s">
        <v>112</v>
      </c>
      <c r="F411" s="720"/>
      <c r="G411" s="720"/>
      <c r="H411" s="720"/>
      <c r="I411" s="720"/>
      <c r="J411" s="720"/>
      <c r="K411" s="720"/>
      <c r="L411" s="720"/>
      <c r="M411" s="720"/>
      <c r="N411" s="25"/>
      <c r="O411" s="25"/>
      <c r="P411" s="720"/>
      <c r="Q411" s="720"/>
      <c r="R411" s="2023" t="s">
        <v>578</v>
      </c>
      <c r="S411" s="2023"/>
      <c r="T411" s="12" t="s">
        <v>604</v>
      </c>
      <c r="U411" s="720"/>
      <c r="V411" s="720"/>
      <c r="W411" s="720"/>
      <c r="X411" s="720"/>
      <c r="Y411" s="720"/>
      <c r="Z411" s="720"/>
      <c r="AA411" s="720"/>
      <c r="AB411" s="720"/>
      <c r="AC411" s="720"/>
      <c r="AD411" s="2028">
        <v>3</v>
      </c>
      <c r="AE411" s="2028"/>
      <c r="AF411" s="720"/>
    </row>
    <row r="412" spans="1:96" ht="12.75" customHeight="1">
      <c r="C412" s="25"/>
      <c r="E412" s="12" t="s">
        <v>113</v>
      </c>
      <c r="F412" s="720"/>
      <c r="G412" s="720"/>
      <c r="H412" s="720"/>
      <c r="I412" s="720"/>
      <c r="J412" s="720"/>
      <c r="K412" s="720"/>
      <c r="L412" s="720"/>
      <c r="M412" s="720"/>
      <c r="N412" s="25"/>
      <c r="O412" s="25"/>
      <c r="P412" s="720"/>
      <c r="Q412" s="720"/>
      <c r="R412" s="720"/>
      <c r="S412" s="2023" t="s">
        <v>626</v>
      </c>
      <c r="T412" s="2023"/>
      <c r="U412" s="720"/>
      <c r="V412" s="720"/>
      <c r="W412" s="720"/>
      <c r="X412" s="720"/>
      <c r="Y412" s="720"/>
      <c r="Z412" s="720"/>
      <c r="AA412" s="720"/>
      <c r="AB412" s="720"/>
      <c r="AC412" s="720"/>
      <c r="AD412" s="720"/>
      <c r="AE412" s="720"/>
      <c r="AF412" s="720"/>
    </row>
    <row r="413" spans="1:96" ht="12.75" customHeight="1">
      <c r="E413" s="12" t="s">
        <v>174</v>
      </c>
      <c r="F413" s="720"/>
      <c r="G413" s="720"/>
      <c r="H413" s="2487" t="s">
        <v>2563</v>
      </c>
      <c r="I413" s="2487"/>
      <c r="J413" s="2487"/>
      <c r="K413" s="2487"/>
      <c r="L413" s="2487"/>
      <c r="M413" s="2487"/>
      <c r="N413" s="2487"/>
      <c r="O413" s="2487"/>
      <c r="P413" s="2487"/>
      <c r="Q413" s="2487"/>
      <c r="R413" s="2487"/>
      <c r="S413" s="2487"/>
      <c r="T413" s="2487"/>
      <c r="U413" s="2487"/>
      <c r="V413" s="2487"/>
      <c r="W413" s="2487"/>
      <c r="X413" s="2487"/>
      <c r="Y413" s="2487"/>
      <c r="Z413" s="2487"/>
      <c r="AA413" s="2487"/>
      <c r="AB413" s="2487"/>
      <c r="AC413" s="2487"/>
      <c r="AD413" s="2487"/>
      <c r="AE413" s="2487"/>
      <c r="AF413" s="720"/>
    </row>
    <row r="414" spans="1:96" ht="12.75" customHeight="1">
      <c r="E414" s="25"/>
      <c r="F414" s="720"/>
      <c r="G414" s="720"/>
      <c r="H414" s="2488"/>
      <c r="I414" s="2488"/>
      <c r="J414" s="2488"/>
      <c r="K414" s="2488"/>
      <c r="L414" s="2488"/>
      <c r="M414" s="2488"/>
      <c r="N414" s="2488"/>
      <c r="O414" s="2488"/>
      <c r="P414" s="2488"/>
      <c r="Q414" s="2488"/>
      <c r="R414" s="2488"/>
      <c r="S414" s="2488"/>
      <c r="T414" s="2488"/>
      <c r="U414" s="2488"/>
      <c r="V414" s="2488"/>
      <c r="W414" s="2488"/>
      <c r="X414" s="2488"/>
      <c r="Y414" s="2488"/>
      <c r="Z414" s="2488"/>
      <c r="AA414" s="2488"/>
      <c r="AB414" s="2488"/>
      <c r="AC414" s="2488"/>
      <c r="AD414" s="2488"/>
      <c r="AE414" s="2488"/>
      <c r="AF414" s="720"/>
    </row>
    <row r="415" spans="1:96" ht="12.75" customHeight="1"/>
    <row r="416" spans="1:96" ht="12.75" customHeight="1">
      <c r="A416" s="50" t="s">
        <v>625</v>
      </c>
      <c r="B416" s="50"/>
      <c r="C416" s="50"/>
      <c r="D416" s="50" t="s">
        <v>119</v>
      </c>
      <c r="AF416" s="50" t="s">
        <v>1038</v>
      </c>
    </row>
    <row r="417" spans="1:96" ht="12.75" customHeight="1">
      <c r="E417" s="2026"/>
      <c r="F417" s="2026"/>
      <c r="G417" s="2026"/>
      <c r="H417" s="23" t="s">
        <v>120</v>
      </c>
      <c r="I417" s="2026"/>
      <c r="J417" s="2026"/>
      <c r="K417" s="2026"/>
      <c r="L417" s="12" t="s">
        <v>121</v>
      </c>
      <c r="N417" s="141" t="s">
        <v>610</v>
      </c>
      <c r="P417" s="2352">
        <v>6.96</v>
      </c>
      <c r="Q417" s="2352"/>
      <c r="R417" s="2352"/>
      <c r="S417" s="12" t="s">
        <v>122</v>
      </c>
      <c r="W417" s="2565">
        <f>IF(E417&gt;0,(E417*I417),(P417*43560))</f>
        <v>303177.59999999998</v>
      </c>
      <c r="X417" s="2565"/>
      <c r="Y417" s="2565"/>
      <c r="Z417" s="12" t="s">
        <v>123</v>
      </c>
      <c r="AF417" s="2352">
        <f>AG436/P417</f>
        <v>27.873563218390803</v>
      </c>
      <c r="AG417" s="2352"/>
      <c r="AH417" s="2352"/>
    </row>
    <row r="418" spans="1:96" ht="12.75">
      <c r="E418" s="12" t="s">
        <v>54</v>
      </c>
    </row>
    <row r="419" spans="1:96" ht="12.75" customHeight="1">
      <c r="E419" s="2553"/>
      <c r="F419" s="2553"/>
      <c r="G419" s="2553"/>
      <c r="H419" s="2553"/>
      <c r="I419" s="2553"/>
      <c r="J419" s="2553"/>
      <c r="K419" s="2553"/>
      <c r="L419" s="2553"/>
      <c r="M419" s="2553"/>
      <c r="N419" s="2553"/>
      <c r="O419" s="2553"/>
      <c r="P419" s="2553"/>
      <c r="Q419" s="2553"/>
      <c r="R419" s="2553"/>
      <c r="S419" s="2553"/>
      <c r="T419" s="2553"/>
      <c r="U419" s="2553"/>
      <c r="V419" s="2553"/>
      <c r="W419" s="2553"/>
      <c r="X419" s="2553"/>
      <c r="Y419" s="2553"/>
      <c r="Z419" s="2553"/>
      <c r="AA419" s="2553"/>
      <c r="AB419" s="2553"/>
      <c r="AC419" s="2553"/>
      <c r="AD419" s="2553"/>
      <c r="AE419" s="2553"/>
      <c r="AF419" s="2553"/>
      <c r="AG419" s="2553"/>
      <c r="AH419" s="2553"/>
      <c r="AI419" s="2553"/>
      <c r="AJ419" s="2553"/>
    </row>
    <row r="420" spans="1:96" s="39" customFormat="1" ht="12.75" customHeight="1">
      <c r="E420" s="254" t="s">
        <v>2247</v>
      </c>
      <c r="F420" s="1825"/>
      <c r="G420" s="1825"/>
      <c r="H420" s="1825"/>
      <c r="I420" s="2208">
        <v>5.22</v>
      </c>
      <c r="J420" s="2208"/>
      <c r="K420" s="2208"/>
      <c r="L420" s="1825"/>
      <c r="M420" s="254"/>
      <c r="N420" s="1825"/>
      <c r="O420" s="1825"/>
      <c r="P420" s="2209">
        <f>(CM636+CS644+CS661)/I420</f>
        <v>37.164750957854409</v>
      </c>
      <c r="Q420" s="2209"/>
      <c r="R420" s="2209"/>
      <c r="S420" s="254" t="s">
        <v>2248</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3">
        <v>9</v>
      </c>
      <c r="Q423" s="2023"/>
      <c r="S423" s="12" t="s">
        <v>194</v>
      </c>
      <c r="AE423" s="2023">
        <v>8</v>
      </c>
      <c r="AF423" s="2023"/>
    </row>
    <row r="424" spans="1:96" ht="12.75">
      <c r="E424" s="12" t="s">
        <v>195</v>
      </c>
      <c r="P424" s="2023">
        <v>1</v>
      </c>
      <c r="Q424" s="2023"/>
      <c r="S424" s="12" t="s">
        <v>136</v>
      </c>
      <c r="AE424" s="2023" t="s">
        <v>626</v>
      </c>
      <c r="AF424" s="2023"/>
    </row>
    <row r="425" spans="1:96" ht="12.75">
      <c r="F425" s="67" t="s">
        <v>137</v>
      </c>
    </row>
    <row r="426" spans="1:96" ht="12.75">
      <c r="F426" s="2435"/>
      <c r="G426" s="2435"/>
      <c r="H426" s="2435"/>
      <c r="I426" s="2435"/>
      <c r="J426" s="2435"/>
      <c r="K426" s="2435"/>
      <c r="L426" s="2435"/>
      <c r="M426" s="2435"/>
      <c r="N426" s="2435"/>
      <c r="O426" s="2435"/>
      <c r="P426" s="2435"/>
      <c r="Q426" s="2435"/>
      <c r="R426" s="2435"/>
      <c r="S426" s="2435"/>
      <c r="T426" s="2435"/>
      <c r="U426" s="2435"/>
      <c r="V426" s="2435"/>
      <c r="W426" s="2435"/>
      <c r="X426" s="2435"/>
      <c r="Y426" s="2435"/>
      <c r="Z426" s="2435"/>
      <c r="AA426" s="2435"/>
      <c r="AB426" s="2435"/>
      <c r="AC426" s="2435"/>
      <c r="AD426" s="2435"/>
      <c r="AE426" s="2435"/>
      <c r="AF426" s="2435"/>
      <c r="AG426" s="2435"/>
      <c r="AH426" s="2435"/>
    </row>
    <row r="427" spans="1:96" ht="12.75" customHeight="1">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2436"/>
      <c r="AG427" s="2436"/>
      <c r="AH427" s="2436"/>
    </row>
    <row r="428" spans="1:96" ht="12.75" customHeight="1">
      <c r="E428" s="12" t="s">
        <v>643</v>
      </c>
      <c r="N428" s="39"/>
      <c r="O428" s="39"/>
      <c r="P428" s="235"/>
      <c r="Q428" s="2023" t="s">
        <v>578</v>
      </c>
      <c r="R428" s="202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3" t="s">
        <v>626</v>
      </c>
      <c r="AG429" s="2559"/>
    </row>
    <row r="430" spans="1:96" ht="12.75" customHeight="1">
      <c r="S430" s="25"/>
      <c r="T430" s="25"/>
    </row>
    <row r="431" spans="1:96" ht="12.75" customHeight="1">
      <c r="A431" s="50"/>
      <c r="B431" s="50"/>
      <c r="C431" s="50"/>
      <c r="E431" s="7" t="s">
        <v>318</v>
      </c>
      <c r="Z431" s="2023" t="s">
        <v>578</v>
      </c>
      <c r="AA431" s="202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23" t="s">
        <v>706</v>
      </c>
      <c r="AA433" s="2023"/>
    </row>
    <row r="434" spans="1:110" ht="12.75" customHeight="1"/>
    <row r="435" spans="1:110" ht="12.75" customHeight="1">
      <c r="A435" s="50" t="s">
        <v>500</v>
      </c>
      <c r="B435" s="50"/>
      <c r="C435" s="50"/>
      <c r="D435" s="50" t="s">
        <v>824</v>
      </c>
      <c r="AF435" s="80"/>
    </row>
    <row r="436" spans="1:110" ht="12.75" customHeight="1">
      <c r="D436" s="2333" t="s">
        <v>46</v>
      </c>
      <c r="E436" s="2334"/>
      <c r="F436" s="2334"/>
      <c r="G436" s="2334"/>
      <c r="H436" s="2334"/>
      <c r="I436" s="2334"/>
      <c r="J436" s="2334"/>
      <c r="K436" s="2334"/>
      <c r="L436" s="2334"/>
      <c r="M436" s="2334"/>
      <c r="N436" s="2334"/>
      <c r="O436" s="2334"/>
      <c r="P436" s="2334"/>
      <c r="Q436" s="2334"/>
      <c r="R436" s="2334"/>
      <c r="S436" s="2334"/>
      <c r="T436" s="2334"/>
      <c r="U436" s="2334"/>
      <c r="V436" s="2334"/>
      <c r="W436" s="2334"/>
      <c r="X436" s="2334"/>
      <c r="Y436" s="2334"/>
      <c r="Z436" s="2334"/>
      <c r="AA436" s="2334"/>
      <c r="AB436" s="2334"/>
      <c r="AC436" s="2334"/>
      <c r="AD436" s="2334"/>
      <c r="AE436" s="2334"/>
      <c r="AF436" s="2543"/>
      <c r="AG436" s="2557">
        <v>194</v>
      </c>
      <c r="AH436" s="2557"/>
      <c r="AI436" s="2557"/>
      <c r="AJ436" s="2557"/>
    </row>
    <row r="437" spans="1:110" ht="12.75" customHeight="1">
      <c r="D437" s="2500" t="s">
        <v>1443</v>
      </c>
      <c r="E437" s="2501"/>
      <c r="F437" s="2501"/>
      <c r="G437" s="2501"/>
      <c r="H437" s="2501"/>
      <c r="I437" s="2501"/>
      <c r="J437" s="2501"/>
      <c r="K437" s="2501"/>
      <c r="L437" s="2501"/>
      <c r="M437" s="2501"/>
      <c r="N437" s="2501"/>
      <c r="O437" s="2501"/>
      <c r="P437" s="2501"/>
      <c r="Q437" s="2501"/>
      <c r="R437" s="2501"/>
      <c r="S437" s="2501"/>
      <c r="T437" s="2501"/>
      <c r="U437" s="2501"/>
      <c r="V437" s="2501"/>
      <c r="W437" s="2501"/>
      <c r="X437" s="2501"/>
      <c r="Y437" s="2501"/>
      <c r="Z437" s="2501"/>
      <c r="AA437" s="2501"/>
      <c r="AB437" s="2501"/>
      <c r="AC437" s="2501"/>
      <c r="AD437" s="2501"/>
      <c r="AE437" s="2501"/>
      <c r="AF437" s="2502"/>
      <c r="AG437" s="2569">
        <v>0</v>
      </c>
      <c r="AH437" s="2245"/>
      <c r="AI437" s="2245"/>
      <c r="AJ437" s="2245"/>
    </row>
    <row r="438" spans="1:110" ht="12.75" customHeight="1">
      <c r="D438" s="2500" t="s">
        <v>1147</v>
      </c>
      <c r="E438" s="2501"/>
      <c r="F438" s="2501"/>
      <c r="G438" s="2501"/>
      <c r="H438" s="2501"/>
      <c r="I438" s="2501"/>
      <c r="J438" s="2501"/>
      <c r="K438" s="2501"/>
      <c r="L438" s="2501"/>
      <c r="M438" s="2501"/>
      <c r="N438" s="2501"/>
      <c r="O438" s="2501"/>
      <c r="P438" s="2501"/>
      <c r="Q438" s="2501"/>
      <c r="R438" s="2501"/>
      <c r="S438" s="2501"/>
      <c r="T438" s="2501"/>
      <c r="U438" s="2501"/>
      <c r="V438" s="2501"/>
      <c r="W438" s="2501"/>
      <c r="X438" s="2501"/>
      <c r="Y438" s="2501"/>
      <c r="Z438" s="2501"/>
      <c r="AA438" s="2501"/>
      <c r="AB438" s="2501"/>
      <c r="AC438" s="2501"/>
      <c r="AD438" s="2501"/>
      <c r="AE438" s="2501"/>
      <c r="AF438" s="2502"/>
      <c r="AG438" s="2557">
        <v>192</v>
      </c>
      <c r="AH438" s="2557"/>
      <c r="AI438" s="2557"/>
      <c r="AJ438" s="2557"/>
    </row>
    <row r="439" spans="1:110" ht="12.75" customHeight="1">
      <c r="D439" s="2500" t="s">
        <v>1148</v>
      </c>
      <c r="E439" s="2501"/>
      <c r="F439" s="2501"/>
      <c r="G439" s="2501"/>
      <c r="H439" s="2501"/>
      <c r="I439" s="2501"/>
      <c r="J439" s="2501"/>
      <c r="K439" s="2501"/>
      <c r="L439" s="2501"/>
      <c r="M439" s="2501"/>
      <c r="N439" s="2501"/>
      <c r="O439" s="2501"/>
      <c r="P439" s="2501"/>
      <c r="Q439" s="2501"/>
      <c r="R439" s="2501"/>
      <c r="S439" s="2501"/>
      <c r="T439" s="2501"/>
      <c r="U439" s="2501"/>
      <c r="V439" s="2501"/>
      <c r="W439" s="2501"/>
      <c r="X439" s="2501"/>
      <c r="Y439" s="2501"/>
      <c r="Z439" s="2501"/>
      <c r="AA439" s="2501"/>
      <c r="AB439" s="2501"/>
      <c r="AC439" s="2501"/>
      <c r="AD439" s="2501"/>
      <c r="AE439" s="2501"/>
      <c r="AF439" s="2502"/>
      <c r="AG439" s="2557">
        <v>192</v>
      </c>
      <c r="AH439" s="2557"/>
      <c r="AI439" s="2557"/>
      <c r="AJ439" s="2557"/>
    </row>
    <row r="440" spans="1:110" ht="12.75" customHeight="1">
      <c r="D440" s="2500" t="s">
        <v>1150</v>
      </c>
      <c r="E440" s="2501"/>
      <c r="F440" s="2501"/>
      <c r="G440" s="2501"/>
      <c r="H440" s="2501"/>
      <c r="I440" s="2501"/>
      <c r="J440" s="2501"/>
      <c r="K440" s="2501"/>
      <c r="L440" s="2501"/>
      <c r="M440" s="2501"/>
      <c r="N440" s="2501"/>
      <c r="O440" s="2501"/>
      <c r="P440" s="2501"/>
      <c r="Q440" s="2501"/>
      <c r="R440" s="2501"/>
      <c r="S440" s="2501"/>
      <c r="T440" s="2501"/>
      <c r="U440" s="2501"/>
      <c r="V440" s="2501"/>
      <c r="W440" s="2501"/>
      <c r="X440" s="2501"/>
      <c r="Y440" s="2501"/>
      <c r="Z440" s="2501"/>
      <c r="AA440" s="2501"/>
      <c r="AB440" s="2501"/>
      <c r="AC440" s="2501"/>
      <c r="AD440" s="2501"/>
      <c r="AE440" s="2501"/>
      <c r="AF440" s="2502"/>
      <c r="AG440" s="2564">
        <f>IF(ISERROR(AG439/AG438),"",AG439/AG438)</f>
        <v>1</v>
      </c>
      <c r="AH440" s="2564"/>
      <c r="AI440" s="2564"/>
      <c r="AJ440" s="2564"/>
    </row>
    <row r="441" spans="1:110" ht="12.75" customHeight="1">
      <c r="D441" s="2500" t="s">
        <v>1149</v>
      </c>
      <c r="E441" s="2501"/>
      <c r="F441" s="2501"/>
      <c r="G441" s="2501"/>
      <c r="H441" s="2501"/>
      <c r="I441" s="2501"/>
      <c r="J441" s="2501"/>
      <c r="K441" s="2501"/>
      <c r="L441" s="2501"/>
      <c r="M441" s="2501"/>
      <c r="N441" s="2501"/>
      <c r="O441" s="2501"/>
      <c r="P441" s="2501"/>
      <c r="Q441" s="2501"/>
      <c r="R441" s="2501"/>
      <c r="S441" s="2501"/>
      <c r="T441" s="2501"/>
      <c r="U441" s="2501"/>
      <c r="V441" s="2501"/>
      <c r="W441" s="2501"/>
      <c r="X441" s="2501"/>
      <c r="Y441" s="2501"/>
      <c r="Z441" s="2501"/>
      <c r="AA441" s="2501"/>
      <c r="AB441" s="2501"/>
      <c r="AC441" s="2501"/>
      <c r="AD441" s="2501"/>
      <c r="AE441" s="2501"/>
      <c r="AF441" s="2502"/>
      <c r="AG441" s="2468">
        <v>147456</v>
      </c>
      <c r="AH441" s="2468"/>
      <c r="AI441" s="2468"/>
      <c r="AJ441" s="2468"/>
    </row>
    <row r="442" spans="1:110" ht="12.75" customHeight="1">
      <c r="D442" s="2500" t="s">
        <v>1151</v>
      </c>
      <c r="E442" s="2501"/>
      <c r="F442" s="2501"/>
      <c r="G442" s="2501"/>
      <c r="H442" s="2501"/>
      <c r="I442" s="2501"/>
      <c r="J442" s="2501"/>
      <c r="K442" s="2501"/>
      <c r="L442" s="2501"/>
      <c r="M442" s="2501"/>
      <c r="N442" s="2501"/>
      <c r="O442" s="2501"/>
      <c r="P442" s="2501"/>
      <c r="Q442" s="2501"/>
      <c r="R442" s="2501"/>
      <c r="S442" s="2501"/>
      <c r="T442" s="2501"/>
      <c r="U442" s="2501"/>
      <c r="V442" s="2501"/>
      <c r="W442" s="2501"/>
      <c r="X442" s="2501"/>
      <c r="Y442" s="2501"/>
      <c r="Z442" s="2501"/>
      <c r="AA442" s="2501"/>
      <c r="AB442" s="2501"/>
      <c r="AC442" s="2501"/>
      <c r="AD442" s="2501"/>
      <c r="AE442" s="2501"/>
      <c r="AF442" s="2502"/>
      <c r="AG442" s="2468">
        <v>147456</v>
      </c>
      <c r="AH442" s="2468"/>
      <c r="AI442" s="2468"/>
      <c r="AJ442" s="2468"/>
    </row>
    <row r="443" spans="1:110" ht="12.75" customHeight="1">
      <c r="D443" s="2500" t="s">
        <v>1152</v>
      </c>
      <c r="E443" s="2501"/>
      <c r="F443" s="2501"/>
      <c r="G443" s="2501"/>
      <c r="H443" s="2501"/>
      <c r="I443" s="2501"/>
      <c r="J443" s="2501"/>
      <c r="K443" s="2501"/>
      <c r="L443" s="2501"/>
      <c r="M443" s="2501"/>
      <c r="N443" s="2501"/>
      <c r="O443" s="2501"/>
      <c r="P443" s="2501"/>
      <c r="Q443" s="2501"/>
      <c r="R443" s="2501"/>
      <c r="S443" s="2501"/>
      <c r="T443" s="2501"/>
      <c r="U443" s="2501"/>
      <c r="V443" s="2501"/>
      <c r="W443" s="2501"/>
      <c r="X443" s="2501"/>
      <c r="Y443" s="2501"/>
      <c r="Z443" s="2501"/>
      <c r="AA443" s="2501"/>
      <c r="AB443" s="2501"/>
      <c r="AC443" s="2501"/>
      <c r="AD443" s="2501"/>
      <c r="AE443" s="2501"/>
      <c r="AF443" s="2502"/>
      <c r="AG443" s="2564">
        <f>IF(ISERROR(AG442/AG441),"",AG442/AG441)</f>
        <v>1</v>
      </c>
      <c r="AH443" s="2564"/>
      <c r="AI443" s="2564"/>
      <c r="AJ443" s="2564"/>
    </row>
    <row r="444" spans="1:110" ht="12.75" customHeight="1">
      <c r="D444" s="2500" t="s">
        <v>1153</v>
      </c>
      <c r="E444" s="2501"/>
      <c r="F444" s="2501"/>
      <c r="G444" s="2501"/>
      <c r="H444" s="2501"/>
      <c r="I444" s="2501"/>
      <c r="J444" s="2501"/>
      <c r="K444" s="2501"/>
      <c r="L444" s="2501"/>
      <c r="M444" s="2501"/>
      <c r="N444" s="2501"/>
      <c r="O444" s="2501"/>
      <c r="P444" s="2501"/>
      <c r="Q444" s="2501"/>
      <c r="R444" s="2501"/>
      <c r="S444" s="2501"/>
      <c r="T444" s="2501"/>
      <c r="U444" s="2501"/>
      <c r="V444" s="2501"/>
      <c r="W444" s="2501"/>
      <c r="X444" s="2501"/>
      <c r="Y444" s="2501"/>
      <c r="Z444" s="2501"/>
      <c r="AA444" s="2501"/>
      <c r="AB444" s="2501"/>
      <c r="AC444" s="2501"/>
      <c r="AD444" s="2501"/>
      <c r="AE444" s="2501"/>
      <c r="AF444" s="2502"/>
      <c r="AG444" s="2564">
        <f>MIN(IF(AG440&gt;AG443,AG443,AG440),1)</f>
        <v>1</v>
      </c>
      <c r="AH444" s="2564"/>
      <c r="AI444" s="2564"/>
      <c r="AJ444" s="2564"/>
    </row>
    <row r="445" spans="1:110" ht="12.75" customHeight="1">
      <c r="D445" s="2500" t="s">
        <v>1418</v>
      </c>
      <c r="E445" s="2334"/>
      <c r="F445" s="2334"/>
      <c r="G445" s="2334"/>
      <c r="H445" s="2334"/>
      <c r="I445" s="2334"/>
      <c r="J445" s="2334"/>
      <c r="K445" s="2334"/>
      <c r="L445" s="2334"/>
      <c r="M445" s="2334"/>
      <c r="N445" s="2334"/>
      <c r="O445" s="2334"/>
      <c r="P445" s="2334"/>
      <c r="Q445" s="2334"/>
      <c r="R445" s="2334"/>
      <c r="S445" s="2334"/>
      <c r="T445" s="2334"/>
      <c r="U445" s="2334"/>
      <c r="V445" s="2334"/>
      <c r="W445" s="2334"/>
      <c r="X445" s="2334"/>
      <c r="Y445" s="2334"/>
      <c r="Z445" s="2334"/>
      <c r="AA445" s="2334"/>
      <c r="AB445" s="2334"/>
      <c r="AC445" s="2334"/>
      <c r="AD445" s="2334"/>
      <c r="AE445" s="2334"/>
      <c r="AF445" s="2543"/>
      <c r="AG445" s="2468">
        <v>4031</v>
      </c>
      <c r="AH445" s="2468"/>
      <c r="AI445" s="2468"/>
      <c r="AJ445" s="2468"/>
    </row>
    <row r="446" spans="1:110" ht="12.75" customHeight="1">
      <c r="D446" s="2333" t="s">
        <v>602</v>
      </c>
      <c r="E446" s="2334"/>
      <c r="F446" s="2334"/>
      <c r="G446" s="2334"/>
      <c r="H446" s="2334"/>
      <c r="I446" s="2334"/>
      <c r="J446" s="2334"/>
      <c r="K446" s="2334"/>
      <c r="L446" s="2334"/>
      <c r="M446" s="2334"/>
      <c r="N446" s="2334"/>
      <c r="O446" s="2334"/>
      <c r="P446" s="2334"/>
      <c r="Q446" s="2334"/>
      <c r="R446" s="2334"/>
      <c r="S446" s="2334"/>
      <c r="T446" s="2334"/>
      <c r="U446" s="2334"/>
      <c r="V446" s="2334"/>
      <c r="W446" s="2334"/>
      <c r="X446" s="2334"/>
      <c r="Y446" s="2334"/>
      <c r="Z446" s="2334"/>
      <c r="AA446" s="2334"/>
      <c r="AB446" s="2334"/>
      <c r="AC446" s="2334"/>
      <c r="AD446" s="2334"/>
      <c r="AE446" s="2334"/>
      <c r="AF446" s="2543"/>
      <c r="AG446" s="2468">
        <v>0</v>
      </c>
      <c r="AH446" s="2468"/>
      <c r="AI446" s="2468"/>
      <c r="AJ446" s="24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500" t="s">
        <v>1419</v>
      </c>
      <c r="E447" s="2334"/>
      <c r="F447" s="2334"/>
      <c r="G447" s="2334"/>
      <c r="H447" s="2334"/>
      <c r="I447" s="2334"/>
      <c r="J447" s="2334"/>
      <c r="K447" s="2334"/>
      <c r="L447" s="2334"/>
      <c r="M447" s="2334"/>
      <c r="N447" s="2334"/>
      <c r="O447" s="2334"/>
      <c r="P447" s="2334"/>
      <c r="Q447" s="2334"/>
      <c r="R447" s="2334"/>
      <c r="S447" s="2334"/>
      <c r="T447" s="2334"/>
      <c r="U447" s="2334"/>
      <c r="V447" s="2334"/>
      <c r="W447" s="2334"/>
      <c r="X447" s="2334"/>
      <c r="Y447" s="2334"/>
      <c r="Z447" s="2334"/>
      <c r="AA447" s="2334"/>
      <c r="AB447" s="2334"/>
      <c r="AC447" s="2334"/>
      <c r="AD447" s="2334"/>
      <c r="AE447" s="2334"/>
      <c r="AF447" s="2543"/>
      <c r="AG447" s="2468">
        <v>6599</v>
      </c>
      <c r="AH447" s="2468"/>
      <c r="AI447" s="2468"/>
      <c r="AJ447" s="24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0" t="s">
        <v>1154</v>
      </c>
      <c r="E448" s="2334"/>
      <c r="F448" s="2334"/>
      <c r="G448" s="2334"/>
      <c r="H448" s="2334"/>
      <c r="I448" s="2334"/>
      <c r="J448" s="2334"/>
      <c r="K448" s="2334"/>
      <c r="L448" s="2334"/>
      <c r="M448" s="2334"/>
      <c r="N448" s="2334"/>
      <c r="O448" s="2334"/>
      <c r="P448" s="2334"/>
      <c r="Q448" s="2334"/>
      <c r="R448" s="2334"/>
      <c r="S448" s="2334"/>
      <c r="T448" s="2334"/>
      <c r="U448" s="2334"/>
      <c r="V448" s="2334"/>
      <c r="W448" s="2334"/>
      <c r="X448" s="2334"/>
      <c r="Y448" s="2334"/>
      <c r="Z448" s="2334"/>
      <c r="AA448" s="2334"/>
      <c r="AB448" s="2334"/>
      <c r="AC448" s="2334"/>
      <c r="AD448" s="2334"/>
      <c r="AE448" s="2334"/>
      <c r="AF448" s="2543"/>
      <c r="AG448" s="2468">
        <v>0</v>
      </c>
      <c r="AH448" s="2468"/>
      <c r="AI448" s="2468"/>
      <c r="AJ448" s="246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3" t="s">
        <v>1155</v>
      </c>
      <c r="E449" s="2494"/>
      <c r="F449" s="2494"/>
      <c r="G449" s="2494"/>
      <c r="H449" s="2494"/>
      <c r="I449" s="2494"/>
      <c r="J449" s="2494"/>
      <c r="K449" s="2494"/>
      <c r="L449" s="2494"/>
      <c r="M449" s="2494"/>
      <c r="N449" s="2494"/>
      <c r="O449" s="2494"/>
      <c r="P449" s="2494"/>
      <c r="Q449" s="2494"/>
      <c r="R449" s="2494"/>
      <c r="S449" s="2494"/>
      <c r="T449" s="2494"/>
      <c r="U449" s="2494"/>
      <c r="V449" s="2494"/>
      <c r="W449" s="2494"/>
      <c r="X449" s="2494"/>
      <c r="Y449" s="2494"/>
      <c r="Z449" s="2494"/>
      <c r="AA449" s="2494"/>
      <c r="AB449" s="2494"/>
      <c r="AC449" s="2494"/>
      <c r="AD449" s="2494"/>
      <c r="AE449" s="2494"/>
      <c r="AF449" s="2495"/>
      <c r="AG449" s="2558">
        <f>AG441+AG445+AG447+AG448</f>
        <v>158086</v>
      </c>
      <c r="AH449" s="2558"/>
      <c r="AI449" s="2558"/>
      <c r="AJ449" s="255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6" t="s">
        <v>1420</v>
      </c>
      <c r="E450" s="2496"/>
      <c r="F450" s="2496"/>
      <c r="G450" s="2496"/>
      <c r="H450" s="2496"/>
      <c r="I450" s="2496"/>
      <c r="J450" s="2496"/>
      <c r="K450" s="2496"/>
      <c r="L450" s="2496"/>
      <c r="M450" s="2496"/>
      <c r="N450" s="2496"/>
      <c r="O450" s="2496"/>
      <c r="P450" s="2496"/>
      <c r="Q450" s="2496"/>
      <c r="R450" s="2496"/>
      <c r="S450" s="2496"/>
      <c r="T450" s="2496"/>
      <c r="U450" s="2496"/>
      <c r="V450" s="2496"/>
      <c r="W450" s="2496"/>
      <c r="X450" s="2496"/>
      <c r="Y450" s="2496"/>
      <c r="Z450" s="2496"/>
      <c r="AA450" s="2496"/>
      <c r="AB450" s="2496"/>
      <c r="AC450" s="2496"/>
      <c r="AD450" s="2496"/>
      <c r="AE450" s="2496"/>
      <c r="AF450" s="2496"/>
      <c r="AG450" s="2496"/>
      <c r="AH450" s="2496"/>
      <c r="AI450" s="2496"/>
      <c r="AJ450" s="24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7"/>
      <c r="E451" s="2497"/>
      <c r="F451" s="2497"/>
      <c r="G451" s="2497"/>
      <c r="H451" s="2497"/>
      <c r="I451" s="2497"/>
      <c r="J451" s="2497"/>
      <c r="K451" s="2497"/>
      <c r="L451" s="2497"/>
      <c r="M451" s="2497"/>
      <c r="N451" s="2497"/>
      <c r="O451" s="2497"/>
      <c r="P451" s="2497"/>
      <c r="Q451" s="2497"/>
      <c r="R451" s="2497"/>
      <c r="S451" s="2497"/>
      <c r="T451" s="2497"/>
      <c r="U451" s="2497"/>
      <c r="V451" s="2497"/>
      <c r="W451" s="2497"/>
      <c r="X451" s="2497"/>
      <c r="Y451" s="2497"/>
      <c r="Z451" s="2497"/>
      <c r="AA451" s="2497"/>
      <c r="AB451" s="2497"/>
      <c r="AC451" s="2497"/>
      <c r="AD451" s="2497"/>
      <c r="AE451" s="2497"/>
      <c r="AF451" s="2497"/>
      <c r="AG451" s="2497"/>
      <c r="AH451" s="2497"/>
      <c r="AI451" s="2497"/>
      <c r="AJ451" s="24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4">
        <f>'Sources and Uses Budget'!B105/Application!AG436</f>
        <v>321807.55670103093</v>
      </c>
      <c r="AD453" s="2554"/>
      <c r="AE453" s="2554"/>
      <c r="AF453" s="255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4">
        <f>'Sources and Uses Budget'!C105/Application!AG436</f>
        <v>321807.55670103093</v>
      </c>
      <c r="AD454" s="2554"/>
      <c r="AE454" s="2554"/>
      <c r="AF454" s="255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4">
        <f>('Sources and Uses Budget'!$S$107+'Sources and Uses Budget'!$T$107)/Application!AG436</f>
        <v>297684.43814432988</v>
      </c>
      <c r="AD455" s="2554"/>
      <c r="AE455" s="2554"/>
      <c r="AF455" s="255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9" t="s">
        <v>733</v>
      </c>
      <c r="E464" s="2470"/>
      <c r="F464" s="2470"/>
      <c r="G464" s="2470"/>
      <c r="H464" s="2470"/>
      <c r="I464" s="2470"/>
      <c r="J464" s="2470"/>
      <c r="K464" s="2470"/>
      <c r="L464" s="2470"/>
      <c r="M464" s="2470"/>
      <c r="N464" s="2470"/>
      <c r="O464" s="2470"/>
      <c r="P464" s="2470"/>
      <c r="Q464" s="2470"/>
      <c r="R464" s="2470"/>
      <c r="S464" s="2470"/>
      <c r="T464" s="2470"/>
      <c r="U464" s="2470"/>
      <c r="V464" s="2471"/>
      <c r="W464" s="2437" t="s">
        <v>626</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9" t="s">
        <v>734</v>
      </c>
      <c r="E465" s="2470"/>
      <c r="F465" s="2470"/>
      <c r="G465" s="2470"/>
      <c r="H465" s="2470"/>
      <c r="I465" s="2470"/>
      <c r="J465" s="2470"/>
      <c r="K465" s="2470"/>
      <c r="L465" s="2470"/>
      <c r="M465" s="2470"/>
      <c r="N465" s="2470"/>
      <c r="O465" s="2470"/>
      <c r="P465" s="2470"/>
      <c r="Q465" s="2470"/>
      <c r="R465" s="2470"/>
      <c r="S465" s="2470"/>
      <c r="T465" s="2470"/>
      <c r="U465" s="2470"/>
      <c r="V465" s="2471"/>
      <c r="W465" s="2437" t="s">
        <v>626</v>
      </c>
      <c r="X465" s="2438"/>
      <c r="Y465" s="24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9" t="s">
        <v>735</v>
      </c>
      <c r="E466" s="2470"/>
      <c r="F466" s="2470"/>
      <c r="G466" s="2470"/>
      <c r="H466" s="2470"/>
      <c r="I466" s="2470"/>
      <c r="J466" s="2470"/>
      <c r="K466" s="2470"/>
      <c r="L466" s="2470"/>
      <c r="M466" s="2470"/>
      <c r="N466" s="2470"/>
      <c r="O466" s="2470"/>
      <c r="P466" s="2470"/>
      <c r="Q466" s="2470"/>
      <c r="R466" s="2470"/>
      <c r="S466" s="2470"/>
      <c r="T466" s="2470"/>
      <c r="U466" s="2470"/>
      <c r="V466" s="2471"/>
      <c r="W466" s="2437" t="s">
        <v>626</v>
      </c>
      <c r="X466" s="2438"/>
      <c r="Y466" s="24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9" t="s">
        <v>736</v>
      </c>
      <c r="E467" s="2470"/>
      <c r="F467" s="2470"/>
      <c r="G467" s="2470"/>
      <c r="H467" s="2470"/>
      <c r="I467" s="2470"/>
      <c r="J467" s="2470"/>
      <c r="K467" s="2470"/>
      <c r="L467" s="2470"/>
      <c r="M467" s="2470"/>
      <c r="N467" s="2470"/>
      <c r="O467" s="2470"/>
      <c r="P467" s="2470"/>
      <c r="Q467" s="2470"/>
      <c r="R467" s="2470"/>
      <c r="S467" s="2470"/>
      <c r="T467" s="2470"/>
      <c r="U467" s="2470"/>
      <c r="V467" s="2471"/>
      <c r="W467" s="2437" t="s">
        <v>626</v>
      </c>
      <c r="X467" s="2438"/>
      <c r="Y467" s="24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9" t="s">
        <v>948</v>
      </c>
      <c r="E468" s="2470"/>
      <c r="F468" s="2470"/>
      <c r="G468" s="2470"/>
      <c r="H468" s="2470"/>
      <c r="I468" s="2470"/>
      <c r="J468" s="2470"/>
      <c r="K468" s="2470"/>
      <c r="L468" s="2470"/>
      <c r="M468" s="2470"/>
      <c r="N468" s="2470"/>
      <c r="O468" s="2470"/>
      <c r="P468" s="2470"/>
      <c r="Q468" s="2470"/>
      <c r="R468" s="2470"/>
      <c r="S468" s="2470"/>
      <c r="T468" s="2470"/>
      <c r="U468" s="2470"/>
      <c r="V468" s="2471"/>
      <c r="W468" s="2437" t="s">
        <v>626</v>
      </c>
      <c r="X468" s="2438"/>
      <c r="Y468" s="24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9" t="s">
        <v>737</v>
      </c>
      <c r="E469" s="2470"/>
      <c r="F469" s="2470"/>
      <c r="G469" s="2470"/>
      <c r="H469" s="2470"/>
      <c r="I469" s="2470"/>
      <c r="J469" s="2470"/>
      <c r="K469" s="2470"/>
      <c r="L469" s="2470"/>
      <c r="M469" s="2470"/>
      <c r="N469" s="2470"/>
      <c r="O469" s="2470"/>
      <c r="P469" s="2470"/>
      <c r="Q469" s="2470"/>
      <c r="R469" s="2470"/>
      <c r="S469" s="2470"/>
      <c r="T469" s="2470"/>
      <c r="U469" s="2470"/>
      <c r="V469" s="2471"/>
      <c r="W469" s="2437" t="s">
        <v>626</v>
      </c>
      <c r="X469" s="2438"/>
      <c r="Y469" s="24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9" t="s">
        <v>1121</v>
      </c>
      <c r="E470" s="2470"/>
      <c r="F470" s="2470"/>
      <c r="G470" s="2470"/>
      <c r="H470" s="2470"/>
      <c r="I470" s="2470"/>
      <c r="J470" s="2470"/>
      <c r="K470" s="2470"/>
      <c r="L470" s="2470"/>
      <c r="M470" s="2470"/>
      <c r="N470" s="2470"/>
      <c r="O470" s="2470"/>
      <c r="P470" s="2470"/>
      <c r="Q470" s="2470"/>
      <c r="R470" s="2470"/>
      <c r="S470" s="2470"/>
      <c r="T470" s="2470"/>
      <c r="U470" s="2470"/>
      <c r="V470" s="2471"/>
      <c r="W470" s="2437" t="s">
        <v>626</v>
      </c>
      <c r="X470" s="2438"/>
      <c r="Y470" s="24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6" t="s">
        <v>2022</v>
      </c>
      <c r="E471" s="2470"/>
      <c r="F471" s="2470"/>
      <c r="G471" s="2470"/>
      <c r="H471" s="2470"/>
      <c r="I471" s="2470"/>
      <c r="J471" s="2470"/>
      <c r="K471" s="2470"/>
      <c r="L471" s="2470"/>
      <c r="M471" s="2470"/>
      <c r="N471" s="2470"/>
      <c r="O471" s="2470"/>
      <c r="P471" s="2470"/>
      <c r="Q471" s="2470"/>
      <c r="R471" s="2470"/>
      <c r="S471" s="2470"/>
      <c r="T471" s="2470"/>
      <c r="U471" s="2470"/>
      <c r="V471" s="2471"/>
      <c r="W471" s="2512">
        <v>29</v>
      </c>
      <c r="X471" s="2438"/>
      <c r="Y471" s="24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68" t="s">
        <v>2564</v>
      </c>
      <c r="H472" s="2069"/>
      <c r="I472" s="2069"/>
      <c r="J472" s="2069"/>
      <c r="K472" s="2069"/>
      <c r="L472" s="2069"/>
      <c r="M472" s="2069"/>
      <c r="N472" s="2069"/>
      <c r="O472" s="2069"/>
      <c r="P472" s="2069"/>
      <c r="Q472" s="2069"/>
      <c r="R472" s="2069"/>
      <c r="S472" s="2069"/>
      <c r="T472" s="2069"/>
      <c r="U472" s="2069"/>
      <c r="V472" s="2070"/>
      <c r="W472" s="2437">
        <v>20</v>
      </c>
      <c r="X472" s="2438"/>
      <c r="Y472" s="24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2" t="s">
        <v>871</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98" t="s">
        <v>872</v>
      </c>
      <c r="U483" s="2499"/>
      <c r="V483" s="2499"/>
      <c r="W483" s="2499"/>
      <c r="X483" s="2499"/>
      <c r="Y483" s="2499"/>
      <c r="Z483" s="2499"/>
      <c r="AA483" s="2499"/>
      <c r="AB483" s="2499"/>
      <c r="AC483" s="2499"/>
      <c r="AD483" s="2499"/>
      <c r="AE483" s="2499"/>
      <c r="AF483" s="2499"/>
      <c r="AG483" s="2499"/>
      <c r="AH483" s="253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2" t="s">
        <v>36</v>
      </c>
      <c r="U484" s="2472"/>
      <c r="V484" s="2472"/>
      <c r="W484" s="2472"/>
      <c r="X484" s="2472"/>
      <c r="Y484" s="2472" t="s">
        <v>37</v>
      </c>
      <c r="Z484" s="2472"/>
      <c r="AA484" s="2472"/>
      <c r="AB484" s="2472"/>
      <c r="AC484" s="2472"/>
      <c r="AD484" s="2472" t="s">
        <v>349</v>
      </c>
      <c r="AE484" s="2472"/>
      <c r="AF484" s="2472"/>
      <c r="AG484" s="2472"/>
      <c r="AH484" s="24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76">
        <v>0</v>
      </c>
      <c r="U486" s="2076"/>
      <c r="V486" s="2076"/>
      <c r="W486" s="2076"/>
      <c r="X486" s="2076"/>
      <c r="Y486" s="2076">
        <v>0</v>
      </c>
      <c r="Z486" s="2076"/>
      <c r="AA486" s="2076"/>
      <c r="AB486" s="2076"/>
      <c r="AC486" s="2076"/>
      <c r="AD486" s="2076">
        <v>0</v>
      </c>
      <c r="AE486" s="2076"/>
      <c r="AF486" s="2076"/>
      <c r="AG486" s="2076"/>
      <c r="AH486" s="207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76">
        <v>0</v>
      </c>
      <c r="U487" s="2076"/>
      <c r="V487" s="2076"/>
      <c r="W487" s="2076"/>
      <c r="X487" s="2076"/>
      <c r="Y487" s="2076">
        <v>0</v>
      </c>
      <c r="Z487" s="2076"/>
      <c r="AA487" s="2076"/>
      <c r="AB487" s="2076"/>
      <c r="AC487" s="2076"/>
      <c r="AD487" s="2076">
        <v>0</v>
      </c>
      <c r="AE487" s="2076"/>
      <c r="AF487" s="2076"/>
      <c r="AG487" s="2076"/>
      <c r="AH487" s="207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76">
        <v>0</v>
      </c>
      <c r="U488" s="2076"/>
      <c r="V488" s="2076"/>
      <c r="W488" s="2076"/>
      <c r="X488" s="2076"/>
      <c r="Y488" s="2076">
        <v>0</v>
      </c>
      <c r="Z488" s="2076"/>
      <c r="AA488" s="2076"/>
      <c r="AB488" s="2076"/>
      <c r="AC488" s="2076"/>
      <c r="AD488" s="2076">
        <v>0</v>
      </c>
      <c r="AE488" s="2076"/>
      <c r="AF488" s="2076"/>
      <c r="AG488" s="2076"/>
      <c r="AH488" s="207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76">
        <v>0</v>
      </c>
      <c r="U489" s="2076"/>
      <c r="V489" s="2076"/>
      <c r="W489" s="2076"/>
      <c r="X489" s="2076"/>
      <c r="Y489" s="2076">
        <v>0</v>
      </c>
      <c r="Z489" s="2076"/>
      <c r="AA489" s="2076"/>
      <c r="AB489" s="2076"/>
      <c r="AC489" s="2076"/>
      <c r="AD489" s="2076">
        <v>0</v>
      </c>
      <c r="AE489" s="2076"/>
      <c r="AF489" s="2076"/>
      <c r="AG489" s="2076"/>
      <c r="AH489" s="207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76">
        <v>0</v>
      </c>
      <c r="U490" s="2076"/>
      <c r="V490" s="2076"/>
      <c r="W490" s="2076"/>
      <c r="X490" s="2076"/>
      <c r="Y490" s="2076">
        <v>0</v>
      </c>
      <c r="Z490" s="2076"/>
      <c r="AA490" s="2076"/>
      <c r="AB490" s="2076"/>
      <c r="AC490" s="2076"/>
      <c r="AD490" s="2076">
        <v>0</v>
      </c>
      <c r="AE490" s="2076"/>
      <c r="AF490" s="2076"/>
      <c r="AG490" s="2076"/>
      <c r="AH490" s="207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76">
        <v>0</v>
      </c>
      <c r="U491" s="2076"/>
      <c r="V491" s="2076"/>
      <c r="W491" s="2076"/>
      <c r="X491" s="2076"/>
      <c r="Y491" s="2076">
        <v>0</v>
      </c>
      <c r="Z491" s="2076"/>
      <c r="AA491" s="2076"/>
      <c r="AB491" s="2076"/>
      <c r="AC491" s="2076"/>
      <c r="AD491" s="2076">
        <v>0</v>
      </c>
      <c r="AE491" s="2076"/>
      <c r="AF491" s="2076"/>
      <c r="AG491" s="2076"/>
      <c r="AH491" s="207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76">
        <v>44147</v>
      </c>
      <c r="U492" s="2076"/>
      <c r="V492" s="2076"/>
      <c r="W492" s="2076"/>
      <c r="X492" s="2076"/>
      <c r="Y492" s="2076">
        <v>44266</v>
      </c>
      <c r="Z492" s="2076"/>
      <c r="AA492" s="2076"/>
      <c r="AB492" s="2076"/>
      <c r="AC492" s="2076"/>
      <c r="AD492" s="2076">
        <v>0</v>
      </c>
      <c r="AE492" s="2076"/>
      <c r="AF492" s="2076"/>
      <c r="AG492" s="2076"/>
      <c r="AH492" s="207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76">
        <v>0</v>
      </c>
      <c r="U493" s="2076"/>
      <c r="V493" s="2076"/>
      <c r="W493" s="2076"/>
      <c r="X493" s="2076"/>
      <c r="Y493" s="2076">
        <v>0</v>
      </c>
      <c r="Z493" s="2076"/>
      <c r="AA493" s="2076"/>
      <c r="AB493" s="2076"/>
      <c r="AC493" s="2076"/>
      <c r="AD493" s="2076">
        <v>0</v>
      </c>
      <c r="AE493" s="2076"/>
      <c r="AF493" s="2076"/>
      <c r="AG493" s="2076"/>
      <c r="AH493" s="207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76">
        <v>0</v>
      </c>
      <c r="U494" s="2076"/>
      <c r="V494" s="2076"/>
      <c r="W494" s="2076"/>
      <c r="X494" s="2076"/>
      <c r="Y494" s="2076">
        <v>0</v>
      </c>
      <c r="Z494" s="2076"/>
      <c r="AA494" s="2076"/>
      <c r="AB494" s="2076"/>
      <c r="AC494" s="2076"/>
      <c r="AD494" s="2076">
        <v>0</v>
      </c>
      <c r="AE494" s="2076"/>
      <c r="AF494" s="2076"/>
      <c r="AG494" s="2076"/>
      <c r="AH494" s="207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76">
        <v>0</v>
      </c>
      <c r="U495" s="2076"/>
      <c r="V495" s="2076"/>
      <c r="W495" s="2076"/>
      <c r="X495" s="2076"/>
      <c r="Y495" s="2076">
        <v>0</v>
      </c>
      <c r="Z495" s="2076"/>
      <c r="AA495" s="2076"/>
      <c r="AB495" s="2076"/>
      <c r="AC495" s="2076"/>
      <c r="AD495" s="2076">
        <v>0</v>
      </c>
      <c r="AE495" s="2076"/>
      <c r="AF495" s="2076"/>
      <c r="AG495" s="2076"/>
      <c r="AH495" s="207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0" t="s">
        <v>415</v>
      </c>
      <c r="R497" s="2491"/>
      <c r="S497" s="2491"/>
      <c r="T497" s="2491"/>
      <c r="U497" s="2491"/>
      <c r="V497" s="2491"/>
      <c r="W497" s="2491"/>
      <c r="X497" s="2491"/>
      <c r="Y497" s="2491"/>
      <c r="Z497" s="2491"/>
      <c r="AA497" s="2491"/>
      <c r="AB497" s="2491"/>
      <c r="AC497" s="2491"/>
      <c r="AD497" s="2491"/>
      <c r="AE497" s="2491"/>
      <c r="AF497" s="2491"/>
      <c r="AG497" s="2491"/>
      <c r="AH497" s="2491"/>
      <c r="AI497" s="2491"/>
      <c r="AJ497" s="2491"/>
      <c r="AK497" s="249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077" t="s">
        <v>2536</v>
      </c>
      <c r="R498" s="2018"/>
      <c r="S498" s="2018"/>
      <c r="T498" s="2018"/>
      <c r="U498" s="2018"/>
      <c r="V498" s="2018"/>
      <c r="W498" s="2018"/>
      <c r="X498" s="2018"/>
      <c r="Y498" s="2018"/>
      <c r="Z498" s="2018"/>
      <c r="AA498" s="2018"/>
      <c r="AB498" s="2018"/>
      <c r="AC498" s="2018"/>
      <c r="AD498" s="2018"/>
      <c r="AE498" s="2018"/>
      <c r="AF498" s="2018"/>
      <c r="AG498" s="2018"/>
      <c r="AH498" s="2018"/>
      <c r="AI498" s="2018"/>
      <c r="AJ498" s="2018"/>
      <c r="AK498" s="207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077" t="s">
        <v>2509</v>
      </c>
      <c r="R499" s="2018"/>
      <c r="S499" s="2018"/>
      <c r="T499" s="2018"/>
      <c r="U499" s="2018"/>
      <c r="V499" s="2018"/>
      <c r="W499" s="2018"/>
      <c r="X499" s="2018"/>
      <c r="Y499" s="2018"/>
      <c r="Z499" s="2018"/>
      <c r="AA499" s="2018"/>
      <c r="AB499" s="2018"/>
      <c r="AC499" s="2018"/>
      <c r="AD499" s="2018"/>
      <c r="AE499" s="2018"/>
      <c r="AF499" s="2018"/>
      <c r="AG499" s="2018"/>
      <c r="AH499" s="2018"/>
      <c r="AI499" s="2018"/>
      <c r="AJ499" s="2018"/>
      <c r="AK499" s="207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077" t="s">
        <v>2510</v>
      </c>
      <c r="R500" s="2018"/>
      <c r="S500" s="2018"/>
      <c r="T500" s="2018"/>
      <c r="U500" s="2018"/>
      <c r="V500" s="2018"/>
      <c r="W500" s="2018"/>
      <c r="X500" s="2018"/>
      <c r="Y500" s="2018"/>
      <c r="Z500" s="2018"/>
      <c r="AA500" s="2018"/>
      <c r="AB500" s="2018"/>
      <c r="AC500" s="2018"/>
      <c r="AD500" s="2018"/>
      <c r="AE500" s="2018"/>
      <c r="AF500" s="2018"/>
      <c r="AG500" s="2018"/>
      <c r="AH500" s="2018"/>
      <c r="AI500" s="2018"/>
      <c r="AJ500" s="2018"/>
      <c r="AK500" s="207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3" t="s">
        <v>419</v>
      </c>
      <c r="C501" s="2514"/>
      <c r="D501" s="2514"/>
      <c r="E501" s="2514"/>
      <c r="F501" s="2514"/>
      <c r="G501" s="2514"/>
      <c r="H501" s="2514"/>
      <c r="I501" s="2514"/>
      <c r="J501" s="2514"/>
      <c r="K501" s="2514"/>
      <c r="L501" s="2514"/>
      <c r="M501" s="2514"/>
      <c r="N501" s="2514"/>
      <c r="O501" s="2514"/>
      <c r="P501" s="2515"/>
      <c r="Q501" s="2519" t="s">
        <v>578</v>
      </c>
      <c r="R501" s="2520"/>
      <c r="S501" s="2321" t="s">
        <v>2511</v>
      </c>
      <c r="T501" s="2322"/>
      <c r="U501" s="2322"/>
      <c r="V501" s="2322"/>
      <c r="W501" s="2322"/>
      <c r="X501" s="2322"/>
      <c r="Y501" s="2322"/>
      <c r="Z501" s="2322"/>
      <c r="AA501" s="2322"/>
      <c r="AB501" s="2322"/>
      <c r="AC501" s="2322"/>
      <c r="AD501" s="2322"/>
      <c r="AE501" s="2322"/>
      <c r="AF501" s="2322"/>
      <c r="AG501" s="2322"/>
      <c r="AH501" s="2322"/>
      <c r="AI501" s="2322"/>
      <c r="AJ501" s="2322"/>
      <c r="AK501" s="232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6"/>
      <c r="C502" s="2517"/>
      <c r="D502" s="2517"/>
      <c r="E502" s="2517"/>
      <c r="F502" s="2517"/>
      <c r="G502" s="2517"/>
      <c r="H502" s="2517"/>
      <c r="I502" s="2517"/>
      <c r="J502" s="2517"/>
      <c r="K502" s="2517"/>
      <c r="L502" s="2517"/>
      <c r="M502" s="2517"/>
      <c r="N502" s="2517"/>
      <c r="O502" s="2517"/>
      <c r="P502" s="2518"/>
      <c r="Q502" s="2521"/>
      <c r="R502" s="2522"/>
      <c r="S502" s="2324"/>
      <c r="T502" s="2325"/>
      <c r="U502" s="2325"/>
      <c r="V502" s="2325"/>
      <c r="W502" s="2325"/>
      <c r="X502" s="2325"/>
      <c r="Y502" s="2325"/>
      <c r="Z502" s="2325"/>
      <c r="AA502" s="2325"/>
      <c r="AB502" s="2325"/>
      <c r="AC502" s="2325"/>
      <c r="AD502" s="2325"/>
      <c r="AE502" s="2325"/>
      <c r="AF502" s="2325"/>
      <c r="AG502" s="2325"/>
      <c r="AH502" s="2325"/>
      <c r="AI502" s="2325"/>
      <c r="AJ502" s="2325"/>
      <c r="AK502" s="232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566" t="s">
        <v>706</v>
      </c>
      <c r="R503" s="2567"/>
      <c r="S503" s="2567"/>
      <c r="T503" s="2567"/>
      <c r="U503" s="2567"/>
      <c r="V503" s="2567"/>
      <c r="W503" s="2567"/>
      <c r="X503" s="2567"/>
      <c r="Y503" s="2567"/>
      <c r="Z503" s="2567"/>
      <c r="AA503" s="2567"/>
      <c r="AB503" s="2567"/>
      <c r="AC503" s="2567"/>
      <c r="AD503" s="2567"/>
      <c r="AE503" s="2567"/>
      <c r="AF503" s="2567"/>
      <c r="AG503" s="2567"/>
      <c r="AH503" s="2567"/>
      <c r="AI503" s="2567"/>
      <c r="AJ503" s="2567"/>
      <c r="AK503" s="25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077" t="s">
        <v>2565</v>
      </c>
      <c r="R504" s="2018"/>
      <c r="S504" s="2018"/>
      <c r="T504" s="2018"/>
      <c r="U504" s="2018"/>
      <c r="V504" s="2018"/>
      <c r="W504" s="2018"/>
      <c r="X504" s="2018"/>
      <c r="Y504" s="2018"/>
      <c r="Z504" s="2018"/>
      <c r="AA504" s="2018"/>
      <c r="AB504" s="2018"/>
      <c r="AC504" s="2018"/>
      <c r="AD504" s="2018"/>
      <c r="AE504" s="2018"/>
      <c r="AF504" s="2018"/>
      <c r="AG504" s="2018"/>
      <c r="AH504" s="2018"/>
      <c r="AI504" s="2018"/>
      <c r="AJ504" s="2018"/>
      <c r="AK504" s="207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387">
        <v>1.5</v>
      </c>
      <c r="R505" s="2018"/>
      <c r="S505" s="2018"/>
      <c r="T505" s="2018"/>
      <c r="U505" s="2018"/>
      <c r="V505" s="2018"/>
      <c r="W505" s="2018"/>
      <c r="X505" s="2018"/>
      <c r="Y505" s="2018"/>
      <c r="Z505" s="2018"/>
      <c r="AA505" s="2018"/>
      <c r="AB505" s="2018"/>
      <c r="AC505" s="2018"/>
      <c r="AD505" s="2018"/>
      <c r="AE505" s="2018"/>
      <c r="AF505" s="2018"/>
      <c r="AG505" s="2018"/>
      <c r="AH505" s="2018"/>
      <c r="AI505" s="2018"/>
      <c r="AJ505" s="2018"/>
      <c r="AK505" s="207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87">
        <v>320</v>
      </c>
      <c r="R506" s="2018"/>
      <c r="S506" s="2018"/>
      <c r="T506" s="2018"/>
      <c r="U506" s="2018"/>
      <c r="V506" s="2018"/>
      <c r="W506" s="2018"/>
      <c r="X506" s="2018"/>
      <c r="Y506" s="2018"/>
      <c r="Z506" s="2018"/>
      <c r="AA506" s="2018"/>
      <c r="AB506" s="2018"/>
      <c r="AC506" s="2018"/>
      <c r="AD506" s="2018"/>
      <c r="AE506" s="2018"/>
      <c r="AF506" s="2018"/>
      <c r="AG506" s="2018"/>
      <c r="AH506" s="2018"/>
      <c r="AI506" s="2018"/>
      <c r="AJ506" s="2018"/>
      <c r="AK506" s="207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091">
        <v>205</v>
      </c>
      <c r="N507" s="2092"/>
      <c r="O507" s="2092"/>
      <c r="P507" s="2093"/>
      <c r="Q507" s="1523" t="s">
        <v>2041</v>
      </c>
      <c r="R507" s="1524"/>
      <c r="S507" s="1524"/>
      <c r="T507" s="1524"/>
      <c r="U507" s="1524"/>
      <c r="V507" s="1524"/>
      <c r="W507" s="1524"/>
      <c r="X507" s="1524"/>
      <c r="Y507" s="1524"/>
      <c r="Z507" s="1524"/>
      <c r="AA507" s="1524"/>
      <c r="AB507" s="1524"/>
      <c r="AC507" s="1524"/>
      <c r="AD507" s="1524"/>
      <c r="AE507" s="1524"/>
      <c r="AF507" s="1524"/>
      <c r="AG507" s="1524"/>
      <c r="AH507" s="2091">
        <f>42+73</f>
        <v>115</v>
      </c>
      <c r="AI507" s="2092"/>
      <c r="AJ507" s="2092"/>
      <c r="AK507" s="209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0" t="s">
        <v>423</v>
      </c>
      <c r="AD511" s="2491"/>
      <c r="AE511" s="2491"/>
      <c r="AF511" s="2491"/>
      <c r="AG511" s="2491"/>
      <c r="AH511" s="2491"/>
      <c r="AI511" s="2491"/>
      <c r="AJ511" s="2491"/>
      <c r="AK511" s="249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8" t="s">
        <v>424</v>
      </c>
      <c r="AD512" s="2499"/>
      <c r="AE512" s="2499"/>
      <c r="AF512" s="2499"/>
      <c r="AG512" s="82" t="s">
        <v>425</v>
      </c>
      <c r="AH512" s="2499" t="s">
        <v>426</v>
      </c>
      <c r="AI512" s="2499"/>
      <c r="AJ512" s="2499"/>
      <c r="AK512" s="253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3" t="s">
        <v>427</v>
      </c>
      <c r="C513" s="2504"/>
      <c r="D513" s="2504"/>
      <c r="E513" s="2504"/>
      <c r="F513" s="2504"/>
      <c r="G513" s="2504"/>
      <c r="H513" s="2505"/>
      <c r="I513" s="72" t="s">
        <v>428</v>
      </c>
      <c r="J513" s="72"/>
      <c r="K513" s="72"/>
      <c r="L513" s="72"/>
      <c r="M513" s="72"/>
      <c r="N513" s="72"/>
      <c r="O513" s="72"/>
      <c r="P513" s="72"/>
      <c r="Q513" s="72"/>
      <c r="R513" s="72"/>
      <c r="S513" s="72"/>
      <c r="T513" s="72"/>
      <c r="U513" s="72"/>
      <c r="V513" s="72"/>
      <c r="W513" s="72"/>
      <c r="X513" s="25"/>
      <c r="Y513" s="25"/>
      <c r="AC513" s="2027" t="s">
        <v>626</v>
      </c>
      <c r="AD513" s="2028"/>
      <c r="AE513" s="2028"/>
      <c r="AF513" s="2028"/>
      <c r="AG513" s="75" t="s">
        <v>425</v>
      </c>
      <c r="AH513" s="2029">
        <v>0</v>
      </c>
      <c r="AI513" s="2029"/>
      <c r="AJ513" s="2029"/>
      <c r="AK513" s="203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6"/>
      <c r="C514" s="2507"/>
      <c r="D514" s="2507"/>
      <c r="E514" s="2507"/>
      <c r="F514" s="2507"/>
      <c r="G514" s="2507"/>
      <c r="H514" s="2508"/>
      <c r="I514" s="80" t="s">
        <v>429</v>
      </c>
      <c r="J514" s="80"/>
      <c r="K514" s="80"/>
      <c r="L514" s="80"/>
      <c r="M514" s="80"/>
      <c r="N514" s="80"/>
      <c r="O514" s="80"/>
      <c r="P514" s="80"/>
      <c r="Q514" s="80"/>
      <c r="R514" s="80"/>
      <c r="S514" s="80"/>
      <c r="T514" s="80"/>
      <c r="U514" s="80"/>
      <c r="V514" s="80"/>
      <c r="W514" s="80"/>
      <c r="X514" s="80"/>
      <c r="Y514" s="80"/>
      <c r="Z514" s="80"/>
      <c r="AA514" s="80"/>
      <c r="AB514" s="80"/>
      <c r="AC514" s="2027">
        <v>10</v>
      </c>
      <c r="AD514" s="2028"/>
      <c r="AE514" s="2028"/>
      <c r="AF514" s="2028"/>
      <c r="AG514" s="65" t="s">
        <v>425</v>
      </c>
      <c r="AH514" s="2029">
        <v>2021</v>
      </c>
      <c r="AI514" s="2029"/>
      <c r="AJ514" s="2029"/>
      <c r="AK514" s="203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3" t="s">
        <v>430</v>
      </c>
      <c r="C515" s="2504"/>
      <c r="D515" s="2504"/>
      <c r="E515" s="2504"/>
      <c r="F515" s="2504"/>
      <c r="G515" s="2504"/>
      <c r="H515" s="2505"/>
      <c r="I515" s="72" t="s">
        <v>431</v>
      </c>
      <c r="J515" s="72"/>
      <c r="K515" s="72"/>
      <c r="L515" s="72"/>
      <c r="M515" s="72"/>
      <c r="N515" s="72"/>
      <c r="O515" s="72"/>
      <c r="P515" s="72"/>
      <c r="Q515" s="72"/>
      <c r="R515" s="72"/>
      <c r="S515" s="72"/>
      <c r="T515" s="72"/>
      <c r="U515" s="72"/>
      <c r="V515" s="72"/>
      <c r="W515" s="72"/>
      <c r="X515" s="25"/>
      <c r="Y515" s="25"/>
      <c r="AC515" s="2027" t="s">
        <v>626</v>
      </c>
      <c r="AD515" s="2028"/>
      <c r="AE515" s="2028"/>
      <c r="AF515" s="2028"/>
      <c r="AG515" s="75" t="s">
        <v>425</v>
      </c>
      <c r="AH515" s="2029"/>
      <c r="AI515" s="2029"/>
      <c r="AJ515" s="2029"/>
      <c r="AK515" s="203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6"/>
      <c r="C516" s="2507"/>
      <c r="D516" s="2507"/>
      <c r="E516" s="2507"/>
      <c r="F516" s="2507"/>
      <c r="G516" s="2507"/>
      <c r="H516" s="2508"/>
      <c r="I516" s="25" t="s">
        <v>432</v>
      </c>
      <c r="J516" s="25"/>
      <c r="K516" s="25"/>
      <c r="L516" s="25"/>
      <c r="M516" s="25"/>
      <c r="N516" s="25"/>
      <c r="O516" s="25"/>
      <c r="P516" s="25"/>
      <c r="Q516" s="25"/>
      <c r="R516" s="25"/>
      <c r="S516" s="25"/>
      <c r="T516" s="25"/>
      <c r="U516" s="25"/>
      <c r="V516" s="25"/>
      <c r="W516" s="25"/>
      <c r="X516" s="25"/>
      <c r="Y516" s="25"/>
      <c r="AC516" s="2027" t="s">
        <v>626</v>
      </c>
      <c r="AD516" s="2028"/>
      <c r="AE516" s="2028"/>
      <c r="AF516" s="2028"/>
      <c r="AG516" s="75" t="s">
        <v>425</v>
      </c>
      <c r="AH516" s="2029"/>
      <c r="AI516" s="2029"/>
      <c r="AJ516" s="2029"/>
      <c r="AK516" s="203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6"/>
      <c r="C517" s="2507"/>
      <c r="D517" s="2507"/>
      <c r="E517" s="2507"/>
      <c r="F517" s="2507"/>
      <c r="G517" s="2507"/>
      <c r="H517" s="2508"/>
      <c r="I517" s="25" t="s">
        <v>433</v>
      </c>
      <c r="J517" s="25"/>
      <c r="K517" s="25"/>
      <c r="L517" s="25"/>
      <c r="M517" s="25"/>
      <c r="N517" s="25"/>
      <c r="O517" s="25"/>
      <c r="P517" s="25"/>
      <c r="Q517" s="25"/>
      <c r="R517" s="25"/>
      <c r="S517" s="25"/>
      <c r="T517" s="25"/>
      <c r="U517" s="25"/>
      <c r="V517" s="25"/>
      <c r="W517" s="25"/>
      <c r="X517" s="25"/>
      <c r="Y517" s="25"/>
      <c r="AC517" s="2027">
        <v>3</v>
      </c>
      <c r="AD517" s="2028"/>
      <c r="AE517" s="2028"/>
      <c r="AF517" s="2028"/>
      <c r="AG517" s="75" t="s">
        <v>425</v>
      </c>
      <c r="AH517" s="2029">
        <v>2021</v>
      </c>
      <c r="AI517" s="2029"/>
      <c r="AJ517" s="2029"/>
      <c r="AK517" s="203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6"/>
      <c r="C518" s="2507"/>
      <c r="D518" s="2507"/>
      <c r="E518" s="2507"/>
      <c r="F518" s="2507"/>
      <c r="G518" s="2507"/>
      <c r="H518" s="2508"/>
      <c r="I518" s="25" t="s">
        <v>434</v>
      </c>
      <c r="J518" s="25"/>
      <c r="K518" s="25"/>
      <c r="L518" s="25"/>
      <c r="M518" s="25"/>
      <c r="N518" s="25"/>
      <c r="O518" s="25"/>
      <c r="P518" s="25"/>
      <c r="Q518" s="25"/>
      <c r="R518" s="25"/>
      <c r="S518" s="25"/>
      <c r="T518" s="25"/>
      <c r="U518" s="25"/>
      <c r="V518" s="25"/>
      <c r="W518" s="25"/>
      <c r="X518" s="25"/>
      <c r="Y518" s="25"/>
      <c r="AC518" s="2027">
        <v>10</v>
      </c>
      <c r="AD518" s="2028"/>
      <c r="AE518" s="2028"/>
      <c r="AF518" s="2028"/>
      <c r="AG518" s="75" t="s">
        <v>425</v>
      </c>
      <c r="AH518" s="2029">
        <v>2021</v>
      </c>
      <c r="AI518" s="2029"/>
      <c r="AJ518" s="2029"/>
      <c r="AK518" s="203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6"/>
      <c r="C519" s="2507"/>
      <c r="D519" s="2507"/>
      <c r="E519" s="2507"/>
      <c r="F519" s="2507"/>
      <c r="G519" s="2507"/>
      <c r="H519" s="2508"/>
      <c r="I519" s="177" t="s">
        <v>435</v>
      </c>
      <c r="J519" s="25"/>
      <c r="K519" s="25"/>
      <c r="L519" s="25"/>
      <c r="M519" s="25"/>
      <c r="N519" s="25"/>
      <c r="O519" s="25"/>
      <c r="P519" s="25"/>
      <c r="Q519" s="25"/>
      <c r="R519" s="25"/>
      <c r="S519" s="25"/>
      <c r="T519" s="25"/>
      <c r="U519" s="25"/>
      <c r="V519" s="25"/>
      <c r="W519" s="25"/>
      <c r="X519" s="25"/>
      <c r="Y519" s="25"/>
      <c r="AC519" s="2231">
        <v>10</v>
      </c>
      <c r="AD519" s="2232"/>
      <c r="AE519" s="2232"/>
      <c r="AF519" s="2232"/>
      <c r="AG519" s="75" t="s">
        <v>425</v>
      </c>
      <c r="AH519" s="2029">
        <v>2021</v>
      </c>
      <c r="AI519" s="2029"/>
      <c r="AJ519" s="2029"/>
      <c r="AK519" s="203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6"/>
      <c r="C520" s="2507"/>
      <c r="D520" s="2507"/>
      <c r="E520" s="2507"/>
      <c r="F520" s="2507"/>
      <c r="G520" s="2507"/>
      <c r="H520" s="2508"/>
      <c r="I520" s="1526" t="s">
        <v>174</v>
      </c>
      <c r="J520" s="80"/>
      <c r="K520" s="80"/>
      <c r="L520" s="2079" t="s">
        <v>344</v>
      </c>
      <c r="M520" s="2080"/>
      <c r="N520" s="2080"/>
      <c r="O520" s="2080"/>
      <c r="P520" s="2080"/>
      <c r="Q520" s="2080"/>
      <c r="R520" s="2080"/>
      <c r="S520" s="2080"/>
      <c r="T520" s="2080"/>
      <c r="U520" s="2080"/>
      <c r="V520" s="2080"/>
      <c r="W520" s="2080"/>
      <c r="X520" s="2080"/>
      <c r="Y520" s="2080"/>
      <c r="Z520" s="2080"/>
      <c r="AA520" s="2080"/>
      <c r="AB520" s="2081"/>
      <c r="AC520" s="2027" t="s">
        <v>626</v>
      </c>
      <c r="AD520" s="2028"/>
      <c r="AE520" s="2028"/>
      <c r="AF520" s="2028"/>
      <c r="AG520" s="1497" t="s">
        <v>425</v>
      </c>
      <c r="AH520" s="2029"/>
      <c r="AI520" s="2029"/>
      <c r="AJ520" s="2029"/>
      <c r="AK520" s="203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57" t="s">
        <v>706</v>
      </c>
      <c r="AD521" s="2557"/>
      <c r="AE521" s="2557"/>
      <c r="AF521" s="2557"/>
      <c r="AG521" s="1805"/>
      <c r="AH521" s="2570"/>
      <c r="AI521" s="2570"/>
      <c r="AJ521" s="2570"/>
      <c r="AK521" s="257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31"/>
      <c r="AD522" s="2232"/>
      <c r="AE522" s="2232"/>
      <c r="AF522" s="2233"/>
      <c r="AG522" s="1805"/>
      <c r="AH522" s="2570"/>
      <c r="AI522" s="2570"/>
      <c r="AJ522" s="2570"/>
      <c r="AK522" s="257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72"/>
      <c r="AD524" s="2573"/>
      <c r="AE524" s="2573"/>
      <c r="AF524" s="2574"/>
      <c r="AG524" s="1806"/>
      <c r="AH524" s="2575"/>
      <c r="AI524" s="2575"/>
      <c r="AJ524" s="2575"/>
      <c r="AK524" s="257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40" t="s">
        <v>424</v>
      </c>
      <c r="AD525" s="2541"/>
      <c r="AE525" s="2541"/>
      <c r="AF525" s="2541"/>
      <c r="AG525" s="1806" t="s">
        <v>425</v>
      </c>
      <c r="AH525" s="2541" t="s">
        <v>426</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3" t="s">
        <v>436</v>
      </c>
      <c r="C526" s="2504"/>
      <c r="D526" s="2504"/>
      <c r="E526" s="2504"/>
      <c r="F526" s="2504"/>
      <c r="G526" s="2504"/>
      <c r="H526" s="2505"/>
      <c r="I526" s="72" t="s">
        <v>437</v>
      </c>
      <c r="J526" s="72"/>
      <c r="K526" s="72"/>
      <c r="L526" s="72"/>
      <c r="M526" s="72"/>
      <c r="N526" s="72"/>
      <c r="O526" s="72"/>
      <c r="P526" s="72"/>
      <c r="Q526" s="72"/>
      <c r="R526" s="72"/>
      <c r="S526" s="72"/>
      <c r="T526" s="72"/>
      <c r="U526" s="72"/>
      <c r="V526" s="72"/>
      <c r="W526" s="72"/>
      <c r="X526" s="25"/>
      <c r="Y526" s="25"/>
      <c r="AC526" s="2027">
        <v>1</v>
      </c>
      <c r="AD526" s="2028"/>
      <c r="AE526" s="2028"/>
      <c r="AF526" s="2028"/>
      <c r="AG526" s="75" t="s">
        <v>425</v>
      </c>
      <c r="AH526" s="2029">
        <v>2021</v>
      </c>
      <c r="AI526" s="2029"/>
      <c r="AJ526" s="2029"/>
      <c r="AK526" s="203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6"/>
      <c r="C527" s="2507"/>
      <c r="D527" s="2507"/>
      <c r="E527" s="2507"/>
      <c r="F527" s="2507"/>
      <c r="G527" s="2507"/>
      <c r="H527" s="2508"/>
      <c r="I527" s="25" t="s">
        <v>438</v>
      </c>
      <c r="J527" s="25"/>
      <c r="K527" s="25"/>
      <c r="L527" s="25"/>
      <c r="M527" s="25"/>
      <c r="N527" s="25"/>
      <c r="O527" s="25"/>
      <c r="P527" s="25"/>
      <c r="Q527" s="25"/>
      <c r="R527" s="25"/>
      <c r="S527" s="25"/>
      <c r="T527" s="25"/>
      <c r="U527" s="25"/>
      <c r="V527" s="25"/>
      <c r="W527" s="25"/>
      <c r="X527" s="25"/>
      <c r="Y527" s="25"/>
      <c r="AC527" s="2027">
        <v>1</v>
      </c>
      <c r="AD527" s="2028"/>
      <c r="AE527" s="2028"/>
      <c r="AF527" s="2028"/>
      <c r="AG527" s="75" t="s">
        <v>425</v>
      </c>
      <c r="AH527" s="2029">
        <v>2021</v>
      </c>
      <c r="AI527" s="2029"/>
      <c r="AJ527" s="2029"/>
      <c r="AK527" s="203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6"/>
      <c r="C528" s="2507"/>
      <c r="D528" s="2507"/>
      <c r="E528" s="2507"/>
      <c r="F528" s="2507"/>
      <c r="G528" s="2507"/>
      <c r="H528" s="2508"/>
      <c r="I528" s="80" t="s">
        <v>439</v>
      </c>
      <c r="J528" s="80"/>
      <c r="K528" s="80"/>
      <c r="L528" s="80"/>
      <c r="M528" s="80"/>
      <c r="N528" s="80"/>
      <c r="O528" s="80"/>
      <c r="P528" s="80"/>
      <c r="Q528" s="80"/>
      <c r="R528" s="80"/>
      <c r="S528" s="80"/>
      <c r="T528" s="80"/>
      <c r="U528" s="80"/>
      <c r="V528" s="80"/>
      <c r="W528" s="80"/>
      <c r="X528" s="80"/>
      <c r="Y528" s="80"/>
      <c r="Z528" s="80"/>
      <c r="AA528" s="80"/>
      <c r="AB528" s="80"/>
      <c r="AC528" s="2027">
        <v>10</v>
      </c>
      <c r="AD528" s="2028"/>
      <c r="AE528" s="2028"/>
      <c r="AF528" s="2028"/>
      <c r="AG528" s="65" t="s">
        <v>425</v>
      </c>
      <c r="AH528" s="2029">
        <v>2021</v>
      </c>
      <c r="AI528" s="2029"/>
      <c r="AJ528" s="2029"/>
      <c r="AK528" s="203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3" t="s">
        <v>440</v>
      </c>
      <c r="C529" s="2504"/>
      <c r="D529" s="2504"/>
      <c r="E529" s="2504"/>
      <c r="F529" s="2504"/>
      <c r="G529" s="2504"/>
      <c r="H529" s="2505"/>
      <c r="I529" s="72" t="s">
        <v>437</v>
      </c>
      <c r="J529" s="72"/>
      <c r="K529" s="72"/>
      <c r="L529" s="72"/>
      <c r="M529" s="72"/>
      <c r="N529" s="72"/>
      <c r="O529" s="72"/>
      <c r="P529" s="72"/>
      <c r="Q529" s="72"/>
      <c r="R529" s="72"/>
      <c r="S529" s="72"/>
      <c r="T529" s="72"/>
      <c r="U529" s="72"/>
      <c r="V529" s="72"/>
      <c r="W529" s="72"/>
      <c r="X529" s="72"/>
      <c r="Y529" s="72"/>
      <c r="Z529" s="72"/>
      <c r="AA529" s="72"/>
      <c r="AB529" s="72"/>
      <c r="AC529" s="2027">
        <v>1</v>
      </c>
      <c r="AD529" s="2028"/>
      <c r="AE529" s="2028"/>
      <c r="AF529" s="2028"/>
      <c r="AG529" s="196" t="s">
        <v>425</v>
      </c>
      <c r="AH529" s="2029">
        <v>2021</v>
      </c>
      <c r="AI529" s="2029"/>
      <c r="AJ529" s="2029"/>
      <c r="AK529" s="203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6"/>
      <c r="C530" s="2507"/>
      <c r="D530" s="2507"/>
      <c r="E530" s="2507"/>
      <c r="F530" s="2507"/>
      <c r="G530" s="2507"/>
      <c r="H530" s="2508"/>
      <c r="I530" s="25" t="s">
        <v>438</v>
      </c>
      <c r="J530" s="25"/>
      <c r="K530" s="25"/>
      <c r="L530" s="25"/>
      <c r="M530" s="25"/>
      <c r="N530" s="25"/>
      <c r="O530" s="25"/>
      <c r="P530" s="25"/>
      <c r="Q530" s="25"/>
      <c r="R530" s="25"/>
      <c r="S530" s="25"/>
      <c r="T530" s="25"/>
      <c r="U530" s="25"/>
      <c r="V530" s="25"/>
      <c r="W530" s="25"/>
      <c r="X530" s="25"/>
      <c r="Y530" s="25"/>
      <c r="Z530" s="25"/>
      <c r="AA530" s="25"/>
      <c r="AB530" s="25"/>
      <c r="AC530" s="2027">
        <v>1</v>
      </c>
      <c r="AD530" s="2028"/>
      <c r="AE530" s="2028"/>
      <c r="AF530" s="2028"/>
      <c r="AG530" s="75" t="s">
        <v>425</v>
      </c>
      <c r="AH530" s="2029">
        <v>2021</v>
      </c>
      <c r="AI530" s="2029"/>
      <c r="AJ530" s="2029"/>
      <c r="AK530" s="203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9"/>
      <c r="C531" s="2510"/>
      <c r="D531" s="2510"/>
      <c r="E531" s="2510"/>
      <c r="F531" s="2510"/>
      <c r="G531" s="2510"/>
      <c r="H531" s="2511"/>
      <c r="I531" s="80" t="s">
        <v>439</v>
      </c>
      <c r="J531" s="80"/>
      <c r="K531" s="80"/>
      <c r="L531" s="80"/>
      <c r="M531" s="80"/>
      <c r="N531" s="80"/>
      <c r="O531" s="80"/>
      <c r="P531" s="80"/>
      <c r="Q531" s="80"/>
      <c r="R531" s="80"/>
      <c r="S531" s="80"/>
      <c r="T531" s="80"/>
      <c r="U531" s="80"/>
      <c r="V531" s="80"/>
      <c r="W531" s="80"/>
      <c r="X531" s="80"/>
      <c r="Y531" s="80"/>
      <c r="Z531" s="80"/>
      <c r="AA531" s="80"/>
      <c r="AB531" s="80"/>
      <c r="AC531" s="2027">
        <v>10</v>
      </c>
      <c r="AD531" s="2028"/>
      <c r="AE531" s="2028"/>
      <c r="AF531" s="2028"/>
      <c r="AG531" s="65" t="s">
        <v>425</v>
      </c>
      <c r="AH531" s="2029">
        <v>2021</v>
      </c>
      <c r="AI531" s="2029"/>
      <c r="AJ531" s="2029"/>
      <c r="AK531" s="203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3" t="s">
        <v>441</v>
      </c>
      <c r="C532" s="2504"/>
      <c r="D532" s="2504"/>
      <c r="E532" s="2504"/>
      <c r="F532" s="2504"/>
      <c r="G532" s="2504"/>
      <c r="H532" s="2505"/>
      <c r="I532" s="71" t="s">
        <v>442</v>
      </c>
      <c r="J532" s="72"/>
      <c r="K532" s="72"/>
      <c r="L532" s="72"/>
      <c r="M532" s="72"/>
      <c r="N532" s="72"/>
      <c r="O532" s="2018" t="s">
        <v>344</v>
      </c>
      <c r="P532" s="2018"/>
      <c r="Q532" s="2018"/>
      <c r="R532" s="2018"/>
      <c r="S532" s="2018"/>
      <c r="T532" s="2018"/>
      <c r="U532" s="2018"/>
      <c r="V532" s="2018"/>
      <c r="W532" s="2018"/>
      <c r="X532" s="2018"/>
      <c r="Y532" s="2018"/>
      <c r="Z532" s="2018"/>
      <c r="AA532" s="2018"/>
      <c r="AB532" s="94"/>
      <c r="AC532" s="2231" t="s">
        <v>626</v>
      </c>
      <c r="AD532" s="2232"/>
      <c r="AE532" s="2232"/>
      <c r="AF532" s="2232"/>
      <c r="AG532" s="196" t="s">
        <v>425</v>
      </c>
      <c r="AH532" s="2029"/>
      <c r="AI532" s="2029"/>
      <c r="AJ532" s="2029"/>
      <c r="AK532" s="203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6"/>
      <c r="C533" s="2507"/>
      <c r="D533" s="2507"/>
      <c r="E533" s="2507"/>
      <c r="F533" s="2507"/>
      <c r="G533" s="2507"/>
      <c r="H533" s="2508"/>
      <c r="I533" s="171" t="s">
        <v>443</v>
      </c>
      <c r="J533" s="25"/>
      <c r="K533" s="25"/>
      <c r="L533" s="25"/>
      <c r="M533" s="25"/>
      <c r="N533" s="25"/>
      <c r="O533" s="25"/>
      <c r="P533" s="25"/>
      <c r="Q533" s="25"/>
      <c r="R533" s="25"/>
      <c r="S533" s="25"/>
      <c r="T533" s="25"/>
      <c r="U533" s="25"/>
      <c r="V533" s="25"/>
      <c r="W533" s="25"/>
      <c r="X533" s="25"/>
      <c r="Y533" s="25"/>
      <c r="Z533" s="25"/>
      <c r="AA533" s="25"/>
      <c r="AB533" s="101"/>
      <c r="AC533" s="2027" t="s">
        <v>626</v>
      </c>
      <c r="AD533" s="2028"/>
      <c r="AE533" s="2028"/>
      <c r="AF533" s="2028"/>
      <c r="AG533" s="75" t="s">
        <v>425</v>
      </c>
      <c r="AH533" s="2029"/>
      <c r="AI533" s="2029"/>
      <c r="AJ533" s="2029"/>
      <c r="AK533" s="203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6"/>
      <c r="C534" s="2507"/>
      <c r="D534" s="2507"/>
      <c r="E534" s="2507"/>
      <c r="F534" s="2507"/>
      <c r="G534" s="2507"/>
      <c r="H534" s="2508"/>
      <c r="I534" s="79" t="s">
        <v>444</v>
      </c>
      <c r="J534" s="80"/>
      <c r="K534" s="80"/>
      <c r="L534" s="80"/>
      <c r="M534" s="80"/>
      <c r="N534" s="80"/>
      <c r="O534" s="80"/>
      <c r="P534" s="80"/>
      <c r="Q534" s="80"/>
      <c r="R534" s="80"/>
      <c r="S534" s="80"/>
      <c r="T534" s="80"/>
      <c r="U534" s="80"/>
      <c r="V534" s="80"/>
      <c r="W534" s="80"/>
      <c r="X534" s="80"/>
      <c r="Y534" s="80"/>
      <c r="Z534" s="80"/>
      <c r="AA534" s="80"/>
      <c r="AB534" s="81"/>
      <c r="AC534" s="2027" t="s">
        <v>626</v>
      </c>
      <c r="AD534" s="2028"/>
      <c r="AE534" s="2028"/>
      <c r="AF534" s="2028"/>
      <c r="AG534" s="65" t="s">
        <v>425</v>
      </c>
      <c r="AH534" s="2029"/>
      <c r="AI534" s="2029"/>
      <c r="AJ534" s="2029"/>
      <c r="AK534" s="203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6"/>
      <c r="C535" s="2507"/>
      <c r="D535" s="2507"/>
      <c r="E535" s="2507"/>
      <c r="F535" s="2507"/>
      <c r="G535" s="2507"/>
      <c r="H535" s="2508"/>
      <c r="I535" s="72" t="s">
        <v>445</v>
      </c>
      <c r="J535" s="72"/>
      <c r="K535" s="72"/>
      <c r="L535" s="72"/>
      <c r="M535" s="72"/>
      <c r="N535" s="72"/>
      <c r="O535" s="2022" t="s">
        <v>344</v>
      </c>
      <c r="P535" s="2022"/>
      <c r="Q535" s="2022"/>
      <c r="R535" s="2022"/>
      <c r="S535" s="2022"/>
      <c r="T535" s="2022"/>
      <c r="U535" s="2022"/>
      <c r="V535" s="2022"/>
      <c r="W535" s="2022"/>
      <c r="X535" s="2022"/>
      <c r="Y535" s="2022"/>
      <c r="Z535" s="2022"/>
      <c r="AA535" s="2022"/>
      <c r="AC535" s="2027" t="s">
        <v>626</v>
      </c>
      <c r="AD535" s="2028"/>
      <c r="AE535" s="2028"/>
      <c r="AF535" s="2028"/>
      <c r="AG535" s="75" t="s">
        <v>425</v>
      </c>
      <c r="AH535" s="2029"/>
      <c r="AI535" s="2029"/>
      <c r="AJ535" s="2029"/>
      <c r="AK535" s="203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6"/>
      <c r="C536" s="2507"/>
      <c r="D536" s="2507"/>
      <c r="E536" s="2507"/>
      <c r="F536" s="2507"/>
      <c r="G536" s="2507"/>
      <c r="H536" s="2508"/>
      <c r="I536" s="25" t="s">
        <v>443</v>
      </c>
      <c r="J536" s="25"/>
      <c r="K536" s="25"/>
      <c r="L536" s="25"/>
      <c r="M536" s="25"/>
      <c r="N536" s="25"/>
      <c r="O536" s="25"/>
      <c r="P536" s="25"/>
      <c r="Q536" s="25"/>
      <c r="R536" s="25"/>
      <c r="S536" s="25"/>
      <c r="T536" s="25"/>
      <c r="U536" s="25"/>
      <c r="V536" s="25"/>
      <c r="W536" s="25"/>
      <c r="X536" s="25"/>
      <c r="Y536" s="25"/>
      <c r="AC536" s="2027" t="s">
        <v>626</v>
      </c>
      <c r="AD536" s="2028"/>
      <c r="AE536" s="2028"/>
      <c r="AF536" s="2028"/>
      <c r="AG536" s="75" t="s">
        <v>425</v>
      </c>
      <c r="AH536" s="2029"/>
      <c r="AI536" s="2029"/>
      <c r="AJ536" s="2029"/>
      <c r="AK536" s="203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6"/>
      <c r="C537" s="2507"/>
      <c r="D537" s="2507"/>
      <c r="E537" s="2507"/>
      <c r="F537" s="2507"/>
      <c r="G537" s="2507"/>
      <c r="H537" s="2508"/>
      <c r="I537" s="80" t="s">
        <v>444</v>
      </c>
      <c r="J537" s="80"/>
      <c r="K537" s="80"/>
      <c r="L537" s="80"/>
      <c r="M537" s="80"/>
      <c r="N537" s="80"/>
      <c r="O537" s="80"/>
      <c r="P537" s="80"/>
      <c r="Q537" s="80"/>
      <c r="R537" s="80"/>
      <c r="S537" s="80"/>
      <c r="T537" s="80"/>
      <c r="U537" s="80"/>
      <c r="V537" s="80"/>
      <c r="W537" s="80"/>
      <c r="X537" s="80"/>
      <c r="Y537" s="80"/>
      <c r="Z537" s="80"/>
      <c r="AA537" s="80"/>
      <c r="AB537" s="80"/>
      <c r="AC537" s="2027" t="s">
        <v>626</v>
      </c>
      <c r="AD537" s="2028"/>
      <c r="AE537" s="2028"/>
      <c r="AF537" s="2028"/>
      <c r="AG537" s="65" t="s">
        <v>425</v>
      </c>
      <c r="AH537" s="2029"/>
      <c r="AI537" s="2029"/>
      <c r="AJ537" s="2029"/>
      <c r="AK537" s="203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6"/>
      <c r="C538" s="2507"/>
      <c r="D538" s="2507"/>
      <c r="E538" s="2507"/>
      <c r="F538" s="2507"/>
      <c r="G538" s="2507"/>
      <c r="H538" s="2508"/>
      <c r="I538" s="72" t="s">
        <v>445</v>
      </c>
      <c r="J538" s="72"/>
      <c r="K538" s="72"/>
      <c r="L538" s="72"/>
      <c r="M538" s="72"/>
      <c r="N538" s="72"/>
      <c r="O538" s="2022" t="s">
        <v>344</v>
      </c>
      <c r="P538" s="2022"/>
      <c r="Q538" s="2022"/>
      <c r="R538" s="2022"/>
      <c r="S538" s="2022"/>
      <c r="T538" s="2022"/>
      <c r="U538" s="2022"/>
      <c r="V538" s="2022"/>
      <c r="W538" s="2022"/>
      <c r="X538" s="2022"/>
      <c r="Y538" s="2022"/>
      <c r="Z538" s="2022"/>
      <c r="AA538" s="2022"/>
      <c r="AC538" s="2027" t="s">
        <v>626</v>
      </c>
      <c r="AD538" s="2028"/>
      <c r="AE538" s="2028"/>
      <c r="AF538" s="2028"/>
      <c r="AG538" s="75" t="s">
        <v>425</v>
      </c>
      <c r="AH538" s="2029"/>
      <c r="AI538" s="2029"/>
      <c r="AJ538" s="2029"/>
      <c r="AK538" s="203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6"/>
      <c r="C539" s="2507"/>
      <c r="D539" s="2507"/>
      <c r="E539" s="2507"/>
      <c r="F539" s="2507"/>
      <c r="G539" s="2507"/>
      <c r="H539" s="2508"/>
      <c r="I539" s="25" t="s">
        <v>443</v>
      </c>
      <c r="J539" s="25"/>
      <c r="K539" s="25"/>
      <c r="L539" s="25"/>
      <c r="M539" s="25"/>
      <c r="N539" s="25"/>
      <c r="O539" s="25"/>
      <c r="P539" s="25"/>
      <c r="Q539" s="25"/>
      <c r="R539" s="25"/>
      <c r="S539" s="25"/>
      <c r="T539" s="25"/>
      <c r="U539" s="25"/>
      <c r="V539" s="25"/>
      <c r="W539" s="25"/>
      <c r="X539" s="25"/>
      <c r="Y539" s="25"/>
      <c r="AC539" s="2027" t="s">
        <v>626</v>
      </c>
      <c r="AD539" s="2028"/>
      <c r="AE539" s="2028"/>
      <c r="AF539" s="2028"/>
      <c r="AG539" s="75" t="s">
        <v>425</v>
      </c>
      <c r="AH539" s="2029"/>
      <c r="AI539" s="2029"/>
      <c r="AJ539" s="2029"/>
      <c r="AK539" s="203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6"/>
      <c r="C540" s="2507"/>
      <c r="D540" s="2507"/>
      <c r="E540" s="2507"/>
      <c r="F540" s="2507"/>
      <c r="G540" s="2507"/>
      <c r="H540" s="2508"/>
      <c r="I540" s="80" t="s">
        <v>444</v>
      </c>
      <c r="J540" s="80"/>
      <c r="K540" s="80"/>
      <c r="L540" s="80"/>
      <c r="M540" s="80"/>
      <c r="N540" s="80"/>
      <c r="O540" s="80"/>
      <c r="P540" s="80"/>
      <c r="Q540" s="80"/>
      <c r="R540" s="80"/>
      <c r="S540" s="80"/>
      <c r="T540" s="80"/>
      <c r="U540" s="80"/>
      <c r="V540" s="80"/>
      <c r="W540" s="80"/>
      <c r="X540" s="80"/>
      <c r="Y540" s="80"/>
      <c r="Z540" s="80"/>
      <c r="AA540" s="80"/>
      <c r="AB540" s="80"/>
      <c r="AC540" s="2027" t="s">
        <v>626</v>
      </c>
      <c r="AD540" s="2028"/>
      <c r="AE540" s="2028"/>
      <c r="AF540" s="2028"/>
      <c r="AG540" s="65" t="s">
        <v>425</v>
      </c>
      <c r="AH540" s="2029"/>
      <c r="AI540" s="2029"/>
      <c r="AJ540" s="2029"/>
      <c r="AK540" s="203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6"/>
      <c r="C541" s="2507"/>
      <c r="D541" s="2507"/>
      <c r="E541" s="2507"/>
      <c r="F541" s="2507"/>
      <c r="G541" s="2507"/>
      <c r="H541" s="2508"/>
      <c r="I541" s="72" t="s">
        <v>445</v>
      </c>
      <c r="J541" s="72"/>
      <c r="K541" s="72"/>
      <c r="L541" s="72"/>
      <c r="M541" s="72"/>
      <c r="N541" s="72"/>
      <c r="O541" s="2022" t="s">
        <v>344</v>
      </c>
      <c r="P541" s="2022"/>
      <c r="Q541" s="2022"/>
      <c r="R541" s="2022"/>
      <c r="S541" s="2022"/>
      <c r="T541" s="2022"/>
      <c r="U541" s="2022"/>
      <c r="V541" s="2022"/>
      <c r="W541" s="2022"/>
      <c r="X541" s="2022"/>
      <c r="Y541" s="2022"/>
      <c r="Z541" s="2022"/>
      <c r="AA541" s="2022"/>
      <c r="AC541" s="2027" t="s">
        <v>626</v>
      </c>
      <c r="AD541" s="2028"/>
      <c r="AE541" s="2028"/>
      <c r="AF541" s="2028"/>
      <c r="AG541" s="75" t="s">
        <v>425</v>
      </c>
      <c r="AH541" s="2029"/>
      <c r="AI541" s="2029"/>
      <c r="AJ541" s="2029"/>
      <c r="AK541" s="203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6"/>
      <c r="C542" s="2507"/>
      <c r="D542" s="2507"/>
      <c r="E542" s="2507"/>
      <c r="F542" s="2507"/>
      <c r="G542" s="2507"/>
      <c r="H542" s="2508"/>
      <c r="I542" s="25" t="s">
        <v>443</v>
      </c>
      <c r="J542" s="25"/>
      <c r="K542" s="25"/>
      <c r="L542" s="25"/>
      <c r="M542" s="25"/>
      <c r="N542" s="25"/>
      <c r="O542" s="25"/>
      <c r="P542" s="25"/>
      <c r="Q542" s="25"/>
      <c r="R542" s="25"/>
      <c r="S542" s="25"/>
      <c r="T542" s="25"/>
      <c r="U542" s="25"/>
      <c r="V542" s="25"/>
      <c r="W542" s="25"/>
      <c r="X542" s="25"/>
      <c r="Y542" s="25"/>
      <c r="AC542" s="2027" t="s">
        <v>626</v>
      </c>
      <c r="AD542" s="2028"/>
      <c r="AE542" s="2028"/>
      <c r="AF542" s="2028"/>
      <c r="AG542" s="75" t="s">
        <v>425</v>
      </c>
      <c r="AH542" s="2029"/>
      <c r="AI542" s="2029"/>
      <c r="AJ542" s="2029"/>
      <c r="AK542" s="203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6"/>
      <c r="C543" s="2507"/>
      <c r="D543" s="2507"/>
      <c r="E543" s="2507"/>
      <c r="F543" s="2507"/>
      <c r="G543" s="2507"/>
      <c r="H543" s="2508"/>
      <c r="I543" s="80" t="s">
        <v>444</v>
      </c>
      <c r="J543" s="80"/>
      <c r="K543" s="80"/>
      <c r="L543" s="80"/>
      <c r="M543" s="80"/>
      <c r="N543" s="80"/>
      <c r="O543" s="80"/>
      <c r="P543" s="80"/>
      <c r="Q543" s="80"/>
      <c r="R543" s="80"/>
      <c r="S543" s="80"/>
      <c r="T543" s="80"/>
      <c r="U543" s="80"/>
      <c r="V543" s="80"/>
      <c r="W543" s="80"/>
      <c r="X543" s="80"/>
      <c r="Y543" s="80"/>
      <c r="Z543" s="80"/>
      <c r="AA543" s="80"/>
      <c r="AB543" s="80"/>
      <c r="AC543" s="2027" t="s">
        <v>626</v>
      </c>
      <c r="AD543" s="2028"/>
      <c r="AE543" s="2028"/>
      <c r="AF543" s="2028"/>
      <c r="AG543" s="65" t="s">
        <v>425</v>
      </c>
      <c r="AH543" s="2029"/>
      <c r="AI543" s="2029"/>
      <c r="AJ543" s="2029"/>
      <c r="AK543" s="203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6"/>
      <c r="C544" s="2507"/>
      <c r="D544" s="2507"/>
      <c r="E544" s="2507"/>
      <c r="F544" s="2507"/>
      <c r="G544" s="2507"/>
      <c r="H544" s="2508"/>
      <c r="I544" s="72" t="s">
        <v>445</v>
      </c>
      <c r="J544" s="72"/>
      <c r="K544" s="72"/>
      <c r="L544" s="72"/>
      <c r="M544" s="72"/>
      <c r="N544" s="72"/>
      <c r="O544" s="2022" t="s">
        <v>344</v>
      </c>
      <c r="P544" s="2022"/>
      <c r="Q544" s="2022"/>
      <c r="R544" s="2022"/>
      <c r="S544" s="2022"/>
      <c r="T544" s="2022"/>
      <c r="U544" s="2022"/>
      <c r="V544" s="2022"/>
      <c r="W544" s="2022"/>
      <c r="X544" s="2022"/>
      <c r="Y544" s="2022"/>
      <c r="Z544" s="2022"/>
      <c r="AA544" s="2022"/>
      <c r="AC544" s="2027" t="s">
        <v>626</v>
      </c>
      <c r="AD544" s="2028"/>
      <c r="AE544" s="2028"/>
      <c r="AF544" s="2028"/>
      <c r="AG544" s="75" t="s">
        <v>425</v>
      </c>
      <c r="AH544" s="2029"/>
      <c r="AI544" s="2029"/>
      <c r="AJ544" s="2029"/>
      <c r="AK544" s="203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6"/>
      <c r="C545" s="2507"/>
      <c r="D545" s="2507"/>
      <c r="E545" s="2507"/>
      <c r="F545" s="2507"/>
      <c r="G545" s="2507"/>
      <c r="H545" s="2508"/>
      <c r="I545" s="25" t="s">
        <v>443</v>
      </c>
      <c r="J545" s="25"/>
      <c r="K545" s="25"/>
      <c r="L545" s="25"/>
      <c r="M545" s="25"/>
      <c r="N545" s="25"/>
      <c r="O545" s="25"/>
      <c r="P545" s="25"/>
      <c r="Q545" s="25"/>
      <c r="R545" s="25"/>
      <c r="S545" s="25"/>
      <c r="T545" s="25"/>
      <c r="U545" s="25"/>
      <c r="V545" s="25"/>
      <c r="W545" s="25"/>
      <c r="X545" s="25"/>
      <c r="Y545" s="25"/>
      <c r="AC545" s="2027" t="s">
        <v>626</v>
      </c>
      <c r="AD545" s="2028"/>
      <c r="AE545" s="2028"/>
      <c r="AF545" s="2028"/>
      <c r="AG545" s="65" t="s">
        <v>425</v>
      </c>
      <c r="AH545" s="2029"/>
      <c r="AI545" s="2029"/>
      <c r="AJ545" s="2029"/>
      <c r="AK545" s="203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6"/>
      <c r="C546" s="2507"/>
      <c r="D546" s="2507"/>
      <c r="E546" s="2507"/>
      <c r="F546" s="2507"/>
      <c r="G546" s="2507"/>
      <c r="H546" s="2508"/>
      <c r="I546" s="80" t="s">
        <v>444</v>
      </c>
      <c r="J546" s="80"/>
      <c r="K546" s="80"/>
      <c r="L546" s="80"/>
      <c r="M546" s="80"/>
      <c r="N546" s="80"/>
      <c r="O546" s="80"/>
      <c r="P546" s="80"/>
      <c r="Q546" s="80"/>
      <c r="R546" s="80"/>
      <c r="S546" s="80"/>
      <c r="T546" s="80"/>
      <c r="U546" s="80"/>
      <c r="V546" s="80"/>
      <c r="W546" s="80"/>
      <c r="X546" s="80"/>
      <c r="Y546" s="80"/>
      <c r="Z546" s="80"/>
      <c r="AA546" s="80"/>
      <c r="AB546" s="80"/>
      <c r="AC546" s="2027" t="s">
        <v>626</v>
      </c>
      <c r="AD546" s="2028"/>
      <c r="AE546" s="2028"/>
      <c r="AF546" s="2028"/>
      <c r="AG546" s="75" t="s">
        <v>425</v>
      </c>
      <c r="AH546" s="2029"/>
      <c r="AI546" s="2029"/>
      <c r="AJ546" s="2029"/>
      <c r="AK546" s="203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6"/>
      <c r="C547" s="2507"/>
      <c r="D547" s="2507"/>
      <c r="E547" s="2507"/>
      <c r="F547" s="2507"/>
      <c r="G547" s="2507"/>
      <c r="H547" s="2508"/>
      <c r="I547" s="72" t="s">
        <v>445</v>
      </c>
      <c r="J547" s="72"/>
      <c r="K547" s="72"/>
      <c r="L547" s="72"/>
      <c r="M547" s="72"/>
      <c r="N547" s="72"/>
      <c r="O547" s="2022" t="s">
        <v>344</v>
      </c>
      <c r="P547" s="2022"/>
      <c r="Q547" s="2022"/>
      <c r="R547" s="2022"/>
      <c r="S547" s="2022"/>
      <c r="T547" s="2022"/>
      <c r="U547" s="2022"/>
      <c r="V547" s="2022"/>
      <c r="W547" s="2022"/>
      <c r="X547" s="2022"/>
      <c r="Y547" s="2022"/>
      <c r="Z547" s="2022"/>
      <c r="AA547" s="2022"/>
      <c r="AC547" s="2027" t="s">
        <v>626</v>
      </c>
      <c r="AD547" s="2028"/>
      <c r="AE547" s="2028"/>
      <c r="AF547" s="2028"/>
      <c r="AG547" s="65" t="s">
        <v>425</v>
      </c>
      <c r="AH547" s="2029"/>
      <c r="AI547" s="2029"/>
      <c r="AJ547" s="2029"/>
      <c r="AK547" s="203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6"/>
      <c r="C548" s="2507"/>
      <c r="D548" s="2507"/>
      <c r="E548" s="2507"/>
      <c r="F548" s="2507"/>
      <c r="G548" s="2507"/>
      <c r="H548" s="2508"/>
      <c r="I548" s="25" t="s">
        <v>443</v>
      </c>
      <c r="J548" s="25"/>
      <c r="K548" s="25"/>
      <c r="L548" s="25"/>
      <c r="M548" s="25"/>
      <c r="N548" s="25"/>
      <c r="O548" s="25"/>
      <c r="P548" s="25"/>
      <c r="Q548" s="25"/>
      <c r="R548" s="25"/>
      <c r="S548" s="25"/>
      <c r="T548" s="25"/>
      <c r="U548" s="25"/>
      <c r="V548" s="25"/>
      <c r="W548" s="25"/>
      <c r="X548" s="25"/>
      <c r="Y548" s="25"/>
      <c r="AC548" s="2027" t="s">
        <v>626</v>
      </c>
      <c r="AD548" s="2028"/>
      <c r="AE548" s="2028"/>
      <c r="AF548" s="2028"/>
      <c r="AG548" s="75" t="s">
        <v>425</v>
      </c>
      <c r="AH548" s="2029"/>
      <c r="AI548" s="2029"/>
      <c r="AJ548" s="2029"/>
      <c r="AK548" s="203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6"/>
      <c r="C549" s="2507"/>
      <c r="D549" s="2507"/>
      <c r="E549" s="2507"/>
      <c r="F549" s="2507"/>
      <c r="G549" s="2507"/>
      <c r="H549" s="2508"/>
      <c r="I549" s="80" t="s">
        <v>444</v>
      </c>
      <c r="J549" s="80"/>
      <c r="K549" s="80"/>
      <c r="L549" s="80"/>
      <c r="M549" s="80"/>
      <c r="N549" s="80"/>
      <c r="O549" s="80"/>
      <c r="P549" s="80"/>
      <c r="Q549" s="80"/>
      <c r="R549" s="80"/>
      <c r="S549" s="80"/>
      <c r="T549" s="80"/>
      <c r="U549" s="80"/>
      <c r="V549" s="80"/>
      <c r="W549" s="80"/>
      <c r="X549" s="80"/>
      <c r="Y549" s="80"/>
      <c r="Z549" s="80"/>
      <c r="AA549" s="80"/>
      <c r="AB549" s="80"/>
      <c r="AC549" s="2027" t="s">
        <v>626</v>
      </c>
      <c r="AD549" s="2028"/>
      <c r="AE549" s="2028"/>
      <c r="AF549" s="2028"/>
      <c r="AG549" s="65" t="s">
        <v>425</v>
      </c>
      <c r="AH549" s="2029"/>
      <c r="AI549" s="2029"/>
      <c r="AJ549" s="2029"/>
      <c r="AK549" s="203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6"/>
      <c r="C550" s="2507"/>
      <c r="D550" s="2507"/>
      <c r="E550" s="2507"/>
      <c r="F550" s="2507"/>
      <c r="G550" s="2507"/>
      <c r="H550" s="2508"/>
      <c r="I550" s="72" t="s">
        <v>595</v>
      </c>
      <c r="J550" s="72"/>
      <c r="K550" s="72"/>
      <c r="L550" s="72"/>
      <c r="M550" s="72"/>
      <c r="N550" s="72"/>
      <c r="O550" s="72"/>
      <c r="P550" s="72"/>
      <c r="Q550" s="72"/>
      <c r="R550" s="72"/>
      <c r="S550" s="72"/>
      <c r="T550" s="72"/>
      <c r="U550" s="72"/>
      <c r="V550" s="72"/>
      <c r="W550" s="72"/>
      <c r="X550" s="25"/>
      <c r="Y550" s="25"/>
      <c r="AC550" s="2027">
        <v>11</v>
      </c>
      <c r="AD550" s="2028"/>
      <c r="AE550" s="2028"/>
      <c r="AF550" s="2028"/>
      <c r="AG550" s="65" t="s">
        <v>425</v>
      </c>
      <c r="AH550" s="2029">
        <v>2021</v>
      </c>
      <c r="AI550" s="2029"/>
      <c r="AJ550" s="2029"/>
      <c r="AK550" s="203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6"/>
      <c r="C551" s="2507"/>
      <c r="D551" s="2507"/>
      <c r="E551" s="2507"/>
      <c r="F551" s="2507"/>
      <c r="G551" s="2507"/>
      <c r="H551" s="2508"/>
      <c r="I551" s="25" t="s">
        <v>596</v>
      </c>
      <c r="J551" s="25"/>
      <c r="K551" s="25"/>
      <c r="L551" s="25"/>
      <c r="M551" s="25"/>
      <c r="N551" s="25"/>
      <c r="O551" s="25"/>
      <c r="P551" s="25"/>
      <c r="Q551" s="25"/>
      <c r="R551" s="25"/>
      <c r="S551" s="25"/>
      <c r="T551" s="25"/>
      <c r="U551" s="25"/>
      <c r="V551" s="25"/>
      <c r="W551" s="25"/>
      <c r="X551" s="25"/>
      <c r="Y551" s="25"/>
      <c r="AC551" s="2027">
        <v>10</v>
      </c>
      <c r="AD551" s="2028"/>
      <c r="AE551" s="2028"/>
      <c r="AF551" s="2028"/>
      <c r="AG551" s="75" t="s">
        <v>425</v>
      </c>
      <c r="AH551" s="2029">
        <v>2021</v>
      </c>
      <c r="AI551" s="2029"/>
      <c r="AJ551" s="2029"/>
      <c r="AK551" s="203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6"/>
      <c r="C552" s="2507"/>
      <c r="D552" s="2507"/>
      <c r="E552" s="2507"/>
      <c r="F552" s="2507"/>
      <c r="G552" s="2507"/>
      <c r="H552" s="2508"/>
      <c r="I552" s="25" t="s">
        <v>597</v>
      </c>
      <c r="J552" s="25"/>
      <c r="K552" s="25"/>
      <c r="L552" s="25"/>
      <c r="M552" s="25"/>
      <c r="N552" s="25"/>
      <c r="O552" s="25"/>
      <c r="P552" s="25"/>
      <c r="Q552" s="25"/>
      <c r="R552" s="25"/>
      <c r="S552" s="25"/>
      <c r="T552" s="25"/>
      <c r="U552" s="25"/>
      <c r="V552" s="25"/>
      <c r="W552" s="25"/>
      <c r="X552" s="25"/>
      <c r="Y552" s="25"/>
      <c r="AC552" s="2027">
        <v>6</v>
      </c>
      <c r="AD552" s="2028"/>
      <c r="AE552" s="2028"/>
      <c r="AF552" s="2028"/>
      <c r="AG552" s="65" t="s">
        <v>425</v>
      </c>
      <c r="AH552" s="2029">
        <v>2023</v>
      </c>
      <c r="AI552" s="2029"/>
      <c r="AJ552" s="2029"/>
      <c r="AK552" s="203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6"/>
      <c r="C553" s="2507"/>
      <c r="D553" s="2507"/>
      <c r="E553" s="2507"/>
      <c r="F553" s="2507"/>
      <c r="G553" s="2507"/>
      <c r="H553" s="2508"/>
      <c r="I553" s="25" t="s">
        <v>598</v>
      </c>
      <c r="J553" s="25"/>
      <c r="K553" s="25"/>
      <c r="L553" s="25"/>
      <c r="M553" s="25"/>
      <c r="N553" s="25"/>
      <c r="O553" s="25"/>
      <c r="P553" s="25"/>
      <c r="Q553" s="25"/>
      <c r="R553" s="25"/>
      <c r="S553" s="25"/>
      <c r="T553" s="25"/>
      <c r="U553" s="25"/>
      <c r="V553" s="25"/>
      <c r="W553" s="25"/>
      <c r="X553" s="25"/>
      <c r="Y553" s="25"/>
      <c r="AC553" s="2027">
        <v>10</v>
      </c>
      <c r="AD553" s="2028"/>
      <c r="AE553" s="2028"/>
      <c r="AF553" s="2028"/>
      <c r="AG553" s="65" t="s">
        <v>425</v>
      </c>
      <c r="AH553" s="2029">
        <v>2023</v>
      </c>
      <c r="AI553" s="2029"/>
      <c r="AJ553" s="2029"/>
      <c r="AK553" s="203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9"/>
      <c r="C554" s="2510"/>
      <c r="D554" s="2510"/>
      <c r="E554" s="2510"/>
      <c r="F554" s="2510"/>
      <c r="G554" s="2510"/>
      <c r="H554" s="2511"/>
      <c r="I554" s="80" t="s">
        <v>482</v>
      </c>
      <c r="J554" s="80"/>
      <c r="K554" s="80"/>
      <c r="L554" s="80"/>
      <c r="M554" s="80"/>
      <c r="N554" s="80"/>
      <c r="O554" s="80"/>
      <c r="P554" s="80"/>
      <c r="Q554" s="80"/>
      <c r="R554" s="80"/>
      <c r="S554" s="80"/>
      <c r="T554" s="80"/>
      <c r="U554" s="80"/>
      <c r="V554" s="80"/>
      <c r="W554" s="80"/>
      <c r="X554" s="80"/>
      <c r="Y554" s="80"/>
      <c r="Z554" s="80"/>
      <c r="AA554" s="80"/>
      <c r="AB554" s="80"/>
      <c r="AC554" s="2027">
        <v>10</v>
      </c>
      <c r="AD554" s="2028"/>
      <c r="AE554" s="2028"/>
      <c r="AF554" s="2028"/>
      <c r="AG554" s="65" t="s">
        <v>425</v>
      </c>
      <c r="AH554" s="2029">
        <v>2023</v>
      </c>
      <c r="AI554" s="2029"/>
      <c r="AJ554" s="2029"/>
      <c r="AK554" s="203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5" t="s">
        <v>576</v>
      </c>
      <c r="B556" s="1865"/>
      <c r="C556" s="1865"/>
      <c r="D556" s="1865"/>
      <c r="E556" s="1865"/>
      <c r="F556" s="1865"/>
      <c r="G556" s="1865"/>
      <c r="H556" s="1865"/>
      <c r="I556" s="1865"/>
      <c r="J556" s="1865"/>
      <c r="K556" s="1865"/>
      <c r="L556" s="1865"/>
      <c r="M556" s="1865"/>
      <c r="N556" s="1865"/>
      <c r="O556" s="1865"/>
      <c r="P556" s="1865"/>
      <c r="Q556" s="1865"/>
      <c r="R556" s="1865"/>
      <c r="S556" s="1865"/>
      <c r="T556" s="1865"/>
      <c r="U556" s="1865"/>
      <c r="V556" s="1865"/>
      <c r="W556" s="1865"/>
      <c r="X556" s="1865"/>
      <c r="Y556" s="1865"/>
      <c r="Z556" s="1865"/>
      <c r="AA556" s="1865"/>
      <c r="AB556" s="1865"/>
      <c r="AC556" s="1865"/>
      <c r="AD556" s="1865"/>
      <c r="AE556" s="1865"/>
      <c r="AF556" s="1865"/>
      <c r="AG556" s="1865"/>
      <c r="AH556" s="1865"/>
      <c r="AI556" s="1865"/>
      <c r="AJ556" s="1865"/>
      <c r="AK556" s="1865"/>
      <c r="AL556" s="1865"/>
      <c r="AM556" s="1865"/>
      <c r="AN556" s="1865"/>
      <c r="AO556" s="1865"/>
      <c r="AP556" s="1865"/>
      <c r="AQ556" s="1865"/>
      <c r="AR556" s="1865"/>
      <c r="AS556" s="1865"/>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5"/>
      <c r="B557" s="1865"/>
      <c r="C557" s="1865"/>
      <c r="D557" s="1865"/>
      <c r="E557" s="1865"/>
      <c r="F557" s="1865"/>
      <c r="G557" s="1865"/>
      <c r="H557" s="1865"/>
      <c r="I557" s="1865"/>
      <c r="J557" s="1865"/>
      <c r="K557" s="1865"/>
      <c r="L557" s="1865"/>
      <c r="M557" s="1865"/>
      <c r="N557" s="1865"/>
      <c r="O557" s="1865"/>
      <c r="P557" s="1865"/>
      <c r="Q557" s="1865"/>
      <c r="R557" s="1865"/>
      <c r="S557" s="1865"/>
      <c r="T557" s="1865"/>
      <c r="U557" s="1865"/>
      <c r="V557" s="1865"/>
      <c r="W557" s="1865"/>
      <c r="X557" s="1865"/>
      <c r="Y557" s="1865"/>
      <c r="Z557" s="1865"/>
      <c r="AA557" s="1865"/>
      <c r="AB557" s="1865"/>
      <c r="AC557" s="1865"/>
      <c r="AD557" s="1865"/>
      <c r="AE557" s="1865"/>
      <c r="AF557" s="1865"/>
      <c r="AG557" s="1865"/>
      <c r="AH557" s="1865"/>
      <c r="AI557" s="1865"/>
      <c r="AJ557" s="1865"/>
      <c r="AK557" s="1865"/>
      <c r="AL557" s="1865"/>
      <c r="AM557" s="1865"/>
      <c r="AN557" s="1865"/>
      <c r="AO557" s="1865"/>
      <c r="AP557" s="1865"/>
      <c r="AQ557" s="1865"/>
      <c r="AR557" s="1865"/>
      <c r="AS557" s="1865"/>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4" t="s">
        <v>484</v>
      </c>
      <c r="C563" s="2060"/>
      <c r="D563" s="2060"/>
      <c r="E563" s="2060"/>
      <c r="F563" s="2060"/>
      <c r="G563" s="2060"/>
      <c r="H563" s="2060"/>
      <c r="I563" s="2060"/>
      <c r="J563" s="2060"/>
      <c r="K563" s="2060"/>
      <c r="L563" s="2060"/>
      <c r="M563" s="2060"/>
      <c r="N563" s="2060"/>
      <c r="O563" s="2060"/>
      <c r="P563" s="2061"/>
      <c r="Q563" s="2484" t="s">
        <v>2441</v>
      </c>
      <c r="R563" s="2485"/>
      <c r="S563" s="2486"/>
      <c r="T563" s="2484" t="s">
        <v>2439</v>
      </c>
      <c r="U563" s="2485"/>
      <c r="V563" s="2486"/>
      <c r="W563" s="2484" t="s">
        <v>485</v>
      </c>
      <c r="X563" s="2485"/>
      <c r="Y563" s="2486"/>
      <c r="Z563" s="2484" t="s">
        <v>2440</v>
      </c>
      <c r="AA563" s="2485"/>
      <c r="AB563" s="2485"/>
      <c r="AC563" s="2485"/>
      <c r="AD563" s="2485"/>
      <c r="AE563" s="2484" t="s">
        <v>2162</v>
      </c>
      <c r="AF563" s="2485"/>
      <c r="AG563" s="2485"/>
      <c r="AH563" s="2486"/>
      <c r="AI563" s="2484" t="s">
        <v>2163</v>
      </c>
      <c r="AJ563" s="2485"/>
      <c r="AK563" s="2485"/>
      <c r="AL563" s="2486"/>
      <c r="AM563" s="2484" t="s">
        <v>486</v>
      </c>
      <c r="AN563" s="2485"/>
      <c r="AO563" s="2485"/>
      <c r="AP563" s="2485"/>
      <c r="AQ563" s="2485"/>
      <c r="AR563" s="2485"/>
      <c r="AS563" s="248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0" t="s">
        <v>2574</v>
      </c>
      <c r="D564" s="2020"/>
      <c r="E564" s="2020"/>
      <c r="F564" s="2020"/>
      <c r="G564" s="2020"/>
      <c r="H564" s="2020"/>
      <c r="I564" s="2020"/>
      <c r="J564" s="2020"/>
      <c r="K564" s="2020"/>
      <c r="L564" s="2020"/>
      <c r="M564" s="2020"/>
      <c r="N564" s="2020"/>
      <c r="O564" s="2020"/>
      <c r="P564" s="2071"/>
      <c r="Q564" s="2073">
        <v>27</v>
      </c>
      <c r="R564" s="2073"/>
      <c r="S564" s="2074"/>
      <c r="T564" s="2072"/>
      <c r="U564" s="2073"/>
      <c r="V564" s="2074"/>
      <c r="W564" s="2535">
        <v>4.2500000000000003E-2</v>
      </c>
      <c r="X564" s="2536"/>
      <c r="Y564" s="2537"/>
      <c r="Z564" s="2532" t="s">
        <v>2512</v>
      </c>
      <c r="AA564" s="2532"/>
      <c r="AB564" s="2532"/>
      <c r="AC564" s="2532"/>
      <c r="AD564" s="2532"/>
      <c r="AE564" s="2525" t="s">
        <v>2513</v>
      </c>
      <c r="AF564" s="2526"/>
      <c r="AG564" s="2526"/>
      <c r="AH564" s="2527"/>
      <c r="AI564" s="2528" t="s">
        <v>578</v>
      </c>
      <c r="AJ564" s="2529"/>
      <c r="AK564" s="2529"/>
      <c r="AL564" s="2530"/>
      <c r="AM564" s="2135">
        <v>30936033</v>
      </c>
      <c r="AN564" s="2136"/>
      <c r="AO564" s="2136"/>
      <c r="AP564" s="2136"/>
      <c r="AQ564" s="2136"/>
      <c r="AR564" s="2136"/>
      <c r="AS564" s="2137"/>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0" t="s">
        <v>2575</v>
      </c>
      <c r="D565" s="2020"/>
      <c r="E565" s="2020"/>
      <c r="F565" s="2020"/>
      <c r="G565" s="2020"/>
      <c r="H565" s="2020"/>
      <c r="I565" s="2020"/>
      <c r="J565" s="2020"/>
      <c r="K565" s="2020"/>
      <c r="L565" s="2020"/>
      <c r="M565" s="2020"/>
      <c r="N565" s="2020"/>
      <c r="O565" s="2020"/>
      <c r="P565" s="2071"/>
      <c r="Q565" s="2072">
        <v>27</v>
      </c>
      <c r="R565" s="2073"/>
      <c r="S565" s="2074"/>
      <c r="T565" s="2072"/>
      <c r="U565" s="2073"/>
      <c r="V565" s="2074"/>
      <c r="W565" s="2535">
        <v>4.2500000000000003E-2</v>
      </c>
      <c r="X565" s="2536"/>
      <c r="Y565" s="2537"/>
      <c r="Z565" s="2531" t="s">
        <v>2512</v>
      </c>
      <c r="AA565" s="2532"/>
      <c r="AB565" s="2532"/>
      <c r="AC565" s="2532"/>
      <c r="AD565" s="2533"/>
      <c r="AE565" s="2525" t="s">
        <v>2513</v>
      </c>
      <c r="AF565" s="2526"/>
      <c r="AG565" s="2526"/>
      <c r="AH565" s="2527"/>
      <c r="AI565" s="2528" t="s">
        <v>578</v>
      </c>
      <c r="AJ565" s="2529"/>
      <c r="AK565" s="2529"/>
      <c r="AL565" s="2530"/>
      <c r="AM565" s="2135">
        <v>5500000</v>
      </c>
      <c r="AN565" s="2136"/>
      <c r="AO565" s="2136"/>
      <c r="AP565" s="2136"/>
      <c r="AQ565" s="2136"/>
      <c r="AR565" s="2136"/>
      <c r="AS565" s="21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0" t="s">
        <v>2601</v>
      </c>
      <c r="D566" s="2020"/>
      <c r="E566" s="2020"/>
      <c r="F566" s="2020"/>
      <c r="G566" s="2020"/>
      <c r="H566" s="2020"/>
      <c r="I566" s="2020"/>
      <c r="J566" s="2020"/>
      <c r="K566" s="2020"/>
      <c r="L566" s="2020"/>
      <c r="M566" s="2020"/>
      <c r="N566" s="2020"/>
      <c r="O566" s="2020"/>
      <c r="P566" s="2071"/>
      <c r="Q566" s="2072">
        <v>27</v>
      </c>
      <c r="R566" s="2073"/>
      <c r="S566" s="2074"/>
      <c r="T566" s="2072"/>
      <c r="U566" s="2073"/>
      <c r="V566" s="2074"/>
      <c r="W566" s="2535">
        <v>4.2500000000000003E-2</v>
      </c>
      <c r="X566" s="2536"/>
      <c r="Y566" s="2537"/>
      <c r="Z566" s="2531" t="s">
        <v>2512</v>
      </c>
      <c r="AA566" s="2532"/>
      <c r="AB566" s="2532"/>
      <c r="AC566" s="2532"/>
      <c r="AD566" s="2533"/>
      <c r="AE566" s="2525" t="s">
        <v>2513</v>
      </c>
      <c r="AF566" s="2526"/>
      <c r="AG566" s="2526"/>
      <c r="AH566" s="2527"/>
      <c r="AI566" s="2528" t="s">
        <v>578</v>
      </c>
      <c r="AJ566" s="2529"/>
      <c r="AK566" s="2529"/>
      <c r="AL566" s="2530"/>
      <c r="AM566" s="2135">
        <v>5109996</v>
      </c>
      <c r="AN566" s="2136"/>
      <c r="AO566" s="2136"/>
      <c r="AP566" s="2136"/>
      <c r="AQ566" s="2136"/>
      <c r="AR566" s="2136"/>
      <c r="AS566" s="21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0" t="s">
        <v>2514</v>
      </c>
      <c r="D567" s="2020"/>
      <c r="E567" s="2020"/>
      <c r="F567" s="2020"/>
      <c r="G567" s="2020"/>
      <c r="H567" s="2020"/>
      <c r="I567" s="2020"/>
      <c r="J567" s="2020"/>
      <c r="K567" s="2020"/>
      <c r="L567" s="2020"/>
      <c r="M567" s="2020"/>
      <c r="N567" s="2020"/>
      <c r="O567" s="2020"/>
      <c r="P567" s="2071"/>
      <c r="Q567" s="2072">
        <v>27</v>
      </c>
      <c r="R567" s="2073"/>
      <c r="S567" s="2074"/>
      <c r="T567" s="2072"/>
      <c r="U567" s="2073"/>
      <c r="V567" s="2074"/>
      <c r="W567" s="2535"/>
      <c r="X567" s="2536"/>
      <c r="Y567" s="2537"/>
      <c r="Z567" s="2531" t="s">
        <v>626</v>
      </c>
      <c r="AA567" s="2532"/>
      <c r="AB567" s="2532"/>
      <c r="AC567" s="2532"/>
      <c r="AD567" s="2533"/>
      <c r="AE567" s="2525"/>
      <c r="AF567" s="2526"/>
      <c r="AG567" s="2526"/>
      <c r="AH567" s="2527"/>
      <c r="AI567" s="2528"/>
      <c r="AJ567" s="2529"/>
      <c r="AK567" s="2529"/>
      <c r="AL567" s="2530"/>
      <c r="AM567" s="2135">
        <v>539676</v>
      </c>
      <c r="AN567" s="2136"/>
      <c r="AO567" s="2136"/>
      <c r="AP567" s="2136"/>
      <c r="AQ567" s="2136"/>
      <c r="AR567" s="2136"/>
      <c r="AS567" s="21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1861" t="s">
        <v>2570</v>
      </c>
      <c r="D568" s="1861"/>
      <c r="E568" s="1861"/>
      <c r="F568" s="1861"/>
      <c r="G568" s="1861"/>
      <c r="H568" s="1861"/>
      <c r="I568" s="1861"/>
      <c r="J568" s="1861"/>
      <c r="K568" s="1861"/>
      <c r="L568" s="1861"/>
      <c r="M568" s="1861"/>
      <c r="N568" s="1861"/>
      <c r="O568" s="1861"/>
      <c r="P568" s="1862"/>
      <c r="Q568" s="2072">
        <v>27</v>
      </c>
      <c r="R568" s="2073"/>
      <c r="S568" s="2074"/>
      <c r="T568" s="2072"/>
      <c r="U568" s="2073"/>
      <c r="V568" s="2074"/>
      <c r="W568" s="2535"/>
      <c r="X568" s="2536"/>
      <c r="Y568" s="2537"/>
      <c r="Z568" s="2531" t="s">
        <v>626</v>
      </c>
      <c r="AA568" s="2532"/>
      <c r="AB568" s="2532"/>
      <c r="AC568" s="2532"/>
      <c r="AD568" s="2533"/>
      <c r="AE568" s="2525"/>
      <c r="AF568" s="2526"/>
      <c r="AG568" s="2526"/>
      <c r="AH568" s="2527"/>
      <c r="AI568" s="2528"/>
      <c r="AJ568" s="2529"/>
      <c r="AK568" s="2529"/>
      <c r="AL568" s="2530"/>
      <c r="AM568" s="2135">
        <v>14422179</v>
      </c>
      <c r="AN568" s="2136"/>
      <c r="AO568" s="2136"/>
      <c r="AP568" s="2136"/>
      <c r="AQ568" s="2136"/>
      <c r="AR568" s="2136"/>
      <c r="AS568" s="21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861" t="s">
        <v>2515</v>
      </c>
      <c r="D569" s="1861"/>
      <c r="E569" s="1861"/>
      <c r="F569" s="1861"/>
      <c r="G569" s="1861"/>
      <c r="H569" s="1861"/>
      <c r="I569" s="1861"/>
      <c r="J569" s="1861"/>
      <c r="K569" s="1861"/>
      <c r="L569" s="1861"/>
      <c r="M569" s="1861"/>
      <c r="N569" s="1861"/>
      <c r="O569" s="1861"/>
      <c r="P569" s="1862"/>
      <c r="Q569" s="2072">
        <v>27</v>
      </c>
      <c r="R569" s="2073"/>
      <c r="S569" s="2074"/>
      <c r="T569" s="2072"/>
      <c r="U569" s="2073"/>
      <c r="V569" s="2074"/>
      <c r="W569" s="2535"/>
      <c r="X569" s="2536"/>
      <c r="Y569" s="2537"/>
      <c r="Z569" s="2531" t="s">
        <v>626</v>
      </c>
      <c r="AA569" s="2532"/>
      <c r="AB569" s="2532"/>
      <c r="AC569" s="2532"/>
      <c r="AD569" s="2533"/>
      <c r="AE569" s="2525"/>
      <c r="AF569" s="2526"/>
      <c r="AG569" s="2526"/>
      <c r="AH569" s="2527"/>
      <c r="AI569" s="2528"/>
      <c r="AJ569" s="2529"/>
      <c r="AK569" s="2529"/>
      <c r="AL569" s="2530"/>
      <c r="AM569" s="2135">
        <v>735826</v>
      </c>
      <c r="AN569" s="2136"/>
      <c r="AO569" s="2136"/>
      <c r="AP569" s="2136"/>
      <c r="AQ569" s="2136"/>
      <c r="AR569" s="2136"/>
      <c r="AS569" s="21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861" t="s">
        <v>2138</v>
      </c>
      <c r="D570" s="1861"/>
      <c r="E570" s="1861"/>
      <c r="F570" s="1861"/>
      <c r="G570" s="1861"/>
      <c r="H570" s="1861"/>
      <c r="I570" s="1861"/>
      <c r="J570" s="1861"/>
      <c r="K570" s="1861"/>
      <c r="L570" s="1861"/>
      <c r="M570" s="1861"/>
      <c r="N570" s="1861"/>
      <c r="O570" s="1861"/>
      <c r="P570" s="1862"/>
      <c r="Q570" s="2072">
        <v>168</v>
      </c>
      <c r="R570" s="2073"/>
      <c r="S570" s="2074"/>
      <c r="T570" s="2072"/>
      <c r="U570" s="2073"/>
      <c r="V570" s="2074"/>
      <c r="W570" s="2535">
        <v>1.35E-2</v>
      </c>
      <c r="X570" s="2536"/>
      <c r="Y570" s="2537"/>
      <c r="Z570" s="2532" t="s">
        <v>2512</v>
      </c>
      <c r="AA570" s="2532"/>
      <c r="AB570" s="2532"/>
      <c r="AC570" s="2532"/>
      <c r="AD570" s="2532"/>
      <c r="AE570" s="2525"/>
      <c r="AF570" s="2526"/>
      <c r="AG570" s="2526"/>
      <c r="AH570" s="2527"/>
      <c r="AI570" s="2528"/>
      <c r="AJ570" s="2529"/>
      <c r="AK570" s="2529"/>
      <c r="AL570" s="2530"/>
      <c r="AM570" s="2135">
        <v>5186956</v>
      </c>
      <c r="AN570" s="2136"/>
      <c r="AO570" s="2136"/>
      <c r="AP570" s="2136"/>
      <c r="AQ570" s="2136"/>
      <c r="AR570" s="2136"/>
      <c r="AS570" s="21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0"/>
      <c r="D571" s="2020"/>
      <c r="E571" s="2020"/>
      <c r="F571" s="2020"/>
      <c r="G571" s="2020"/>
      <c r="H571" s="2020"/>
      <c r="I571" s="2020"/>
      <c r="J571" s="2020"/>
      <c r="K571" s="2020"/>
      <c r="L571" s="2020"/>
      <c r="M571" s="2020"/>
      <c r="N571" s="2020"/>
      <c r="O571" s="2020"/>
      <c r="P571" s="2071"/>
      <c r="Q571" s="2072"/>
      <c r="R571" s="2073"/>
      <c r="S571" s="2074"/>
      <c r="T571" s="2072"/>
      <c r="U571" s="2073"/>
      <c r="V571" s="2074"/>
      <c r="W571" s="2535"/>
      <c r="X571" s="2536"/>
      <c r="Y571" s="2537"/>
      <c r="Z571" s="2532" t="s">
        <v>1386</v>
      </c>
      <c r="AA571" s="2532"/>
      <c r="AB571" s="2532"/>
      <c r="AC571" s="2532"/>
      <c r="AD571" s="2532"/>
      <c r="AE571" s="2525"/>
      <c r="AF571" s="2526"/>
      <c r="AG571" s="2526"/>
      <c r="AH571" s="2527"/>
      <c r="AI571" s="2528"/>
      <c r="AJ571" s="2529"/>
      <c r="AK571" s="2529"/>
      <c r="AL571" s="2530"/>
      <c r="AM571" s="2135"/>
      <c r="AN571" s="2136"/>
      <c r="AO571" s="2136"/>
      <c r="AP571" s="2136"/>
      <c r="AQ571" s="2136"/>
      <c r="AR571" s="2136"/>
      <c r="AS571" s="2137"/>
      <c r="BB571" s="58"/>
      <c r="BC571" s="58"/>
      <c r="BD571" s="58"/>
      <c r="BE571" s="58"/>
      <c r="BF571" s="58"/>
      <c r="BG571" s="58"/>
      <c r="BH571" s="58" t="s">
        <v>823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0"/>
      <c r="D572" s="2020"/>
      <c r="E572" s="2020"/>
      <c r="F572" s="2020"/>
      <c r="G572" s="2020"/>
      <c r="H572" s="2020"/>
      <c r="I572" s="2020"/>
      <c r="J572" s="2020"/>
      <c r="K572" s="2020"/>
      <c r="L572" s="2020"/>
      <c r="M572" s="2020"/>
      <c r="N572" s="2020"/>
      <c r="O572" s="2020"/>
      <c r="P572" s="2071"/>
      <c r="Q572" s="2072"/>
      <c r="R572" s="2073"/>
      <c r="S572" s="2074"/>
      <c r="T572" s="2072"/>
      <c r="U572" s="2073"/>
      <c r="V572" s="2074"/>
      <c r="W572" s="2535"/>
      <c r="X572" s="2536"/>
      <c r="Y572" s="2537"/>
      <c r="Z572" s="2532" t="s">
        <v>1386</v>
      </c>
      <c r="AA572" s="2532"/>
      <c r="AB572" s="2532"/>
      <c r="AC572" s="2532"/>
      <c r="AD572" s="2532"/>
      <c r="AE572" s="2525"/>
      <c r="AF572" s="2526"/>
      <c r="AG572" s="2526"/>
      <c r="AH572" s="2527"/>
      <c r="AI572" s="2528"/>
      <c r="AJ572" s="2529"/>
      <c r="AK572" s="2529"/>
      <c r="AL572" s="2530"/>
      <c r="AM572" s="2135"/>
      <c r="AN572" s="2136"/>
      <c r="AO572" s="2136"/>
      <c r="AP572" s="2136"/>
      <c r="AQ572" s="2136"/>
      <c r="AR572" s="2136"/>
      <c r="AS572" s="213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0"/>
      <c r="D573" s="2020"/>
      <c r="E573" s="2020"/>
      <c r="F573" s="2020"/>
      <c r="G573" s="2020"/>
      <c r="H573" s="2020"/>
      <c r="I573" s="2020"/>
      <c r="J573" s="2020"/>
      <c r="K573" s="2020"/>
      <c r="L573" s="2020"/>
      <c r="M573" s="2020"/>
      <c r="N573" s="2020"/>
      <c r="O573" s="2020"/>
      <c r="P573" s="2071"/>
      <c r="Q573" s="2072"/>
      <c r="R573" s="2073"/>
      <c r="S573" s="2074"/>
      <c r="T573" s="2072"/>
      <c r="U573" s="2073"/>
      <c r="V573" s="2074"/>
      <c r="W573" s="2535"/>
      <c r="X573" s="2536"/>
      <c r="Y573" s="2537"/>
      <c r="Z573" s="2532" t="s">
        <v>1386</v>
      </c>
      <c r="AA573" s="2532"/>
      <c r="AB573" s="2532"/>
      <c r="AC573" s="2532"/>
      <c r="AD573" s="2532"/>
      <c r="AE573" s="2525"/>
      <c r="AF573" s="2526"/>
      <c r="AG573" s="2526"/>
      <c r="AH573" s="2527"/>
      <c r="AI573" s="2528"/>
      <c r="AJ573" s="2529"/>
      <c r="AK573" s="2529"/>
      <c r="AL573" s="2530"/>
      <c r="AM573" s="2135"/>
      <c r="AN573" s="2136"/>
      <c r="AO573" s="2136"/>
      <c r="AP573" s="2136"/>
      <c r="AQ573" s="2136"/>
      <c r="AR573" s="2136"/>
      <c r="AS573" s="21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20"/>
      <c r="D574" s="2020"/>
      <c r="E574" s="2020"/>
      <c r="F574" s="2020"/>
      <c r="G574" s="2020"/>
      <c r="H574" s="2020"/>
      <c r="I574" s="2020"/>
      <c r="J574" s="2020"/>
      <c r="K574" s="2020"/>
      <c r="L574" s="2020"/>
      <c r="M574" s="2020"/>
      <c r="N574" s="2020"/>
      <c r="O574" s="2020"/>
      <c r="P574" s="2071"/>
      <c r="Q574" s="2072"/>
      <c r="R574" s="2073"/>
      <c r="S574" s="2074"/>
      <c r="T574" s="2072"/>
      <c r="U574" s="2073"/>
      <c r="V574" s="2074"/>
      <c r="W574" s="2535"/>
      <c r="X574" s="2536"/>
      <c r="Y574" s="2537"/>
      <c r="Z574" s="2532" t="s">
        <v>1386</v>
      </c>
      <c r="AA574" s="2532"/>
      <c r="AB574" s="2532"/>
      <c r="AC574" s="2532"/>
      <c r="AD574" s="2532"/>
      <c r="AE574" s="2525"/>
      <c r="AF574" s="2526"/>
      <c r="AG574" s="2526"/>
      <c r="AH574" s="2527"/>
      <c r="AI574" s="2528"/>
      <c r="AJ574" s="2529"/>
      <c r="AK574" s="2529"/>
      <c r="AL574" s="2530"/>
      <c r="AM574" s="2135"/>
      <c r="AN574" s="2136"/>
      <c r="AO574" s="2136"/>
      <c r="AP574" s="2136"/>
      <c r="AQ574" s="2136"/>
      <c r="AR574" s="2136"/>
      <c r="AS574" s="21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20"/>
      <c r="D575" s="2020"/>
      <c r="E575" s="2020"/>
      <c r="F575" s="2020"/>
      <c r="G575" s="2020"/>
      <c r="H575" s="2020"/>
      <c r="I575" s="2020"/>
      <c r="J575" s="2020"/>
      <c r="K575" s="2020"/>
      <c r="L575" s="2020"/>
      <c r="M575" s="2020"/>
      <c r="N575" s="2020"/>
      <c r="O575" s="2020"/>
      <c r="P575" s="2071"/>
      <c r="Q575" s="2072"/>
      <c r="R575" s="2073"/>
      <c r="S575" s="2074"/>
      <c r="T575" s="2072"/>
      <c r="U575" s="2073"/>
      <c r="V575" s="2074"/>
      <c r="W575" s="2535"/>
      <c r="X575" s="2536"/>
      <c r="Y575" s="2537"/>
      <c r="Z575" s="2532" t="s">
        <v>1386</v>
      </c>
      <c r="AA575" s="2532"/>
      <c r="AB575" s="2532"/>
      <c r="AC575" s="2532"/>
      <c r="AD575" s="2532"/>
      <c r="AE575" s="2525"/>
      <c r="AF575" s="2526"/>
      <c r="AG575" s="2526"/>
      <c r="AH575" s="2527"/>
      <c r="AI575" s="2528"/>
      <c r="AJ575" s="2529"/>
      <c r="AK575" s="2529"/>
      <c r="AL575" s="2530"/>
      <c r="AM575" s="2135"/>
      <c r="AN575" s="2136"/>
      <c r="AO575" s="2136"/>
      <c r="AP575" s="2136"/>
      <c r="AQ575" s="2136"/>
      <c r="AR575" s="2136"/>
      <c r="AS575" s="21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46" t="s">
        <v>132</v>
      </c>
      <c r="C576" s="2247"/>
      <c r="D576" s="2247"/>
      <c r="E576" s="2247"/>
      <c r="F576" s="2247"/>
      <c r="G576" s="2247"/>
      <c r="H576" s="2247"/>
      <c r="I576" s="2247"/>
      <c r="J576" s="2247"/>
      <c r="K576" s="2247"/>
      <c r="L576" s="2247"/>
      <c r="M576" s="2247"/>
      <c r="N576" s="2247"/>
      <c r="O576" s="2247"/>
      <c r="P576" s="2247"/>
      <c r="Q576" s="2247"/>
      <c r="R576" s="2247"/>
      <c r="S576" s="2247"/>
      <c r="T576" s="2247"/>
      <c r="U576" s="2355"/>
      <c r="V576" s="2247"/>
      <c r="W576" s="2247"/>
      <c r="X576" s="2247"/>
      <c r="Y576" s="2247"/>
      <c r="Z576" s="2247"/>
      <c r="AA576" s="2247"/>
      <c r="AB576" s="2247"/>
      <c r="AC576" s="2247"/>
      <c r="AD576" s="2247"/>
      <c r="AE576" s="2247"/>
      <c r="AF576" s="2247"/>
      <c r="AG576" s="2247"/>
      <c r="AH576" s="2247"/>
      <c r="AI576" s="2247"/>
      <c r="AJ576" s="2247"/>
      <c r="AK576" s="2247"/>
      <c r="AL576" s="2248"/>
      <c r="AM576" s="2138">
        <f>SUM(AM564:AS575)</f>
        <v>62430666</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5" t="str">
        <f>C564</f>
        <v>Align Finance - Series A1 New Bonds</v>
      </c>
      <c r="H578" s="2035"/>
      <c r="I578" s="2035"/>
      <c r="J578" s="2035"/>
      <c r="K578" s="2035"/>
      <c r="L578" s="2035"/>
      <c r="M578" s="2035"/>
      <c r="N578" s="2035"/>
      <c r="O578" s="2035"/>
      <c r="P578" s="2035"/>
      <c r="Q578" s="2035"/>
      <c r="R578" s="2035"/>
      <c r="S578" s="14"/>
      <c r="T578" s="87" t="s">
        <v>118</v>
      </c>
      <c r="U578" s="12" t="s">
        <v>496</v>
      </c>
      <c r="Z578" s="2035" t="str">
        <f>C565</f>
        <v>Align Finance - Series A2 Recycled Bonds</v>
      </c>
      <c r="AA578" s="2035"/>
      <c r="AB578" s="2035"/>
      <c r="AC578" s="2035"/>
      <c r="AD578" s="2035"/>
      <c r="AE578" s="2035"/>
      <c r="AF578" s="2035"/>
      <c r="AG578" s="2035"/>
      <c r="AH578" s="2035"/>
      <c r="AI578" s="2035"/>
      <c r="AJ578" s="2035"/>
      <c r="AK578" s="203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2" t="s">
        <v>2566</v>
      </c>
      <c r="H579" s="2022"/>
      <c r="I579" s="2022"/>
      <c r="J579" s="2022"/>
      <c r="K579" s="2022"/>
      <c r="L579" s="2022"/>
      <c r="M579" s="2022"/>
      <c r="N579" s="2022"/>
      <c r="O579" s="2022"/>
      <c r="P579" s="2022"/>
      <c r="Q579" s="2022"/>
      <c r="R579" s="2022"/>
      <c r="S579" s="14"/>
      <c r="T579" s="35"/>
      <c r="U579" s="12" t="s">
        <v>90</v>
      </c>
      <c r="Z579" s="2022" t="s">
        <v>2566</v>
      </c>
      <c r="AA579" s="2022"/>
      <c r="AB579" s="2022"/>
      <c r="AC579" s="2022"/>
      <c r="AD579" s="2022"/>
      <c r="AE579" s="2022"/>
      <c r="AF579" s="2022"/>
      <c r="AG579" s="2022"/>
      <c r="AH579" s="2022"/>
      <c r="AI579" s="2022"/>
      <c r="AJ579" s="2022"/>
      <c r="AK579" s="202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22" t="s">
        <v>773</v>
      </c>
      <c r="H580" s="2022"/>
      <c r="I580" s="2022"/>
      <c r="J580" s="2022"/>
      <c r="K580" s="2022"/>
      <c r="L580" s="2022"/>
      <c r="M580" s="2022"/>
      <c r="N580" s="2022"/>
      <c r="O580" s="2022"/>
      <c r="P580" s="2022"/>
      <c r="Q580" s="2022"/>
      <c r="R580" s="2022"/>
      <c r="S580" s="88"/>
      <c r="T580" s="35"/>
      <c r="U580" s="12" t="s">
        <v>615</v>
      </c>
      <c r="Z580" s="2022" t="s">
        <v>773</v>
      </c>
      <c r="AA580" s="2022"/>
      <c r="AB580" s="2022"/>
      <c r="AC580" s="2022"/>
      <c r="AD580" s="2022"/>
      <c r="AE580" s="2022"/>
      <c r="AF580" s="2022"/>
      <c r="AG580" s="2022"/>
      <c r="AH580" s="2022"/>
      <c r="AI580" s="2022"/>
      <c r="AJ580" s="2022"/>
      <c r="AK580" s="202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2" t="s">
        <v>2567</v>
      </c>
      <c r="H581" s="2022"/>
      <c r="I581" s="2022"/>
      <c r="J581" s="2022"/>
      <c r="K581" s="2022"/>
      <c r="L581" s="2022"/>
      <c r="M581" s="2022"/>
      <c r="N581" s="2022"/>
      <c r="O581" s="2022"/>
      <c r="P581" s="2022"/>
      <c r="Q581" s="2022"/>
      <c r="R581" s="2022"/>
      <c r="S581" s="14"/>
      <c r="T581" s="35"/>
      <c r="U581" s="12" t="s">
        <v>17</v>
      </c>
      <c r="Z581" s="2022" t="s">
        <v>2567</v>
      </c>
      <c r="AA581" s="2022"/>
      <c r="AB581" s="2022"/>
      <c r="AC581" s="2022"/>
      <c r="AD581" s="2022"/>
      <c r="AE581" s="2022"/>
      <c r="AF581" s="2022"/>
      <c r="AG581" s="2022"/>
      <c r="AH581" s="2022"/>
      <c r="AI581" s="2022"/>
      <c r="AJ581" s="2022"/>
      <c r="AK581" s="202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01" t="s">
        <v>2568</v>
      </c>
      <c r="H582" s="2101"/>
      <c r="I582" s="2101"/>
      <c r="J582" s="2101"/>
      <c r="K582" s="2101"/>
      <c r="L582" s="2101"/>
      <c r="O582" s="137" t="s">
        <v>211</v>
      </c>
      <c r="P582" s="2024"/>
      <c r="Q582" s="2024"/>
      <c r="R582" s="2024"/>
      <c r="S582" s="16"/>
      <c r="T582" s="35"/>
      <c r="U582" s="12" t="s">
        <v>326</v>
      </c>
      <c r="Z582" s="2101" t="s">
        <v>2568</v>
      </c>
      <c r="AA582" s="2101"/>
      <c r="AB582" s="2101"/>
      <c r="AC582" s="2101"/>
      <c r="AD582" s="2101"/>
      <c r="AE582" s="2101"/>
      <c r="AH582" s="137" t="s">
        <v>211</v>
      </c>
      <c r="AI582" s="2024"/>
      <c r="AJ582" s="2024"/>
      <c r="AK582" s="202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2" t="s">
        <v>2569</v>
      </c>
      <c r="I583" s="2022"/>
      <c r="J583" s="2022"/>
      <c r="K583" s="2022"/>
      <c r="L583" s="2022"/>
      <c r="M583" s="2022"/>
      <c r="N583" s="2022"/>
      <c r="O583" s="2022"/>
      <c r="P583" s="2022"/>
      <c r="Q583" s="2022"/>
      <c r="R583" s="2022"/>
      <c r="S583" s="14"/>
      <c r="T583" s="35"/>
      <c r="U583" s="12" t="s">
        <v>18</v>
      </c>
      <c r="AA583" s="2022" t="s">
        <v>2569</v>
      </c>
      <c r="AB583" s="2022"/>
      <c r="AC583" s="2022"/>
      <c r="AD583" s="2022"/>
      <c r="AE583" s="2022"/>
      <c r="AF583" s="2022"/>
      <c r="AG583" s="2022"/>
      <c r="AH583" s="2022"/>
      <c r="AI583" s="2022"/>
      <c r="AJ583" s="2022"/>
      <c r="AK583" s="202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054"/>
      <c r="N584" s="2054"/>
      <c r="O584" s="2054"/>
      <c r="P584" s="2054"/>
      <c r="Q584" s="2054"/>
      <c r="R584" s="2054"/>
      <c r="S584" s="14"/>
      <c r="T584" s="35"/>
      <c r="U584" s="510" t="s">
        <v>1387</v>
      </c>
      <c r="V584" s="720"/>
      <c r="W584" s="720"/>
      <c r="X584" s="720"/>
      <c r="Y584" s="720"/>
      <c r="Z584" s="720"/>
      <c r="AA584" s="14"/>
      <c r="AB584" s="14"/>
      <c r="AC584" s="14"/>
      <c r="AD584" s="14"/>
      <c r="AE584" s="14"/>
      <c r="AF584" s="2054"/>
      <c r="AG584" s="2054"/>
      <c r="AH584" s="2054"/>
      <c r="AI584" s="2054"/>
      <c r="AJ584" s="2054"/>
      <c r="AK584" s="2054"/>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3" t="s">
        <v>578</v>
      </c>
      <c r="O585" s="2023"/>
      <c r="T585" s="35"/>
      <c r="U585" s="12" t="s">
        <v>20</v>
      </c>
      <c r="AG585" s="2023" t="s">
        <v>578</v>
      </c>
      <c r="AH585" s="202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5" t="str">
        <f>C566</f>
        <v xml:space="preserve">Align Finance - Taxable </v>
      </c>
      <c r="H587" s="2035"/>
      <c r="I587" s="2035"/>
      <c r="J587" s="2035"/>
      <c r="K587" s="2035"/>
      <c r="L587" s="2035"/>
      <c r="M587" s="2035"/>
      <c r="N587" s="2035"/>
      <c r="O587" s="2035"/>
      <c r="P587" s="2035"/>
      <c r="Q587" s="2035"/>
      <c r="R587" s="2035"/>
      <c r="T587" s="87" t="s">
        <v>616</v>
      </c>
      <c r="U587" s="12" t="s">
        <v>496</v>
      </c>
      <c r="Z587" s="2035" t="str">
        <f>C567</f>
        <v>NOI during Construction</v>
      </c>
      <c r="AA587" s="2035"/>
      <c r="AB587" s="2035"/>
      <c r="AC587" s="2035"/>
      <c r="AD587" s="2035"/>
      <c r="AE587" s="2035"/>
      <c r="AF587" s="2035"/>
      <c r="AG587" s="2035"/>
      <c r="AH587" s="2035"/>
      <c r="AI587" s="2035"/>
      <c r="AJ587" s="2035"/>
      <c r="AK587" s="203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2" t="s">
        <v>2566</v>
      </c>
      <c r="H588" s="2022"/>
      <c r="I588" s="2022"/>
      <c r="J588" s="2022"/>
      <c r="K588" s="2022"/>
      <c r="L588" s="2022"/>
      <c r="M588" s="2022"/>
      <c r="N588" s="2022"/>
      <c r="O588" s="2022"/>
      <c r="P588" s="2022"/>
      <c r="Q588" s="2022"/>
      <c r="R588" s="2022"/>
      <c r="T588" s="35"/>
      <c r="U588" s="12" t="s">
        <v>90</v>
      </c>
      <c r="Z588" s="1863" t="s">
        <v>2476</v>
      </c>
      <c r="AA588" s="1859"/>
      <c r="AB588" s="1859"/>
      <c r="AC588" s="1859"/>
      <c r="AD588" s="1859"/>
      <c r="AE588" s="1859"/>
      <c r="AF588" s="1859"/>
      <c r="AG588" s="1859"/>
      <c r="AH588" s="1859"/>
      <c r="AI588" s="1859"/>
      <c r="AJ588" s="1859"/>
      <c r="AK588" s="185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18" t="s">
        <v>773</v>
      </c>
      <c r="H589" s="2018"/>
      <c r="I589" s="2018"/>
      <c r="J589" s="2018"/>
      <c r="K589" s="2018"/>
      <c r="L589" s="2018"/>
      <c r="M589" s="2018"/>
      <c r="N589" s="2018"/>
      <c r="O589" s="2018"/>
      <c r="P589" s="2018"/>
      <c r="Q589" s="2018"/>
      <c r="R589" s="2018"/>
      <c r="T589" s="35"/>
      <c r="U589" s="12" t="s">
        <v>615</v>
      </c>
      <c r="Z589" s="1864" t="s">
        <v>71</v>
      </c>
      <c r="AA589" s="1857"/>
      <c r="AB589" s="1857"/>
      <c r="AC589" s="1857"/>
      <c r="AD589" s="1857"/>
      <c r="AE589" s="1857"/>
      <c r="AF589" s="1857"/>
      <c r="AG589" s="1857"/>
      <c r="AH589" s="1857"/>
      <c r="AI589" s="1857"/>
      <c r="AJ589" s="1857"/>
      <c r="AK589" s="185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8" t="s">
        <v>2567</v>
      </c>
      <c r="H590" s="2018"/>
      <c r="I590" s="2018"/>
      <c r="J590" s="2018"/>
      <c r="K590" s="2018"/>
      <c r="L590" s="2018"/>
      <c r="M590" s="2018"/>
      <c r="N590" s="2018"/>
      <c r="O590" s="2018"/>
      <c r="P590" s="2018"/>
      <c r="Q590" s="2018"/>
      <c r="R590" s="2018"/>
      <c r="T590" s="35"/>
      <c r="U590" s="12" t="s">
        <v>17</v>
      </c>
      <c r="Z590" s="1864" t="s">
        <v>2472</v>
      </c>
      <c r="AA590" s="1857"/>
      <c r="AB590" s="1857"/>
      <c r="AC590" s="1857"/>
      <c r="AD590" s="1857"/>
      <c r="AE590" s="1857"/>
      <c r="AF590" s="1857"/>
      <c r="AG590" s="1857"/>
      <c r="AH590" s="1857"/>
      <c r="AI590" s="1857"/>
      <c r="AJ590" s="1857"/>
      <c r="AK590" s="185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01" t="s">
        <v>2600</v>
      </c>
      <c r="H591" s="2031"/>
      <c r="I591" s="2031"/>
      <c r="J591" s="2031"/>
      <c r="K591" s="2031"/>
      <c r="L591" s="2031"/>
      <c r="O591" s="137" t="s">
        <v>211</v>
      </c>
      <c r="P591" s="2024"/>
      <c r="Q591" s="2024"/>
      <c r="R591" s="2024"/>
      <c r="T591" s="35"/>
      <c r="U591" s="12" t="s">
        <v>326</v>
      </c>
      <c r="Z591" s="2101" t="s">
        <v>2473</v>
      </c>
      <c r="AA591" s="2031"/>
      <c r="AB591" s="2031"/>
      <c r="AC591" s="2031"/>
      <c r="AD591" s="2031"/>
      <c r="AE591" s="2031"/>
      <c r="AH591" s="137" t="s">
        <v>211</v>
      </c>
      <c r="AI591" s="2024"/>
      <c r="AJ591" s="2024"/>
      <c r="AK591" s="202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1" t="s">
        <v>2569</v>
      </c>
      <c r="I592" s="2022"/>
      <c r="J592" s="2022"/>
      <c r="K592" s="2022"/>
      <c r="L592" s="2022"/>
      <c r="M592" s="2022"/>
      <c r="N592" s="2022"/>
      <c r="O592" s="2022"/>
      <c r="P592" s="2022"/>
      <c r="Q592" s="2022"/>
      <c r="R592" s="2022"/>
      <c r="T592" s="35"/>
      <c r="U592" s="12" t="s">
        <v>18</v>
      </c>
      <c r="AA592" s="2021" t="s">
        <v>2599</v>
      </c>
      <c r="AB592" s="2022"/>
      <c r="AC592" s="2022"/>
      <c r="AD592" s="2022"/>
      <c r="AE592" s="2022"/>
      <c r="AF592" s="2022"/>
      <c r="AG592" s="2022"/>
      <c r="AH592" s="2022"/>
      <c r="AI592" s="2022"/>
      <c r="AJ592" s="2022"/>
      <c r="AK592" s="202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3" t="s">
        <v>578</v>
      </c>
      <c r="O593" s="2023"/>
      <c r="T593" s="35"/>
      <c r="U593" s="12" t="s">
        <v>20</v>
      </c>
      <c r="AG593" s="2023" t="s">
        <v>578</v>
      </c>
      <c r="AH593" s="202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035" t="str">
        <f>C568</f>
        <v>Boston Financial - Tax Credit Equity</v>
      </c>
      <c r="H595" s="2035"/>
      <c r="I595" s="2035"/>
      <c r="J595" s="2035"/>
      <c r="K595" s="2035"/>
      <c r="L595" s="2035"/>
      <c r="M595" s="2035"/>
      <c r="N595" s="2035"/>
      <c r="O595" s="2035"/>
      <c r="P595" s="2035"/>
      <c r="Q595" s="2035"/>
      <c r="R595" s="2035"/>
      <c r="T595" s="87" t="s">
        <v>619</v>
      </c>
      <c r="U595" s="12" t="s">
        <v>496</v>
      </c>
      <c r="Z595" s="2035" t="str">
        <f>C569</f>
        <v>Deferred Reserve Funding</v>
      </c>
      <c r="AA595" s="2035"/>
      <c r="AB595" s="2035"/>
      <c r="AC595" s="2035"/>
      <c r="AD595" s="2035"/>
      <c r="AE595" s="2035"/>
      <c r="AF595" s="2035"/>
      <c r="AG595" s="2035"/>
      <c r="AH595" s="2035"/>
      <c r="AI595" s="2035"/>
      <c r="AJ595" s="2035"/>
      <c r="AK595" s="203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2" t="s">
        <v>2571</v>
      </c>
      <c r="H596" s="2022"/>
      <c r="I596" s="2022"/>
      <c r="J596" s="2022"/>
      <c r="K596" s="2022"/>
      <c r="L596" s="2022"/>
      <c r="M596" s="2022"/>
      <c r="N596" s="2022"/>
      <c r="O596" s="2022"/>
      <c r="P596" s="2022"/>
      <c r="Q596" s="2022"/>
      <c r="R596" s="2022"/>
      <c r="T596" s="35"/>
      <c r="U596" s="12" t="s">
        <v>90</v>
      </c>
      <c r="Z596" s="2022" t="s">
        <v>2476</v>
      </c>
      <c r="AA596" s="2022"/>
      <c r="AB596" s="2022"/>
      <c r="AC596" s="2022"/>
      <c r="AD596" s="2022"/>
      <c r="AE596" s="2022"/>
      <c r="AF596" s="2022"/>
      <c r="AG596" s="2022"/>
      <c r="AH596" s="2022"/>
      <c r="AI596" s="2022"/>
      <c r="AJ596" s="2022"/>
      <c r="AK596" s="202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2" t="s">
        <v>527</v>
      </c>
      <c r="H597" s="2022"/>
      <c r="I597" s="2022"/>
      <c r="J597" s="2022"/>
      <c r="K597" s="2022"/>
      <c r="L597" s="2022"/>
      <c r="M597" s="2022"/>
      <c r="N597" s="2022"/>
      <c r="O597" s="2022"/>
      <c r="P597" s="2022"/>
      <c r="Q597" s="2022"/>
      <c r="R597" s="2022"/>
      <c r="T597" s="35"/>
      <c r="U597" s="12" t="s">
        <v>615</v>
      </c>
      <c r="Z597" s="2018" t="s">
        <v>71</v>
      </c>
      <c r="AA597" s="2018"/>
      <c r="AB597" s="2018"/>
      <c r="AC597" s="2018"/>
      <c r="AD597" s="2018"/>
      <c r="AE597" s="2018"/>
      <c r="AF597" s="2018"/>
      <c r="AG597" s="2018"/>
      <c r="AH597" s="2018"/>
      <c r="AI597" s="2018"/>
      <c r="AJ597" s="2018"/>
      <c r="AK597" s="201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2" t="s">
        <v>2572</v>
      </c>
      <c r="H598" s="2022"/>
      <c r="I598" s="2022"/>
      <c r="J598" s="2022"/>
      <c r="K598" s="2022"/>
      <c r="L598" s="2022"/>
      <c r="M598" s="2022"/>
      <c r="N598" s="2022"/>
      <c r="O598" s="2022"/>
      <c r="P598" s="2022"/>
      <c r="Q598" s="2022"/>
      <c r="R598" s="2022"/>
      <c r="T598" s="35"/>
      <c r="U598" s="12" t="s">
        <v>17</v>
      </c>
      <c r="Z598" s="2018" t="s">
        <v>2472</v>
      </c>
      <c r="AA598" s="2018"/>
      <c r="AB598" s="2018"/>
      <c r="AC598" s="2018"/>
      <c r="AD598" s="2018"/>
      <c r="AE598" s="2018"/>
      <c r="AF598" s="2018"/>
      <c r="AG598" s="2018"/>
      <c r="AH598" s="2018"/>
      <c r="AI598" s="2018"/>
      <c r="AJ598" s="2018"/>
      <c r="AK598" s="201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01" t="s">
        <v>2598</v>
      </c>
      <c r="H599" s="2031"/>
      <c r="I599" s="2031"/>
      <c r="J599" s="2031"/>
      <c r="K599" s="2031"/>
      <c r="L599" s="2031"/>
      <c r="O599" s="137" t="s">
        <v>211</v>
      </c>
      <c r="P599" s="2024"/>
      <c r="Q599" s="2024"/>
      <c r="R599" s="2024"/>
      <c r="T599" s="35"/>
      <c r="U599" s="12" t="s">
        <v>326</v>
      </c>
      <c r="Z599" s="2031">
        <v>9167304143</v>
      </c>
      <c r="AA599" s="2031"/>
      <c r="AB599" s="2031"/>
      <c r="AC599" s="2031"/>
      <c r="AD599" s="2031"/>
      <c r="AE599" s="2031"/>
      <c r="AH599" s="137" t="s">
        <v>211</v>
      </c>
      <c r="AI599" s="2024"/>
      <c r="AJ599" s="2024"/>
      <c r="AK599" s="202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1" t="s">
        <v>2573</v>
      </c>
      <c r="I600" s="2022"/>
      <c r="J600" s="2022"/>
      <c r="K600" s="2022"/>
      <c r="L600" s="2022"/>
      <c r="M600" s="2022"/>
      <c r="N600" s="2022"/>
      <c r="O600" s="2022"/>
      <c r="P600" s="2022"/>
      <c r="Q600" s="2022"/>
      <c r="R600" s="2022"/>
      <c r="T600" s="35"/>
      <c r="U600" s="12" t="s">
        <v>18</v>
      </c>
      <c r="AA600" s="2022" t="s">
        <v>490</v>
      </c>
      <c r="AB600" s="2022"/>
      <c r="AC600" s="2022"/>
      <c r="AD600" s="2022"/>
      <c r="AE600" s="2022"/>
      <c r="AF600" s="2022"/>
      <c r="AG600" s="2022"/>
      <c r="AH600" s="2022"/>
      <c r="AI600" s="2022"/>
      <c r="AJ600" s="2022"/>
      <c r="AK600" s="202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3" t="s">
        <v>578</v>
      </c>
      <c r="O601" s="2023"/>
      <c r="T601" s="35"/>
      <c r="U601" s="12" t="s">
        <v>20</v>
      </c>
      <c r="AG601" s="2023" t="s">
        <v>578</v>
      </c>
      <c r="AH601" s="202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5" t="str">
        <f>C570</f>
        <v>Deferred Developer Fee</v>
      </c>
      <c r="H603" s="2035"/>
      <c r="I603" s="2035"/>
      <c r="J603" s="2035"/>
      <c r="K603" s="2035"/>
      <c r="L603" s="2035"/>
      <c r="M603" s="2035"/>
      <c r="N603" s="2035"/>
      <c r="O603" s="2035"/>
      <c r="P603" s="2035"/>
      <c r="Q603" s="2035"/>
      <c r="R603" s="2035"/>
      <c r="T603" s="87" t="s">
        <v>488</v>
      </c>
      <c r="U603" s="12" t="s">
        <v>496</v>
      </c>
      <c r="Z603" s="2035">
        <f>C571</f>
        <v>0</v>
      </c>
      <c r="AA603" s="2035"/>
      <c r="AB603" s="2035"/>
      <c r="AC603" s="2035"/>
      <c r="AD603" s="2035"/>
      <c r="AE603" s="2035"/>
      <c r="AF603" s="2035"/>
      <c r="AG603" s="2035"/>
      <c r="AH603" s="2035"/>
      <c r="AI603" s="2035"/>
      <c r="AJ603" s="2035"/>
      <c r="AK603" s="203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2" t="s">
        <v>2476</v>
      </c>
      <c r="H604" s="2022"/>
      <c r="I604" s="2022"/>
      <c r="J604" s="2022"/>
      <c r="K604" s="2022"/>
      <c r="L604" s="2022"/>
      <c r="M604" s="2022"/>
      <c r="N604" s="2022"/>
      <c r="O604" s="2022"/>
      <c r="P604" s="2022"/>
      <c r="Q604" s="2022"/>
      <c r="R604" s="2022"/>
      <c r="T604" s="35"/>
      <c r="U604" s="12" t="s">
        <v>90</v>
      </c>
      <c r="Z604" s="2022"/>
      <c r="AA604" s="2022"/>
      <c r="AB604" s="2022"/>
      <c r="AC604" s="2022"/>
      <c r="AD604" s="2022"/>
      <c r="AE604" s="2022"/>
      <c r="AF604" s="2022"/>
      <c r="AG604" s="2022"/>
      <c r="AH604" s="2022"/>
      <c r="AI604" s="2022"/>
      <c r="AJ604" s="2022"/>
      <c r="AK604" s="202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8" t="s">
        <v>71</v>
      </c>
      <c r="H605" s="2018"/>
      <c r="I605" s="2018"/>
      <c r="J605" s="2018"/>
      <c r="K605" s="2018"/>
      <c r="L605" s="2018"/>
      <c r="M605" s="2018"/>
      <c r="N605" s="2018"/>
      <c r="O605" s="2018"/>
      <c r="P605" s="2018"/>
      <c r="Q605" s="2018"/>
      <c r="R605" s="2018"/>
      <c r="T605" s="35"/>
      <c r="U605" s="12" t="s">
        <v>615</v>
      </c>
      <c r="Z605" s="2018"/>
      <c r="AA605" s="2018"/>
      <c r="AB605" s="2018"/>
      <c r="AC605" s="2018"/>
      <c r="AD605" s="2018"/>
      <c r="AE605" s="2018"/>
      <c r="AF605" s="2018"/>
      <c r="AG605" s="2018"/>
      <c r="AH605" s="2018"/>
      <c r="AI605" s="2018"/>
      <c r="AJ605" s="2018"/>
      <c r="AK605" s="201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8" t="s">
        <v>2472</v>
      </c>
      <c r="H606" s="2018"/>
      <c r="I606" s="2018"/>
      <c r="J606" s="2018"/>
      <c r="K606" s="2018"/>
      <c r="L606" s="2018"/>
      <c r="M606" s="2018"/>
      <c r="N606" s="2018"/>
      <c r="O606" s="2018"/>
      <c r="P606" s="2018"/>
      <c r="Q606" s="2018"/>
      <c r="R606" s="2018"/>
      <c r="T606" s="35"/>
      <c r="U606" s="12" t="s">
        <v>17</v>
      </c>
      <c r="Z606" s="2018"/>
      <c r="AA606" s="2018"/>
      <c r="AB606" s="2018"/>
      <c r="AC606" s="2018"/>
      <c r="AD606" s="2018"/>
      <c r="AE606" s="2018"/>
      <c r="AF606" s="2018"/>
      <c r="AG606" s="2018"/>
      <c r="AH606" s="2018"/>
      <c r="AI606" s="2018"/>
      <c r="AJ606" s="2018"/>
      <c r="AK606" s="201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31">
        <v>9167304143</v>
      </c>
      <c r="H607" s="2031"/>
      <c r="I607" s="2031"/>
      <c r="J607" s="2031"/>
      <c r="K607" s="2031"/>
      <c r="L607" s="2031"/>
      <c r="M607" s="12"/>
      <c r="N607" s="12"/>
      <c r="O607" s="137" t="s">
        <v>211</v>
      </c>
      <c r="P607" s="2024"/>
      <c r="Q607" s="2024"/>
      <c r="R607" s="2024"/>
      <c r="S607" s="12"/>
      <c r="T607" s="35"/>
      <c r="U607" s="12" t="s">
        <v>326</v>
      </c>
      <c r="V607" s="12"/>
      <c r="W607" s="12"/>
      <c r="X607" s="12"/>
      <c r="Y607" s="12"/>
      <c r="Z607" s="2031"/>
      <c r="AA607" s="2031"/>
      <c r="AB607" s="2031"/>
      <c r="AC607" s="2031"/>
      <c r="AD607" s="2031"/>
      <c r="AE607" s="2031"/>
      <c r="AF607" s="12"/>
      <c r="AG607" s="12"/>
      <c r="AH607" s="137" t="s">
        <v>211</v>
      </c>
      <c r="AI607" s="2024"/>
      <c r="AJ607" s="2024"/>
      <c r="AK607" s="202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2" t="s">
        <v>2138</v>
      </c>
      <c r="I608" s="2022"/>
      <c r="J608" s="2022"/>
      <c r="K608" s="2022"/>
      <c r="L608" s="2022"/>
      <c r="M608" s="2022"/>
      <c r="N608" s="2022"/>
      <c r="O608" s="2022"/>
      <c r="P608" s="2022"/>
      <c r="Q608" s="2022"/>
      <c r="R608" s="2022"/>
      <c r="S608" s="12"/>
      <c r="T608" s="35"/>
      <c r="U608" s="12" t="s">
        <v>18</v>
      </c>
      <c r="V608" s="12"/>
      <c r="W608" s="12"/>
      <c r="X608" s="12"/>
      <c r="Y608" s="12"/>
      <c r="Z608" s="12"/>
      <c r="AA608" s="2022"/>
      <c r="AB608" s="2022"/>
      <c r="AC608" s="2022"/>
      <c r="AD608" s="2022"/>
      <c r="AE608" s="2022"/>
      <c r="AF608" s="2022"/>
      <c r="AG608" s="2022"/>
      <c r="AH608" s="2022"/>
      <c r="AI608" s="2022"/>
      <c r="AJ608" s="2022"/>
      <c r="AK608" s="202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3" t="s">
        <v>578</v>
      </c>
      <c r="O609" s="2023"/>
      <c r="P609" s="12"/>
      <c r="Q609" s="12"/>
      <c r="R609" s="12"/>
      <c r="S609" s="12"/>
      <c r="T609" s="35"/>
      <c r="U609" s="12" t="s">
        <v>20</v>
      </c>
      <c r="V609" s="12"/>
      <c r="W609" s="12"/>
      <c r="X609" s="12"/>
      <c r="Y609" s="12"/>
      <c r="Z609" s="12"/>
      <c r="AA609" s="12"/>
      <c r="AB609" s="12"/>
      <c r="AC609" s="12"/>
      <c r="AD609" s="12"/>
      <c r="AE609" s="12"/>
      <c r="AF609" s="12"/>
      <c r="AG609" s="2023" t="s">
        <v>706</v>
      </c>
      <c r="AH609" s="2023"/>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523"/>
      <c r="BH609" s="2524"/>
      <c r="BI609" s="185" t="s">
        <v>508</v>
      </c>
      <c r="BJ609" s="186"/>
      <c r="BK609" s="2523"/>
      <c r="BL609" s="2524"/>
      <c r="BM609" s="58"/>
      <c r="BN609" s="2270" t="s">
        <v>668</v>
      </c>
      <c r="BO609" s="2271"/>
      <c r="BP609" s="2271"/>
      <c r="BQ609" s="2271"/>
      <c r="BR609" s="2272"/>
      <c r="BS609" s="2142" t="s">
        <v>335</v>
      </c>
      <c r="BT609" s="2142"/>
      <c r="BU609" s="2142"/>
      <c r="BV609" s="2142"/>
      <c r="BW609" s="2142"/>
      <c r="BX609" s="2142" t="s">
        <v>168</v>
      </c>
      <c r="BY609" s="2142"/>
      <c r="BZ609" s="2142"/>
      <c r="CA609" s="2142"/>
      <c r="CB609" s="2142"/>
      <c r="CC609" s="2142" t="s">
        <v>169</v>
      </c>
      <c r="CD609" s="2142"/>
      <c r="CE609" s="2142"/>
      <c r="CF609" s="2142"/>
      <c r="CG609" s="2142"/>
      <c r="CH609" s="2142" t="s">
        <v>493</v>
      </c>
      <c r="CI609" s="2142"/>
      <c r="CJ609" s="2142"/>
      <c r="CK609" s="2142"/>
      <c r="CL609" s="2142"/>
      <c r="CM609" s="2142" t="s">
        <v>31</v>
      </c>
      <c r="CN609" s="2142"/>
      <c r="CO609" s="2142"/>
      <c r="CP609" s="2142"/>
      <c r="CQ609" s="2142"/>
      <c r="CR609" s="1822"/>
      <c r="CS609" s="2142" t="s">
        <v>668</v>
      </c>
      <c r="CT609" s="2142"/>
      <c r="CU609" s="2142"/>
      <c r="CV609" s="2142"/>
      <c r="CW609" s="2142"/>
      <c r="CX609" s="2142" t="s">
        <v>335</v>
      </c>
      <c r="CY609" s="2142"/>
      <c r="CZ609" s="2142"/>
      <c r="DA609" s="2142"/>
      <c r="DB609" s="2142"/>
      <c r="DC609" s="2142" t="s">
        <v>168</v>
      </c>
      <c r="DD609" s="2142"/>
      <c r="DE609" s="2142"/>
      <c r="DF609" s="2142"/>
      <c r="DG609" s="2142"/>
      <c r="DH609" s="2142" t="s">
        <v>169</v>
      </c>
      <c r="DI609" s="2142"/>
      <c r="DJ609" s="2142"/>
      <c r="DK609" s="2142"/>
      <c r="DL609" s="2142"/>
      <c r="DM609" s="2142" t="s">
        <v>493</v>
      </c>
      <c r="DN609" s="2142"/>
      <c r="DO609" s="2142"/>
      <c r="DP609" s="2142"/>
      <c r="DQ609" s="2142"/>
      <c r="DR609" s="2142" t="s">
        <v>31</v>
      </c>
      <c r="DS609" s="2142"/>
      <c r="DT609" s="2142"/>
      <c r="DU609" s="2142"/>
      <c r="DV609" s="2142"/>
      <c r="DX609" s="2142" t="s">
        <v>668</v>
      </c>
      <c r="DY609" s="2142"/>
      <c r="DZ609" s="2142"/>
      <c r="EA609" s="2142"/>
      <c r="EB609" s="2142"/>
      <c r="EC609" s="2142" t="s">
        <v>335</v>
      </c>
      <c r="ED609" s="2142"/>
      <c r="EE609" s="2142"/>
      <c r="EF609" s="2142"/>
      <c r="EG609" s="2142"/>
      <c r="EH609" s="2142" t="s">
        <v>168</v>
      </c>
      <c r="EI609" s="2142"/>
      <c r="EJ609" s="2142"/>
      <c r="EK609" s="2142"/>
      <c r="EL609" s="2142"/>
      <c r="EM609" s="2142" t="s">
        <v>169</v>
      </c>
      <c r="EN609" s="2142"/>
      <c r="EO609" s="2142"/>
      <c r="EP609" s="2142"/>
      <c r="EQ609" s="2142"/>
      <c r="ER609" s="2142" t="s">
        <v>493</v>
      </c>
      <c r="ES609" s="2142"/>
      <c r="ET609" s="2142"/>
      <c r="EU609" s="2142"/>
      <c r="EV609" s="2142"/>
      <c r="EW609" s="2142" t="s">
        <v>31</v>
      </c>
      <c r="EX609" s="2142"/>
      <c r="EY609" s="2142"/>
      <c r="EZ609" s="2142"/>
      <c r="FA609" s="214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131">
        <f t="shared" ref="BE610:BE634" si="0">IF(AND(AH728&lt;=0.5,AH728&gt;=0.36),1,0)</f>
        <v>0</v>
      </c>
      <c r="BF610" s="2133"/>
      <c r="BG610" s="2523">
        <f t="shared" ref="BG610:BG634" si="1">IF(BE610=1,G728,0)</f>
        <v>0</v>
      </c>
      <c r="BH610" s="2524"/>
      <c r="BI610" s="2131">
        <f t="shared" ref="BI610:BI634" si="2">IF(AND(AH728&lt;=0.35,AH728&gt;0),1,0)</f>
        <v>1</v>
      </c>
      <c r="BJ610" s="2133"/>
      <c r="BK610" s="2523">
        <f t="shared" ref="BK610:BK634" si="3">IF(BI610=1,G728,0)</f>
        <v>10</v>
      </c>
      <c r="BL610" s="2524"/>
      <c r="BM610" s="58"/>
      <c r="BN610" s="2032">
        <f t="shared" ref="BN610:BN634" si="4">IF(B728="SRO/Studio",G728,0)</f>
        <v>0</v>
      </c>
      <c r="BO610" s="2033"/>
      <c r="BP610" s="2033"/>
      <c r="BQ610" s="2033"/>
      <c r="BR610" s="2034"/>
      <c r="BS610" s="2128">
        <f t="shared" ref="BS610:BS634" si="5">IF(B728="1 Bedroom",G728,0)</f>
        <v>10</v>
      </c>
      <c r="BT610" s="2128"/>
      <c r="BU610" s="2128"/>
      <c r="BV610" s="2128"/>
      <c r="BW610" s="2128"/>
      <c r="BX610" s="2128">
        <f t="shared" ref="BX610:BX634" si="6">IF(B728="2 Bedrooms",G728,0)</f>
        <v>0</v>
      </c>
      <c r="BY610" s="2128"/>
      <c r="BZ610" s="2128"/>
      <c r="CA610" s="2128"/>
      <c r="CB610" s="2128"/>
      <c r="CC610" s="2128">
        <f t="shared" ref="CC610:CC634" si="7">IF(B728="3 Bedrooms",G728,0)</f>
        <v>0</v>
      </c>
      <c r="CD610" s="2128"/>
      <c r="CE610" s="2128"/>
      <c r="CF610" s="2128"/>
      <c r="CG610" s="2128"/>
      <c r="CH610" s="2128">
        <f t="shared" ref="CH610:CH634" si="8">IF(B728="4 Bedrooms",G728,0)</f>
        <v>0</v>
      </c>
      <c r="CI610" s="2128"/>
      <c r="CJ610" s="2128"/>
      <c r="CK610" s="2128"/>
      <c r="CL610" s="2128"/>
      <c r="CM610" s="2128">
        <f t="shared" ref="CM610:CM634" si="9">IF(B728="5 Bedrooms",G728,0)</f>
        <v>0</v>
      </c>
      <c r="CN610" s="2128"/>
      <c r="CO610" s="2128"/>
      <c r="CP610" s="2128"/>
      <c r="CQ610" s="2128"/>
      <c r="CR610" s="265"/>
      <c r="CS610" s="2109">
        <f t="shared" ref="CS610:CS634" si="10">IF(AND(B728="SRO/Studio",AH728&lt;=0.3),G728,0)</f>
        <v>0</v>
      </c>
      <c r="CT610" s="2109"/>
      <c r="CU610" s="2109"/>
      <c r="CV610" s="2109"/>
      <c r="CW610" s="2109"/>
      <c r="CX610" s="2109">
        <f t="shared" ref="CX610:CX634" si="11">IF(AND(B728="1 Bedroom",AH728&lt;=0.3),G728,0)</f>
        <v>10</v>
      </c>
      <c r="CY610" s="2109"/>
      <c r="CZ610" s="2109"/>
      <c r="DA610" s="2109"/>
      <c r="DB610" s="2109"/>
      <c r="DC610" s="2109">
        <f t="shared" ref="DC610:DC634" si="12">IF(AND(B728="2 Bedrooms",AH728&lt;=0.3),G728,0)</f>
        <v>0</v>
      </c>
      <c r="DD610" s="2109"/>
      <c r="DE610" s="2109"/>
      <c r="DF610" s="2109"/>
      <c r="DG610" s="2109"/>
      <c r="DH610" s="2109">
        <f t="shared" ref="DH610:DH634" si="13">IF(AND(B728="3 Bedrooms",AH728&lt;=0.3),G728,0)</f>
        <v>0</v>
      </c>
      <c r="DI610" s="2109"/>
      <c r="DJ610" s="2109"/>
      <c r="DK610" s="2109"/>
      <c r="DL610" s="2109"/>
      <c r="DM610" s="2109">
        <f t="shared" ref="DM610:DM634" si="14">IF(AND(B728="4 Bedrooms",AH728&lt;=0.3),G728,0)</f>
        <v>0</v>
      </c>
      <c r="DN610" s="2109"/>
      <c r="DO610" s="2109"/>
      <c r="DP610" s="2109"/>
      <c r="DQ610" s="2109"/>
      <c r="DR610" s="2109">
        <f t="shared" ref="DR610:DR634" si="15">IF(AND(B728="5 Bedrooms",AH728&lt;=0.3),G728,0)</f>
        <v>0</v>
      </c>
      <c r="DS610" s="2109"/>
      <c r="DT610" s="2109"/>
      <c r="DU610" s="2109"/>
      <c r="DV610" s="2109"/>
      <c r="DX610" s="2131" t="str">
        <f t="shared" ref="DX610:DX634" si="16">IF(BN610&gt;0,O728," ")</f>
        <v xml:space="preserve"> </v>
      </c>
      <c r="DY610" s="2132"/>
      <c r="DZ610" s="2132"/>
      <c r="EA610" s="2132"/>
      <c r="EB610" s="2133"/>
      <c r="EC610" s="2131">
        <f t="shared" ref="EC610:EC634" si="17">IF(BS610&gt;0,O728," ")</f>
        <v>447</v>
      </c>
      <c r="ED610" s="2132"/>
      <c r="EE610" s="2132"/>
      <c r="EF610" s="2132"/>
      <c r="EG610" s="2133"/>
      <c r="EH610" s="2131" t="str">
        <f t="shared" ref="EH610:EH634" si="18">IF(BX610&gt;0,O728," ")</f>
        <v xml:space="preserve"> </v>
      </c>
      <c r="EI610" s="2132"/>
      <c r="EJ610" s="2132"/>
      <c r="EK610" s="2132"/>
      <c r="EL610" s="2133"/>
      <c r="EM610" s="2131" t="str">
        <f t="shared" ref="EM610:EM634" si="19">IF(CC610&gt;0,O728," ")</f>
        <v xml:space="preserve"> </v>
      </c>
      <c r="EN610" s="2132"/>
      <c r="EO610" s="2132"/>
      <c r="EP610" s="2132"/>
      <c r="EQ610" s="2133"/>
      <c r="ER610" s="2131" t="str">
        <f t="shared" ref="ER610:ER634" si="20">IF(CH610&gt;0,O728," ")</f>
        <v xml:space="preserve"> </v>
      </c>
      <c r="ES610" s="2132"/>
      <c r="ET610" s="2132"/>
      <c r="EU610" s="2132"/>
      <c r="EV610" s="2133"/>
      <c r="EW610" s="2131" t="str">
        <f t="shared" ref="EW610:EW634" si="21">IF(CM610&gt;0,O728," ")</f>
        <v xml:space="preserve"> </v>
      </c>
      <c r="EX610" s="2132"/>
      <c r="EY610" s="2132"/>
      <c r="EZ610" s="2132"/>
      <c r="FA610" s="2133"/>
    </row>
    <row r="611" spans="1:157" s="7" customFormat="1" ht="12.75">
      <c r="A611" s="87" t="s">
        <v>494</v>
      </c>
      <c r="B611" s="12" t="s">
        <v>496</v>
      </c>
      <c r="C611" s="12"/>
      <c r="D611" s="12"/>
      <c r="E611" s="12"/>
      <c r="F611" s="12"/>
      <c r="G611" s="2035">
        <f>C572</f>
        <v>0</v>
      </c>
      <c r="H611" s="2035"/>
      <c r="I611" s="2035"/>
      <c r="J611" s="2035"/>
      <c r="K611" s="2035"/>
      <c r="L611" s="2035"/>
      <c r="M611" s="2035"/>
      <c r="N611" s="2035"/>
      <c r="O611" s="2035"/>
      <c r="P611" s="2035"/>
      <c r="Q611" s="2035"/>
      <c r="R611" s="2035"/>
      <c r="S611" s="12"/>
      <c r="T611" s="87" t="s">
        <v>681</v>
      </c>
      <c r="U611" s="12" t="s">
        <v>496</v>
      </c>
      <c r="V611" s="12"/>
      <c r="W611" s="12"/>
      <c r="X611" s="12"/>
      <c r="Y611" s="12"/>
      <c r="Z611" s="2035">
        <f>C573</f>
        <v>0</v>
      </c>
      <c r="AA611" s="2035"/>
      <c r="AB611" s="2035"/>
      <c r="AC611" s="2035"/>
      <c r="AD611" s="2035"/>
      <c r="AE611" s="2035"/>
      <c r="AF611" s="2035"/>
      <c r="AG611" s="2035"/>
      <c r="AH611" s="2035"/>
      <c r="AI611" s="2035"/>
      <c r="AJ611" s="2035"/>
      <c r="AK611" s="2035"/>
      <c r="AL611" s="12"/>
      <c r="AM611" s="39"/>
      <c r="AN611" s="39"/>
      <c r="AO611" s="39"/>
      <c r="AP611" s="39"/>
      <c r="AQ611" s="39"/>
      <c r="AR611" s="39"/>
      <c r="AS611" s="39"/>
      <c r="AT611" s="39"/>
      <c r="AU611" s="39"/>
      <c r="AV611" s="39"/>
      <c r="AW611" s="39"/>
      <c r="AX611" s="39"/>
      <c r="AY611" s="39"/>
      <c r="BA611" s="7" t="s">
        <v>168</v>
      </c>
      <c r="BB611" s="58"/>
      <c r="BC611" s="58"/>
      <c r="BD611" s="58"/>
      <c r="BE611" s="2131">
        <f t="shared" si="0"/>
        <v>1</v>
      </c>
      <c r="BF611" s="2133"/>
      <c r="BG611" s="2523">
        <f t="shared" si="1"/>
        <v>10</v>
      </c>
      <c r="BH611" s="2524"/>
      <c r="BI611" s="2131">
        <f t="shared" si="2"/>
        <v>0</v>
      </c>
      <c r="BJ611" s="2133"/>
      <c r="BK611" s="2523">
        <f t="shared" si="3"/>
        <v>0</v>
      </c>
      <c r="BL611" s="2524"/>
      <c r="BM611" s="58"/>
      <c r="BN611" s="2032">
        <f t="shared" si="4"/>
        <v>0</v>
      </c>
      <c r="BO611" s="2033"/>
      <c r="BP611" s="2033"/>
      <c r="BQ611" s="2033"/>
      <c r="BR611" s="2034"/>
      <c r="BS611" s="2128">
        <f t="shared" si="5"/>
        <v>10</v>
      </c>
      <c r="BT611" s="2128"/>
      <c r="BU611" s="2128"/>
      <c r="BV611" s="2128"/>
      <c r="BW611" s="2128"/>
      <c r="BX611" s="2128">
        <f t="shared" si="6"/>
        <v>0</v>
      </c>
      <c r="BY611" s="2128"/>
      <c r="BZ611" s="2128"/>
      <c r="CA611" s="2128"/>
      <c r="CB611" s="2128"/>
      <c r="CC611" s="2128">
        <f t="shared" si="7"/>
        <v>0</v>
      </c>
      <c r="CD611" s="2128"/>
      <c r="CE611" s="2128"/>
      <c r="CF611" s="2128"/>
      <c r="CG611" s="2128"/>
      <c r="CH611" s="2128">
        <f t="shared" si="8"/>
        <v>0</v>
      </c>
      <c r="CI611" s="2128"/>
      <c r="CJ611" s="2128"/>
      <c r="CK611" s="2128"/>
      <c r="CL611" s="2128"/>
      <c r="CM611" s="2128">
        <f t="shared" si="9"/>
        <v>0</v>
      </c>
      <c r="CN611" s="2128"/>
      <c r="CO611" s="2128"/>
      <c r="CP611" s="2128"/>
      <c r="CQ611" s="2128"/>
      <c r="CR611" s="265"/>
      <c r="CS611" s="2109">
        <f t="shared" si="10"/>
        <v>0</v>
      </c>
      <c r="CT611" s="2109"/>
      <c r="CU611" s="2109"/>
      <c r="CV611" s="2109"/>
      <c r="CW611" s="2109"/>
      <c r="CX611" s="2109">
        <f t="shared" si="11"/>
        <v>0</v>
      </c>
      <c r="CY611" s="2109"/>
      <c r="CZ611" s="2109"/>
      <c r="DA611" s="2109"/>
      <c r="DB611" s="2109"/>
      <c r="DC611" s="2109">
        <f t="shared" si="12"/>
        <v>0</v>
      </c>
      <c r="DD611" s="2109"/>
      <c r="DE611" s="2109"/>
      <c r="DF611" s="2109"/>
      <c r="DG611" s="2109"/>
      <c r="DH611" s="2109">
        <f t="shared" si="13"/>
        <v>0</v>
      </c>
      <c r="DI611" s="2109"/>
      <c r="DJ611" s="2109"/>
      <c r="DK611" s="2109"/>
      <c r="DL611" s="2109"/>
      <c r="DM611" s="2109">
        <f t="shared" si="14"/>
        <v>0</v>
      </c>
      <c r="DN611" s="2109"/>
      <c r="DO611" s="2109"/>
      <c r="DP611" s="2109"/>
      <c r="DQ611" s="2109"/>
      <c r="DR611" s="2109">
        <f t="shared" si="15"/>
        <v>0</v>
      </c>
      <c r="DS611" s="2109"/>
      <c r="DT611" s="2109"/>
      <c r="DU611" s="2109"/>
      <c r="DV611" s="2109"/>
      <c r="DX611" s="2131" t="str">
        <f t="shared" si="16"/>
        <v xml:space="preserve"> </v>
      </c>
      <c r="DY611" s="2132"/>
      <c r="DZ611" s="2132"/>
      <c r="EA611" s="2132"/>
      <c r="EB611" s="2133"/>
      <c r="EC611" s="2131">
        <f t="shared" si="17"/>
        <v>771</v>
      </c>
      <c r="ED611" s="2132"/>
      <c r="EE611" s="2132"/>
      <c r="EF611" s="2132"/>
      <c r="EG611" s="2133"/>
      <c r="EH611" s="2131" t="str">
        <f t="shared" si="18"/>
        <v xml:space="preserve"> </v>
      </c>
      <c r="EI611" s="2132"/>
      <c r="EJ611" s="2132"/>
      <c r="EK611" s="2132"/>
      <c r="EL611" s="2133"/>
      <c r="EM611" s="2131" t="str">
        <f t="shared" si="19"/>
        <v xml:space="preserve"> </v>
      </c>
      <c r="EN611" s="2132"/>
      <c r="EO611" s="2132"/>
      <c r="EP611" s="2132"/>
      <c r="EQ611" s="2133"/>
      <c r="ER611" s="2131" t="str">
        <f t="shared" si="20"/>
        <v xml:space="preserve"> </v>
      </c>
      <c r="ES611" s="2132"/>
      <c r="ET611" s="2132"/>
      <c r="EU611" s="2132"/>
      <c r="EV611" s="2133"/>
      <c r="EW611" s="2131" t="str">
        <f t="shared" si="21"/>
        <v xml:space="preserve"> </v>
      </c>
      <c r="EX611" s="2132"/>
      <c r="EY611" s="2132"/>
      <c r="EZ611" s="2132"/>
      <c r="FA611" s="2133"/>
    </row>
    <row r="612" spans="1:157" ht="12.75">
      <c r="A612" s="35"/>
      <c r="B612" s="12" t="s">
        <v>90</v>
      </c>
      <c r="G612" s="2022"/>
      <c r="H612" s="2022"/>
      <c r="I612" s="2022"/>
      <c r="J612" s="2022"/>
      <c r="K612" s="2022"/>
      <c r="L612" s="2022"/>
      <c r="M612" s="2022"/>
      <c r="N612" s="2022"/>
      <c r="O612" s="2022"/>
      <c r="P612" s="2022"/>
      <c r="Q612" s="2022"/>
      <c r="R612" s="2022"/>
      <c r="T612" s="35"/>
      <c r="U612" s="12" t="s">
        <v>90</v>
      </c>
      <c r="Z612" s="2022"/>
      <c r="AA612" s="2022"/>
      <c r="AB612" s="2022"/>
      <c r="AC612" s="2022"/>
      <c r="AD612" s="2022"/>
      <c r="AE612" s="2022"/>
      <c r="AF612" s="2022"/>
      <c r="AG612" s="2022"/>
      <c r="AH612" s="2022"/>
      <c r="AI612" s="2022"/>
      <c r="AJ612" s="2022"/>
      <c r="AK612" s="2022"/>
      <c r="BA612" s="7" t="s">
        <v>169</v>
      </c>
      <c r="BB612" s="58"/>
      <c r="BC612" s="58"/>
      <c r="BD612" s="58"/>
      <c r="BE612" s="2131">
        <f t="shared" si="0"/>
        <v>0</v>
      </c>
      <c r="BF612" s="2133"/>
      <c r="BG612" s="2523">
        <f t="shared" si="1"/>
        <v>0</v>
      </c>
      <c r="BH612" s="2524"/>
      <c r="BI612" s="2131">
        <f t="shared" si="2"/>
        <v>0</v>
      </c>
      <c r="BJ612" s="2133"/>
      <c r="BK612" s="2523">
        <f t="shared" si="3"/>
        <v>0</v>
      </c>
      <c r="BL612" s="2524"/>
      <c r="BM612" s="58"/>
      <c r="BN612" s="2032">
        <f t="shared" si="4"/>
        <v>0</v>
      </c>
      <c r="BO612" s="2033"/>
      <c r="BP612" s="2033"/>
      <c r="BQ612" s="2033"/>
      <c r="BR612" s="2034"/>
      <c r="BS612" s="2128">
        <f t="shared" si="5"/>
        <v>28</v>
      </c>
      <c r="BT612" s="2128"/>
      <c r="BU612" s="2128"/>
      <c r="BV612" s="2128"/>
      <c r="BW612" s="2128"/>
      <c r="BX612" s="2128">
        <f t="shared" si="6"/>
        <v>0</v>
      </c>
      <c r="BY612" s="2128"/>
      <c r="BZ612" s="2128"/>
      <c r="CA612" s="2128"/>
      <c r="CB612" s="2128"/>
      <c r="CC612" s="2128">
        <f t="shared" si="7"/>
        <v>0</v>
      </c>
      <c r="CD612" s="2128"/>
      <c r="CE612" s="2128"/>
      <c r="CF612" s="2128"/>
      <c r="CG612" s="2128"/>
      <c r="CH612" s="2128">
        <f t="shared" si="8"/>
        <v>0</v>
      </c>
      <c r="CI612" s="2128"/>
      <c r="CJ612" s="2128"/>
      <c r="CK612" s="2128"/>
      <c r="CL612" s="2128"/>
      <c r="CM612" s="2128">
        <f t="shared" si="9"/>
        <v>0</v>
      </c>
      <c r="CN612" s="2128"/>
      <c r="CO612" s="2128"/>
      <c r="CP612" s="2128"/>
      <c r="CQ612" s="2128"/>
      <c r="CR612" s="265"/>
      <c r="CS612" s="2109">
        <f t="shared" si="10"/>
        <v>0</v>
      </c>
      <c r="CT612" s="2109"/>
      <c r="CU612" s="2109"/>
      <c r="CV612" s="2109"/>
      <c r="CW612" s="2109"/>
      <c r="CX612" s="2109">
        <f t="shared" si="11"/>
        <v>0</v>
      </c>
      <c r="CY612" s="2109"/>
      <c r="CZ612" s="2109"/>
      <c r="DA612" s="2109"/>
      <c r="DB612" s="2109"/>
      <c r="DC612" s="2109">
        <f t="shared" si="12"/>
        <v>0</v>
      </c>
      <c r="DD612" s="2109"/>
      <c r="DE612" s="2109"/>
      <c r="DF612" s="2109"/>
      <c r="DG612" s="2109"/>
      <c r="DH612" s="2109">
        <f t="shared" si="13"/>
        <v>0</v>
      </c>
      <c r="DI612" s="2109"/>
      <c r="DJ612" s="2109"/>
      <c r="DK612" s="2109"/>
      <c r="DL612" s="2109"/>
      <c r="DM612" s="2109">
        <f t="shared" si="14"/>
        <v>0</v>
      </c>
      <c r="DN612" s="2109"/>
      <c r="DO612" s="2109"/>
      <c r="DP612" s="2109"/>
      <c r="DQ612" s="2109"/>
      <c r="DR612" s="2109">
        <f t="shared" si="15"/>
        <v>0</v>
      </c>
      <c r="DS612" s="2109"/>
      <c r="DT612" s="2109"/>
      <c r="DU612" s="2109"/>
      <c r="DV612" s="2109"/>
      <c r="DX612" s="2131" t="str">
        <f t="shared" si="16"/>
        <v xml:space="preserve"> </v>
      </c>
      <c r="DY612" s="2132"/>
      <c r="DZ612" s="2132"/>
      <c r="EA612" s="2132"/>
      <c r="EB612" s="2133"/>
      <c r="EC612" s="2131">
        <f t="shared" si="17"/>
        <v>933</v>
      </c>
      <c r="ED612" s="2132"/>
      <c r="EE612" s="2132"/>
      <c r="EF612" s="2132"/>
      <c r="EG612" s="2133"/>
      <c r="EH612" s="2131" t="str">
        <f t="shared" si="18"/>
        <v xml:space="preserve"> </v>
      </c>
      <c r="EI612" s="2132"/>
      <c r="EJ612" s="2132"/>
      <c r="EK612" s="2132"/>
      <c r="EL612" s="2133"/>
      <c r="EM612" s="2131" t="str">
        <f t="shared" si="19"/>
        <v xml:space="preserve"> </v>
      </c>
      <c r="EN612" s="2132"/>
      <c r="EO612" s="2132"/>
      <c r="EP612" s="2132"/>
      <c r="EQ612" s="2133"/>
      <c r="ER612" s="2131" t="str">
        <f t="shared" si="20"/>
        <v xml:space="preserve"> </v>
      </c>
      <c r="ES612" s="2132"/>
      <c r="ET612" s="2132"/>
      <c r="EU612" s="2132"/>
      <c r="EV612" s="2133"/>
      <c r="EW612" s="2131" t="str">
        <f t="shared" si="21"/>
        <v xml:space="preserve"> </v>
      </c>
      <c r="EX612" s="2132"/>
      <c r="EY612" s="2132"/>
      <c r="EZ612" s="2132"/>
      <c r="FA612" s="2133"/>
    </row>
    <row r="613" spans="1:157" ht="12.75">
      <c r="A613" s="35"/>
      <c r="B613" s="12" t="s">
        <v>615</v>
      </c>
      <c r="G613" s="2022"/>
      <c r="H613" s="2022"/>
      <c r="I613" s="2022"/>
      <c r="J613" s="2022"/>
      <c r="K613" s="2022"/>
      <c r="L613" s="2022"/>
      <c r="M613" s="2022"/>
      <c r="N613" s="2022"/>
      <c r="O613" s="2022"/>
      <c r="P613" s="2022"/>
      <c r="Q613" s="2022"/>
      <c r="R613" s="2022"/>
      <c r="T613" s="35"/>
      <c r="U613" s="12" t="s">
        <v>615</v>
      </c>
      <c r="Z613" s="2018"/>
      <c r="AA613" s="2018"/>
      <c r="AB613" s="2018"/>
      <c r="AC613" s="2018"/>
      <c r="AD613" s="2018"/>
      <c r="AE613" s="2018"/>
      <c r="AF613" s="2018"/>
      <c r="AG613" s="2018"/>
      <c r="AH613" s="2018"/>
      <c r="AI613" s="2018"/>
      <c r="AJ613" s="2018"/>
      <c r="AK613" s="2018"/>
      <c r="BA613" s="7" t="s">
        <v>170</v>
      </c>
      <c r="BB613" s="58"/>
      <c r="BC613" s="58"/>
      <c r="BD613" s="58"/>
      <c r="BE613" s="2131">
        <f t="shared" si="0"/>
        <v>0</v>
      </c>
      <c r="BF613" s="2133"/>
      <c r="BG613" s="2523">
        <f t="shared" si="1"/>
        <v>0</v>
      </c>
      <c r="BH613" s="2524"/>
      <c r="BI613" s="2131">
        <f t="shared" si="2"/>
        <v>0</v>
      </c>
      <c r="BJ613" s="2133"/>
      <c r="BK613" s="2523">
        <f t="shared" si="3"/>
        <v>0</v>
      </c>
      <c r="BL613" s="2524"/>
      <c r="BM613" s="58"/>
      <c r="BN613" s="2032">
        <f t="shared" si="4"/>
        <v>0</v>
      </c>
      <c r="BO613" s="2033"/>
      <c r="BP613" s="2033"/>
      <c r="BQ613" s="2033"/>
      <c r="BR613" s="2034"/>
      <c r="BS613" s="2128">
        <f t="shared" si="5"/>
        <v>36</v>
      </c>
      <c r="BT613" s="2128"/>
      <c r="BU613" s="2128"/>
      <c r="BV613" s="2128"/>
      <c r="BW613" s="2128"/>
      <c r="BX613" s="2128">
        <f t="shared" si="6"/>
        <v>0</v>
      </c>
      <c r="BY613" s="2128"/>
      <c r="BZ613" s="2128"/>
      <c r="CA613" s="2128"/>
      <c r="CB613" s="2128"/>
      <c r="CC613" s="2128">
        <f t="shared" si="7"/>
        <v>0</v>
      </c>
      <c r="CD613" s="2128"/>
      <c r="CE613" s="2128"/>
      <c r="CF613" s="2128"/>
      <c r="CG613" s="2128"/>
      <c r="CH613" s="2128">
        <f t="shared" si="8"/>
        <v>0</v>
      </c>
      <c r="CI613" s="2128"/>
      <c r="CJ613" s="2128"/>
      <c r="CK613" s="2128"/>
      <c r="CL613" s="2128"/>
      <c r="CM613" s="2128">
        <f t="shared" si="9"/>
        <v>0</v>
      </c>
      <c r="CN613" s="2128"/>
      <c r="CO613" s="2128"/>
      <c r="CP613" s="2128"/>
      <c r="CQ613" s="2128"/>
      <c r="CR613" s="265"/>
      <c r="CS613" s="2109">
        <f t="shared" si="10"/>
        <v>0</v>
      </c>
      <c r="CT613" s="2109"/>
      <c r="CU613" s="2109"/>
      <c r="CV613" s="2109"/>
      <c r="CW613" s="2109"/>
      <c r="CX613" s="2109">
        <f t="shared" si="11"/>
        <v>0</v>
      </c>
      <c r="CY613" s="2109"/>
      <c r="CZ613" s="2109"/>
      <c r="DA613" s="2109"/>
      <c r="DB613" s="2109"/>
      <c r="DC613" s="2109">
        <f t="shared" si="12"/>
        <v>0</v>
      </c>
      <c r="DD613" s="2109"/>
      <c r="DE613" s="2109"/>
      <c r="DF613" s="2109"/>
      <c r="DG613" s="2109"/>
      <c r="DH613" s="2109">
        <f t="shared" si="13"/>
        <v>0</v>
      </c>
      <c r="DI613" s="2109"/>
      <c r="DJ613" s="2109"/>
      <c r="DK613" s="2109"/>
      <c r="DL613" s="2109"/>
      <c r="DM613" s="2109">
        <f t="shared" si="14"/>
        <v>0</v>
      </c>
      <c r="DN613" s="2109"/>
      <c r="DO613" s="2109"/>
      <c r="DP613" s="2109"/>
      <c r="DQ613" s="2109"/>
      <c r="DR613" s="2109">
        <f t="shared" si="15"/>
        <v>0</v>
      </c>
      <c r="DS613" s="2109"/>
      <c r="DT613" s="2109"/>
      <c r="DU613" s="2109"/>
      <c r="DV613" s="2109"/>
      <c r="DX613" s="2131" t="str">
        <f t="shared" si="16"/>
        <v xml:space="preserve"> </v>
      </c>
      <c r="DY613" s="2132"/>
      <c r="DZ613" s="2132"/>
      <c r="EA613" s="2132"/>
      <c r="EB613" s="2133"/>
      <c r="EC613" s="2131">
        <f t="shared" si="17"/>
        <v>933</v>
      </c>
      <c r="ED613" s="2132"/>
      <c r="EE613" s="2132"/>
      <c r="EF613" s="2132"/>
      <c r="EG613" s="2133"/>
      <c r="EH613" s="2131" t="str">
        <f t="shared" si="18"/>
        <v xml:space="preserve"> </v>
      </c>
      <c r="EI613" s="2132"/>
      <c r="EJ613" s="2132"/>
      <c r="EK613" s="2132"/>
      <c r="EL613" s="2133"/>
      <c r="EM613" s="2131" t="str">
        <f t="shared" si="19"/>
        <v xml:space="preserve"> </v>
      </c>
      <c r="EN613" s="2132"/>
      <c r="EO613" s="2132"/>
      <c r="EP613" s="2132"/>
      <c r="EQ613" s="2133"/>
      <c r="ER613" s="2131" t="str">
        <f t="shared" si="20"/>
        <v xml:space="preserve"> </v>
      </c>
      <c r="ES613" s="2132"/>
      <c r="ET613" s="2132"/>
      <c r="EU613" s="2132"/>
      <c r="EV613" s="2133"/>
      <c r="EW613" s="2131" t="str">
        <f t="shared" si="21"/>
        <v xml:space="preserve"> </v>
      </c>
      <c r="EX613" s="2132"/>
      <c r="EY613" s="2132"/>
      <c r="EZ613" s="2132"/>
      <c r="FA613" s="2133"/>
    </row>
    <row r="614" spans="1:157" ht="12.75">
      <c r="A614" s="35"/>
      <c r="B614" s="12" t="s">
        <v>17</v>
      </c>
      <c r="G614" s="2022"/>
      <c r="H614" s="2022"/>
      <c r="I614" s="2022"/>
      <c r="J614" s="2022"/>
      <c r="K614" s="2022"/>
      <c r="L614" s="2022"/>
      <c r="M614" s="2022"/>
      <c r="N614" s="2022"/>
      <c r="O614" s="2022"/>
      <c r="P614" s="2022"/>
      <c r="Q614" s="2022"/>
      <c r="R614" s="2022"/>
      <c r="T614" s="35"/>
      <c r="U614" s="12" t="s">
        <v>17</v>
      </c>
      <c r="Z614" s="2018"/>
      <c r="AA614" s="2018"/>
      <c r="AB614" s="2018"/>
      <c r="AC614" s="2018"/>
      <c r="AD614" s="2018"/>
      <c r="AE614" s="2018"/>
      <c r="AF614" s="2018"/>
      <c r="AG614" s="2018"/>
      <c r="AH614" s="2018"/>
      <c r="AI614" s="2018"/>
      <c r="AJ614" s="2018"/>
      <c r="AK614" s="2018"/>
      <c r="BA614" s="7" t="s">
        <v>31</v>
      </c>
      <c r="BB614" s="58"/>
      <c r="BC614" s="58"/>
      <c r="BD614" s="58"/>
      <c r="BE614" s="2131">
        <f t="shared" si="0"/>
        <v>0</v>
      </c>
      <c r="BF614" s="2133"/>
      <c r="BG614" s="2523">
        <f t="shared" si="1"/>
        <v>0</v>
      </c>
      <c r="BH614" s="2524"/>
      <c r="BI614" s="2131">
        <f t="shared" si="2"/>
        <v>0</v>
      </c>
      <c r="BJ614" s="2133"/>
      <c r="BK614" s="2523">
        <f t="shared" si="3"/>
        <v>0</v>
      </c>
      <c r="BL614" s="2524"/>
      <c r="BM614" s="58"/>
      <c r="BN614" s="2032">
        <f t="shared" si="4"/>
        <v>0</v>
      </c>
      <c r="BO614" s="2033"/>
      <c r="BP614" s="2033"/>
      <c r="BQ614" s="2033"/>
      <c r="BR614" s="2034"/>
      <c r="BS614" s="2128">
        <f t="shared" si="5"/>
        <v>12</v>
      </c>
      <c r="BT614" s="2128"/>
      <c r="BU614" s="2128"/>
      <c r="BV614" s="2128"/>
      <c r="BW614" s="2128"/>
      <c r="BX614" s="2128">
        <f t="shared" si="6"/>
        <v>0</v>
      </c>
      <c r="BY614" s="2128"/>
      <c r="BZ614" s="2128"/>
      <c r="CA614" s="2128"/>
      <c r="CB614" s="2128"/>
      <c r="CC614" s="2128">
        <f t="shared" si="7"/>
        <v>0</v>
      </c>
      <c r="CD614" s="2128"/>
      <c r="CE614" s="2128"/>
      <c r="CF614" s="2128"/>
      <c r="CG614" s="2128"/>
      <c r="CH614" s="2128">
        <f t="shared" si="8"/>
        <v>0</v>
      </c>
      <c r="CI614" s="2128"/>
      <c r="CJ614" s="2128"/>
      <c r="CK614" s="2128"/>
      <c r="CL614" s="2128"/>
      <c r="CM614" s="2128">
        <f t="shared" si="9"/>
        <v>0</v>
      </c>
      <c r="CN614" s="2128"/>
      <c r="CO614" s="2128"/>
      <c r="CP614" s="2128"/>
      <c r="CQ614" s="2128"/>
      <c r="CR614" s="265"/>
      <c r="CS614" s="2109">
        <f t="shared" si="10"/>
        <v>0</v>
      </c>
      <c r="CT614" s="2109"/>
      <c r="CU614" s="2109"/>
      <c r="CV614" s="2109"/>
      <c r="CW614" s="2109"/>
      <c r="CX614" s="2109">
        <f t="shared" si="11"/>
        <v>0</v>
      </c>
      <c r="CY614" s="2109"/>
      <c r="CZ614" s="2109"/>
      <c r="DA614" s="2109"/>
      <c r="DB614" s="2109"/>
      <c r="DC614" s="2109">
        <f t="shared" si="12"/>
        <v>0</v>
      </c>
      <c r="DD614" s="2109"/>
      <c r="DE614" s="2109"/>
      <c r="DF614" s="2109"/>
      <c r="DG614" s="2109"/>
      <c r="DH614" s="2109">
        <f t="shared" si="13"/>
        <v>0</v>
      </c>
      <c r="DI614" s="2109"/>
      <c r="DJ614" s="2109"/>
      <c r="DK614" s="2109"/>
      <c r="DL614" s="2109"/>
      <c r="DM614" s="2109">
        <f t="shared" si="14"/>
        <v>0</v>
      </c>
      <c r="DN614" s="2109"/>
      <c r="DO614" s="2109"/>
      <c r="DP614" s="2109"/>
      <c r="DQ614" s="2109"/>
      <c r="DR614" s="2109">
        <f t="shared" si="15"/>
        <v>0</v>
      </c>
      <c r="DS614" s="2109"/>
      <c r="DT614" s="2109"/>
      <c r="DU614" s="2109"/>
      <c r="DV614" s="2109"/>
      <c r="DX614" s="2131" t="str">
        <f t="shared" si="16"/>
        <v xml:space="preserve"> </v>
      </c>
      <c r="DY614" s="2132"/>
      <c r="DZ614" s="2132"/>
      <c r="EA614" s="2132"/>
      <c r="EB614" s="2133"/>
      <c r="EC614" s="2131">
        <f t="shared" si="17"/>
        <v>1095</v>
      </c>
      <c r="ED614" s="2132"/>
      <c r="EE614" s="2132"/>
      <c r="EF614" s="2132"/>
      <c r="EG614" s="2133"/>
      <c r="EH614" s="2131" t="str">
        <f t="shared" si="18"/>
        <v xml:space="preserve"> </v>
      </c>
      <c r="EI614" s="2132"/>
      <c r="EJ614" s="2132"/>
      <c r="EK614" s="2132"/>
      <c r="EL614" s="2133"/>
      <c r="EM614" s="2131" t="str">
        <f t="shared" si="19"/>
        <v xml:space="preserve"> </v>
      </c>
      <c r="EN614" s="2132"/>
      <c r="EO614" s="2132"/>
      <c r="EP614" s="2132"/>
      <c r="EQ614" s="2133"/>
      <c r="ER614" s="2131" t="str">
        <f t="shared" si="20"/>
        <v xml:space="preserve"> </v>
      </c>
      <c r="ES614" s="2132"/>
      <c r="ET614" s="2132"/>
      <c r="EU614" s="2132"/>
      <c r="EV614" s="2133"/>
      <c r="EW614" s="2131" t="str">
        <f t="shared" si="21"/>
        <v xml:space="preserve"> </v>
      </c>
      <c r="EX614" s="2132"/>
      <c r="EY614" s="2132"/>
      <c r="EZ614" s="2132"/>
      <c r="FA614" s="2133"/>
    </row>
    <row r="615" spans="1:157" ht="12.75">
      <c r="A615" s="35"/>
      <c r="B615" s="12" t="s">
        <v>326</v>
      </c>
      <c r="G615" s="2031"/>
      <c r="H615" s="2031"/>
      <c r="I615" s="2031"/>
      <c r="J615" s="2031"/>
      <c r="K615" s="2031"/>
      <c r="L615" s="2031"/>
      <c r="O615" s="137" t="s">
        <v>211</v>
      </c>
      <c r="P615" s="2024"/>
      <c r="Q615" s="2024"/>
      <c r="R615" s="2024"/>
      <c r="T615" s="35"/>
      <c r="U615" s="12" t="s">
        <v>326</v>
      </c>
      <c r="Z615" s="2031"/>
      <c r="AA615" s="2031"/>
      <c r="AB615" s="2031"/>
      <c r="AC615" s="2031"/>
      <c r="AD615" s="2031"/>
      <c r="AE615" s="2031"/>
      <c r="AH615" s="137" t="s">
        <v>211</v>
      </c>
      <c r="AI615" s="2024"/>
      <c r="AJ615" s="2024"/>
      <c r="AK615" s="2024"/>
      <c r="AZ615" s="58"/>
      <c r="BA615" s="58"/>
      <c r="BB615" s="58"/>
      <c r="BC615" s="58"/>
      <c r="BD615" s="58"/>
      <c r="BE615" s="2131">
        <f t="shared" si="0"/>
        <v>0</v>
      </c>
      <c r="BF615" s="2133"/>
      <c r="BG615" s="2523">
        <f t="shared" si="1"/>
        <v>0</v>
      </c>
      <c r="BH615" s="2524"/>
      <c r="BI615" s="2131">
        <f t="shared" si="2"/>
        <v>1</v>
      </c>
      <c r="BJ615" s="2133"/>
      <c r="BK615" s="2523">
        <f t="shared" si="3"/>
        <v>5</v>
      </c>
      <c r="BL615" s="2524"/>
      <c r="BM615" s="58"/>
      <c r="BN615" s="2032">
        <f t="shared" si="4"/>
        <v>0</v>
      </c>
      <c r="BO615" s="2033"/>
      <c r="BP615" s="2033"/>
      <c r="BQ615" s="2033"/>
      <c r="BR615" s="2034"/>
      <c r="BS615" s="2128">
        <f t="shared" si="5"/>
        <v>0</v>
      </c>
      <c r="BT615" s="2128"/>
      <c r="BU615" s="2128"/>
      <c r="BV615" s="2128"/>
      <c r="BW615" s="2128"/>
      <c r="BX615" s="2128">
        <f t="shared" si="6"/>
        <v>5</v>
      </c>
      <c r="BY615" s="2128"/>
      <c r="BZ615" s="2128"/>
      <c r="CA615" s="2128"/>
      <c r="CB615" s="2128"/>
      <c r="CC615" s="2128">
        <f t="shared" si="7"/>
        <v>0</v>
      </c>
      <c r="CD615" s="2128"/>
      <c r="CE615" s="2128"/>
      <c r="CF615" s="2128"/>
      <c r="CG615" s="2128"/>
      <c r="CH615" s="2128">
        <f t="shared" si="8"/>
        <v>0</v>
      </c>
      <c r="CI615" s="2128"/>
      <c r="CJ615" s="2128"/>
      <c r="CK615" s="2128"/>
      <c r="CL615" s="2128"/>
      <c r="CM615" s="2128">
        <f t="shared" si="9"/>
        <v>0</v>
      </c>
      <c r="CN615" s="2128"/>
      <c r="CO615" s="2128"/>
      <c r="CP615" s="2128"/>
      <c r="CQ615" s="2128"/>
      <c r="CR615" s="265"/>
      <c r="CS615" s="2109">
        <f t="shared" si="10"/>
        <v>0</v>
      </c>
      <c r="CT615" s="2109"/>
      <c r="CU615" s="2109"/>
      <c r="CV615" s="2109"/>
      <c r="CW615" s="2109"/>
      <c r="CX615" s="2109">
        <f t="shared" si="11"/>
        <v>0</v>
      </c>
      <c r="CY615" s="2109"/>
      <c r="CZ615" s="2109"/>
      <c r="DA615" s="2109"/>
      <c r="DB615" s="2109"/>
      <c r="DC615" s="2109">
        <f t="shared" si="12"/>
        <v>5</v>
      </c>
      <c r="DD615" s="2109"/>
      <c r="DE615" s="2109"/>
      <c r="DF615" s="2109"/>
      <c r="DG615" s="2109"/>
      <c r="DH615" s="2109">
        <f t="shared" si="13"/>
        <v>0</v>
      </c>
      <c r="DI615" s="2109"/>
      <c r="DJ615" s="2109"/>
      <c r="DK615" s="2109"/>
      <c r="DL615" s="2109"/>
      <c r="DM615" s="2109">
        <f t="shared" si="14"/>
        <v>0</v>
      </c>
      <c r="DN615" s="2109"/>
      <c r="DO615" s="2109"/>
      <c r="DP615" s="2109"/>
      <c r="DQ615" s="2109"/>
      <c r="DR615" s="2109">
        <f t="shared" si="15"/>
        <v>0</v>
      </c>
      <c r="DS615" s="2109"/>
      <c r="DT615" s="2109"/>
      <c r="DU615" s="2109"/>
      <c r="DV615" s="2109"/>
      <c r="DX615" s="2131" t="str">
        <f t="shared" si="16"/>
        <v xml:space="preserve"> </v>
      </c>
      <c r="DY615" s="2132"/>
      <c r="DZ615" s="2132"/>
      <c r="EA615" s="2132"/>
      <c r="EB615" s="2133"/>
      <c r="EC615" s="2131" t="str">
        <f t="shared" si="17"/>
        <v xml:space="preserve"> </v>
      </c>
      <c r="ED615" s="2132"/>
      <c r="EE615" s="2132"/>
      <c r="EF615" s="2132"/>
      <c r="EG615" s="2133"/>
      <c r="EH615" s="2131">
        <f t="shared" si="18"/>
        <v>538</v>
      </c>
      <c r="EI615" s="2132"/>
      <c r="EJ615" s="2132"/>
      <c r="EK615" s="2132"/>
      <c r="EL615" s="2133"/>
      <c r="EM615" s="2131" t="str">
        <f t="shared" si="19"/>
        <v xml:space="preserve"> </v>
      </c>
      <c r="EN615" s="2132"/>
      <c r="EO615" s="2132"/>
      <c r="EP615" s="2132"/>
      <c r="EQ615" s="2133"/>
      <c r="ER615" s="2131" t="str">
        <f t="shared" si="20"/>
        <v xml:space="preserve"> </v>
      </c>
      <c r="ES615" s="2132"/>
      <c r="ET615" s="2132"/>
      <c r="EU615" s="2132"/>
      <c r="EV615" s="2133"/>
      <c r="EW615" s="2131" t="str">
        <f t="shared" si="21"/>
        <v xml:space="preserve"> </v>
      </c>
      <c r="EX615" s="2132"/>
      <c r="EY615" s="2132"/>
      <c r="EZ615" s="2132"/>
      <c r="FA615" s="2133"/>
    </row>
    <row r="616" spans="1:157" ht="12.75">
      <c r="A616" s="35"/>
      <c r="B616" s="12" t="s">
        <v>18</v>
      </c>
      <c r="H616" s="2022"/>
      <c r="I616" s="2022"/>
      <c r="J616" s="2022"/>
      <c r="K616" s="2022"/>
      <c r="L616" s="2022"/>
      <c r="M616" s="2022"/>
      <c r="N616" s="2022"/>
      <c r="O616" s="2022"/>
      <c r="P616" s="2022"/>
      <c r="Q616" s="2022"/>
      <c r="R616" s="2022"/>
      <c r="T616" s="35"/>
      <c r="U616" s="12" t="s">
        <v>18</v>
      </c>
      <c r="AA616" s="2022"/>
      <c r="AB616" s="2022"/>
      <c r="AC616" s="2022"/>
      <c r="AD616" s="2022"/>
      <c r="AE616" s="2022"/>
      <c r="AF616" s="2022"/>
      <c r="AG616" s="2022"/>
      <c r="AH616" s="2022"/>
      <c r="AI616" s="2022"/>
      <c r="AJ616" s="2022"/>
      <c r="AK616" s="2022"/>
      <c r="AZ616" s="58"/>
      <c r="BA616" s="58"/>
      <c r="BB616" s="58"/>
      <c r="BC616" s="58"/>
      <c r="BD616" s="58"/>
      <c r="BE616" s="2131">
        <f t="shared" si="0"/>
        <v>1</v>
      </c>
      <c r="BF616" s="2133"/>
      <c r="BG616" s="2523">
        <f t="shared" si="1"/>
        <v>5</v>
      </c>
      <c r="BH616" s="2524"/>
      <c r="BI616" s="2131">
        <f t="shared" si="2"/>
        <v>0</v>
      </c>
      <c r="BJ616" s="2133"/>
      <c r="BK616" s="2523">
        <f t="shared" si="3"/>
        <v>0</v>
      </c>
      <c r="BL616" s="2524"/>
      <c r="BM616" s="58"/>
      <c r="BN616" s="2032">
        <f t="shared" si="4"/>
        <v>0</v>
      </c>
      <c r="BO616" s="2033"/>
      <c r="BP616" s="2033"/>
      <c r="BQ616" s="2033"/>
      <c r="BR616" s="2034"/>
      <c r="BS616" s="2128">
        <f t="shared" si="5"/>
        <v>0</v>
      </c>
      <c r="BT616" s="2128"/>
      <c r="BU616" s="2128"/>
      <c r="BV616" s="2128"/>
      <c r="BW616" s="2128"/>
      <c r="BX616" s="2128">
        <f t="shared" si="6"/>
        <v>5</v>
      </c>
      <c r="BY616" s="2128"/>
      <c r="BZ616" s="2128"/>
      <c r="CA616" s="2128"/>
      <c r="CB616" s="2128"/>
      <c r="CC616" s="2128">
        <f t="shared" si="7"/>
        <v>0</v>
      </c>
      <c r="CD616" s="2128"/>
      <c r="CE616" s="2128"/>
      <c r="CF616" s="2128"/>
      <c r="CG616" s="2128"/>
      <c r="CH616" s="2128">
        <f t="shared" si="8"/>
        <v>0</v>
      </c>
      <c r="CI616" s="2128"/>
      <c r="CJ616" s="2128"/>
      <c r="CK616" s="2128"/>
      <c r="CL616" s="2128"/>
      <c r="CM616" s="2128">
        <f t="shared" si="9"/>
        <v>0</v>
      </c>
      <c r="CN616" s="2128"/>
      <c r="CO616" s="2128"/>
      <c r="CP616" s="2128"/>
      <c r="CQ616" s="2128"/>
      <c r="CR616" s="265"/>
      <c r="CS616" s="2109">
        <f t="shared" si="10"/>
        <v>0</v>
      </c>
      <c r="CT616" s="2109"/>
      <c r="CU616" s="2109"/>
      <c r="CV616" s="2109"/>
      <c r="CW616" s="2109"/>
      <c r="CX616" s="2109">
        <f t="shared" si="11"/>
        <v>0</v>
      </c>
      <c r="CY616" s="2109"/>
      <c r="CZ616" s="2109"/>
      <c r="DA616" s="2109"/>
      <c r="DB616" s="2109"/>
      <c r="DC616" s="2109">
        <f t="shared" si="12"/>
        <v>0</v>
      </c>
      <c r="DD616" s="2109"/>
      <c r="DE616" s="2109"/>
      <c r="DF616" s="2109"/>
      <c r="DG616" s="2109"/>
      <c r="DH616" s="2109">
        <f t="shared" si="13"/>
        <v>0</v>
      </c>
      <c r="DI616" s="2109"/>
      <c r="DJ616" s="2109"/>
      <c r="DK616" s="2109"/>
      <c r="DL616" s="2109"/>
      <c r="DM616" s="2109">
        <f t="shared" si="14"/>
        <v>0</v>
      </c>
      <c r="DN616" s="2109"/>
      <c r="DO616" s="2109"/>
      <c r="DP616" s="2109"/>
      <c r="DQ616" s="2109"/>
      <c r="DR616" s="2109">
        <f t="shared" si="15"/>
        <v>0</v>
      </c>
      <c r="DS616" s="2109"/>
      <c r="DT616" s="2109"/>
      <c r="DU616" s="2109"/>
      <c r="DV616" s="2109"/>
      <c r="DX616" s="2131" t="str">
        <f t="shared" si="16"/>
        <v xml:space="preserve"> </v>
      </c>
      <c r="DY616" s="2132"/>
      <c r="DZ616" s="2132"/>
      <c r="EA616" s="2132"/>
      <c r="EB616" s="2133"/>
      <c r="EC616" s="2131" t="str">
        <f t="shared" si="17"/>
        <v xml:space="preserve"> </v>
      </c>
      <c r="ED616" s="2132"/>
      <c r="EE616" s="2132"/>
      <c r="EF616" s="2132"/>
      <c r="EG616" s="2133"/>
      <c r="EH616" s="2131">
        <f t="shared" si="18"/>
        <v>927</v>
      </c>
      <c r="EI616" s="2132"/>
      <c r="EJ616" s="2132"/>
      <c r="EK616" s="2132"/>
      <c r="EL616" s="2133"/>
      <c r="EM616" s="2131" t="str">
        <f t="shared" si="19"/>
        <v xml:space="preserve"> </v>
      </c>
      <c r="EN616" s="2132"/>
      <c r="EO616" s="2132"/>
      <c r="EP616" s="2132"/>
      <c r="EQ616" s="2133"/>
      <c r="ER616" s="2131" t="str">
        <f t="shared" si="20"/>
        <v xml:space="preserve"> </v>
      </c>
      <c r="ES616" s="2132"/>
      <c r="ET616" s="2132"/>
      <c r="EU616" s="2132"/>
      <c r="EV616" s="2133"/>
      <c r="EW616" s="2131" t="str">
        <f t="shared" si="21"/>
        <v xml:space="preserve"> </v>
      </c>
      <c r="EX616" s="2132"/>
      <c r="EY616" s="2132"/>
      <c r="EZ616" s="2132"/>
      <c r="FA616" s="2133"/>
    </row>
    <row r="617" spans="1:157" ht="12.75">
      <c r="A617" s="35"/>
      <c r="B617" s="12" t="s">
        <v>20</v>
      </c>
      <c r="N617" s="2023" t="s">
        <v>706</v>
      </c>
      <c r="O617" s="2023"/>
      <c r="T617" s="35"/>
      <c r="U617" s="12" t="s">
        <v>20</v>
      </c>
      <c r="AG617" s="2023" t="s">
        <v>706</v>
      </c>
      <c r="AH617" s="2023"/>
      <c r="AZ617" s="58"/>
      <c r="BA617" s="58"/>
      <c r="BB617" s="58"/>
      <c r="BC617" s="58"/>
      <c r="BD617" s="58"/>
      <c r="BE617" s="2131">
        <f t="shared" si="0"/>
        <v>0</v>
      </c>
      <c r="BF617" s="2133"/>
      <c r="BG617" s="2523">
        <f t="shared" si="1"/>
        <v>0</v>
      </c>
      <c r="BH617" s="2524"/>
      <c r="BI617" s="2131">
        <f t="shared" si="2"/>
        <v>0</v>
      </c>
      <c r="BJ617" s="2133"/>
      <c r="BK617" s="2523">
        <f t="shared" si="3"/>
        <v>0</v>
      </c>
      <c r="BL617" s="2524"/>
      <c r="BM617" s="58"/>
      <c r="BN617" s="2032">
        <f t="shared" si="4"/>
        <v>0</v>
      </c>
      <c r="BO617" s="2033"/>
      <c r="BP617" s="2033"/>
      <c r="BQ617" s="2033"/>
      <c r="BR617" s="2034"/>
      <c r="BS617" s="2128">
        <f t="shared" si="5"/>
        <v>0</v>
      </c>
      <c r="BT617" s="2128"/>
      <c r="BU617" s="2128"/>
      <c r="BV617" s="2128"/>
      <c r="BW617" s="2128"/>
      <c r="BX617" s="2128">
        <f t="shared" si="6"/>
        <v>14</v>
      </c>
      <c r="BY617" s="2128"/>
      <c r="BZ617" s="2128"/>
      <c r="CA617" s="2128"/>
      <c r="CB617" s="2128"/>
      <c r="CC617" s="2128">
        <f t="shared" si="7"/>
        <v>0</v>
      </c>
      <c r="CD617" s="2128"/>
      <c r="CE617" s="2128"/>
      <c r="CF617" s="2128"/>
      <c r="CG617" s="2128"/>
      <c r="CH617" s="2128">
        <f t="shared" si="8"/>
        <v>0</v>
      </c>
      <c r="CI617" s="2128"/>
      <c r="CJ617" s="2128"/>
      <c r="CK617" s="2128"/>
      <c r="CL617" s="2128"/>
      <c r="CM617" s="2128">
        <f t="shared" si="9"/>
        <v>0</v>
      </c>
      <c r="CN617" s="2128"/>
      <c r="CO617" s="2128"/>
      <c r="CP617" s="2128"/>
      <c r="CQ617" s="2128"/>
      <c r="CR617" s="265"/>
      <c r="CS617" s="2109">
        <f t="shared" si="10"/>
        <v>0</v>
      </c>
      <c r="CT617" s="2109"/>
      <c r="CU617" s="2109"/>
      <c r="CV617" s="2109"/>
      <c r="CW617" s="2109"/>
      <c r="CX617" s="2109">
        <f t="shared" si="11"/>
        <v>0</v>
      </c>
      <c r="CY617" s="2109"/>
      <c r="CZ617" s="2109"/>
      <c r="DA617" s="2109"/>
      <c r="DB617" s="2109"/>
      <c r="DC617" s="2109">
        <f t="shared" si="12"/>
        <v>0</v>
      </c>
      <c r="DD617" s="2109"/>
      <c r="DE617" s="2109"/>
      <c r="DF617" s="2109"/>
      <c r="DG617" s="2109"/>
      <c r="DH617" s="2109">
        <f t="shared" si="13"/>
        <v>0</v>
      </c>
      <c r="DI617" s="2109"/>
      <c r="DJ617" s="2109"/>
      <c r="DK617" s="2109"/>
      <c r="DL617" s="2109"/>
      <c r="DM617" s="2109">
        <f t="shared" si="14"/>
        <v>0</v>
      </c>
      <c r="DN617" s="2109"/>
      <c r="DO617" s="2109"/>
      <c r="DP617" s="2109"/>
      <c r="DQ617" s="2109"/>
      <c r="DR617" s="2109">
        <f t="shared" si="15"/>
        <v>0</v>
      </c>
      <c r="DS617" s="2109"/>
      <c r="DT617" s="2109"/>
      <c r="DU617" s="2109"/>
      <c r="DV617" s="2109"/>
      <c r="DX617" s="2131" t="str">
        <f t="shared" si="16"/>
        <v xml:space="preserve"> </v>
      </c>
      <c r="DY617" s="2132"/>
      <c r="DZ617" s="2132"/>
      <c r="EA617" s="2132"/>
      <c r="EB617" s="2133"/>
      <c r="EC617" s="2131" t="str">
        <f t="shared" si="17"/>
        <v xml:space="preserve"> </v>
      </c>
      <c r="ED617" s="2132"/>
      <c r="EE617" s="2132"/>
      <c r="EF617" s="2132"/>
      <c r="EG617" s="2133"/>
      <c r="EH617" s="2131">
        <f t="shared" si="18"/>
        <v>1121</v>
      </c>
      <c r="EI617" s="2132"/>
      <c r="EJ617" s="2132"/>
      <c r="EK617" s="2132"/>
      <c r="EL617" s="2133"/>
      <c r="EM617" s="2131" t="str">
        <f t="shared" si="19"/>
        <v xml:space="preserve"> </v>
      </c>
      <c r="EN617" s="2132"/>
      <c r="EO617" s="2132"/>
      <c r="EP617" s="2132"/>
      <c r="EQ617" s="2133"/>
      <c r="ER617" s="2131" t="str">
        <f t="shared" si="20"/>
        <v xml:space="preserve"> </v>
      </c>
      <c r="ES617" s="2132"/>
      <c r="ET617" s="2132"/>
      <c r="EU617" s="2132"/>
      <c r="EV617" s="2133"/>
      <c r="EW617" s="2131" t="str">
        <f t="shared" si="21"/>
        <v xml:space="preserve"> </v>
      </c>
      <c r="EX617" s="2132"/>
      <c r="EY617" s="2132"/>
      <c r="EZ617" s="2132"/>
      <c r="FA617" s="213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131">
        <f t="shared" si="0"/>
        <v>0</v>
      </c>
      <c r="BF618" s="2133"/>
      <c r="BG618" s="2523">
        <f t="shared" si="1"/>
        <v>0</v>
      </c>
      <c r="BH618" s="2524"/>
      <c r="BI618" s="2131">
        <f t="shared" si="2"/>
        <v>0</v>
      </c>
      <c r="BJ618" s="2133"/>
      <c r="BK618" s="2523">
        <f t="shared" si="3"/>
        <v>0</v>
      </c>
      <c r="BL618" s="2524"/>
      <c r="BM618" s="58"/>
      <c r="BN618" s="2032">
        <f t="shared" si="4"/>
        <v>0</v>
      </c>
      <c r="BO618" s="2033"/>
      <c r="BP618" s="2033"/>
      <c r="BQ618" s="2033"/>
      <c r="BR618" s="2034"/>
      <c r="BS618" s="2128">
        <f t="shared" si="5"/>
        <v>0</v>
      </c>
      <c r="BT618" s="2128"/>
      <c r="BU618" s="2128"/>
      <c r="BV618" s="2128"/>
      <c r="BW618" s="2128"/>
      <c r="BX618" s="2128">
        <f t="shared" si="6"/>
        <v>1</v>
      </c>
      <c r="BY618" s="2128"/>
      <c r="BZ618" s="2128"/>
      <c r="CA618" s="2128"/>
      <c r="CB618" s="2128"/>
      <c r="CC618" s="2128">
        <f t="shared" si="7"/>
        <v>0</v>
      </c>
      <c r="CD618" s="2128"/>
      <c r="CE618" s="2128"/>
      <c r="CF618" s="2128"/>
      <c r="CG618" s="2128"/>
      <c r="CH618" s="2128">
        <f t="shared" si="8"/>
        <v>0</v>
      </c>
      <c r="CI618" s="2128"/>
      <c r="CJ618" s="2128"/>
      <c r="CK618" s="2128"/>
      <c r="CL618" s="2128"/>
      <c r="CM618" s="2128">
        <f t="shared" si="9"/>
        <v>0</v>
      </c>
      <c r="CN618" s="2128"/>
      <c r="CO618" s="2128"/>
      <c r="CP618" s="2128"/>
      <c r="CQ618" s="2128"/>
      <c r="CR618" s="265"/>
      <c r="CS618" s="2109">
        <f t="shared" si="10"/>
        <v>0</v>
      </c>
      <c r="CT618" s="2109"/>
      <c r="CU618" s="2109"/>
      <c r="CV618" s="2109"/>
      <c r="CW618" s="2109"/>
      <c r="CX618" s="2109">
        <f t="shared" si="11"/>
        <v>0</v>
      </c>
      <c r="CY618" s="2109"/>
      <c r="CZ618" s="2109"/>
      <c r="DA618" s="2109"/>
      <c r="DB618" s="2109"/>
      <c r="DC618" s="2109">
        <f t="shared" si="12"/>
        <v>0</v>
      </c>
      <c r="DD618" s="2109"/>
      <c r="DE618" s="2109"/>
      <c r="DF618" s="2109"/>
      <c r="DG618" s="2109"/>
      <c r="DH618" s="2109">
        <f t="shared" si="13"/>
        <v>0</v>
      </c>
      <c r="DI618" s="2109"/>
      <c r="DJ618" s="2109"/>
      <c r="DK618" s="2109"/>
      <c r="DL618" s="2109"/>
      <c r="DM618" s="2109">
        <f t="shared" si="14"/>
        <v>0</v>
      </c>
      <c r="DN618" s="2109"/>
      <c r="DO618" s="2109"/>
      <c r="DP618" s="2109"/>
      <c r="DQ618" s="2109"/>
      <c r="DR618" s="2109">
        <f t="shared" si="15"/>
        <v>0</v>
      </c>
      <c r="DS618" s="2109"/>
      <c r="DT618" s="2109"/>
      <c r="DU618" s="2109"/>
      <c r="DV618" s="2109"/>
      <c r="DX618" s="2131" t="str">
        <f t="shared" si="16"/>
        <v xml:space="preserve"> </v>
      </c>
      <c r="DY618" s="2132"/>
      <c r="DZ618" s="2132"/>
      <c r="EA618" s="2132"/>
      <c r="EB618" s="2133"/>
      <c r="EC618" s="2131" t="str">
        <f t="shared" si="17"/>
        <v xml:space="preserve"> </v>
      </c>
      <c r="ED618" s="2132"/>
      <c r="EE618" s="2132"/>
      <c r="EF618" s="2132"/>
      <c r="EG618" s="2133"/>
      <c r="EH618" s="2131">
        <f t="shared" si="18"/>
        <v>1121</v>
      </c>
      <c r="EI618" s="2132"/>
      <c r="EJ618" s="2132"/>
      <c r="EK618" s="2132"/>
      <c r="EL618" s="2133"/>
      <c r="EM618" s="2131" t="str">
        <f t="shared" si="19"/>
        <v xml:space="preserve"> </v>
      </c>
      <c r="EN618" s="2132"/>
      <c r="EO618" s="2132"/>
      <c r="EP618" s="2132"/>
      <c r="EQ618" s="2133"/>
      <c r="ER618" s="2131" t="str">
        <f t="shared" si="20"/>
        <v xml:space="preserve"> </v>
      </c>
      <c r="ES618" s="2132"/>
      <c r="ET618" s="2132"/>
      <c r="EU618" s="2132"/>
      <c r="EV618" s="2133"/>
      <c r="EW618" s="2131" t="str">
        <f t="shared" si="21"/>
        <v xml:space="preserve"> </v>
      </c>
      <c r="EX618" s="2132"/>
      <c r="EY618" s="2132"/>
      <c r="EZ618" s="2132"/>
      <c r="FA618" s="2133"/>
    </row>
    <row r="619" spans="1:157" s="7" customFormat="1" ht="12.75">
      <c r="A619" s="87" t="s">
        <v>373</v>
      </c>
      <c r="B619" s="12" t="s">
        <v>496</v>
      </c>
      <c r="C619" s="12"/>
      <c r="D619" s="12"/>
      <c r="E619" s="12"/>
      <c r="F619" s="12"/>
      <c r="G619" s="2035">
        <f>C574</f>
        <v>0</v>
      </c>
      <c r="H619" s="2035"/>
      <c r="I619" s="2035"/>
      <c r="J619" s="2035"/>
      <c r="K619" s="2035"/>
      <c r="L619" s="2035"/>
      <c r="M619" s="2035"/>
      <c r="N619" s="2035"/>
      <c r="O619" s="2035"/>
      <c r="P619" s="2035"/>
      <c r="Q619" s="2035"/>
      <c r="R619" s="2035"/>
      <c r="S619" s="12"/>
      <c r="T619" s="87" t="s">
        <v>374</v>
      </c>
      <c r="U619" s="12" t="s">
        <v>496</v>
      </c>
      <c r="V619" s="12"/>
      <c r="W619" s="12"/>
      <c r="X619" s="12"/>
      <c r="Y619" s="12"/>
      <c r="Z619" s="2035">
        <f>C575</f>
        <v>0</v>
      </c>
      <c r="AA619" s="2035"/>
      <c r="AB619" s="2035"/>
      <c r="AC619" s="2035"/>
      <c r="AD619" s="2035"/>
      <c r="AE619" s="2035"/>
      <c r="AF619" s="2035"/>
      <c r="AG619" s="2035"/>
      <c r="AH619" s="2035"/>
      <c r="AI619" s="2035"/>
      <c r="AJ619" s="2035"/>
      <c r="AK619" s="2035"/>
      <c r="AL619" s="12"/>
      <c r="AM619" s="39"/>
      <c r="AN619" s="39"/>
      <c r="AO619" s="39"/>
      <c r="AP619" s="39"/>
      <c r="AQ619" s="39"/>
      <c r="AR619" s="39"/>
      <c r="AS619" s="39"/>
      <c r="AT619" s="39"/>
      <c r="AU619" s="39"/>
      <c r="AV619" s="39"/>
      <c r="AW619" s="39"/>
      <c r="AX619" s="39"/>
      <c r="AY619" s="39"/>
      <c r="AZ619" s="58"/>
      <c r="BA619" s="58"/>
      <c r="BB619" s="58"/>
      <c r="BC619" s="58"/>
      <c r="BD619" s="58"/>
      <c r="BE619" s="2131">
        <f t="shared" si="0"/>
        <v>0</v>
      </c>
      <c r="BF619" s="2133"/>
      <c r="BG619" s="2523">
        <f t="shared" si="1"/>
        <v>0</v>
      </c>
      <c r="BH619" s="2524"/>
      <c r="BI619" s="2131">
        <f t="shared" si="2"/>
        <v>0</v>
      </c>
      <c r="BJ619" s="2133"/>
      <c r="BK619" s="2523">
        <f t="shared" si="3"/>
        <v>0</v>
      </c>
      <c r="BL619" s="2524"/>
      <c r="BM619" s="58"/>
      <c r="BN619" s="2032">
        <f t="shared" si="4"/>
        <v>0</v>
      </c>
      <c r="BO619" s="2033"/>
      <c r="BP619" s="2033"/>
      <c r="BQ619" s="2033"/>
      <c r="BR619" s="2034"/>
      <c r="BS619" s="2128">
        <f t="shared" si="5"/>
        <v>0</v>
      </c>
      <c r="BT619" s="2128"/>
      <c r="BU619" s="2128"/>
      <c r="BV619" s="2128"/>
      <c r="BW619" s="2128"/>
      <c r="BX619" s="2128">
        <f t="shared" si="6"/>
        <v>23</v>
      </c>
      <c r="BY619" s="2128"/>
      <c r="BZ619" s="2128"/>
      <c r="CA619" s="2128"/>
      <c r="CB619" s="2128"/>
      <c r="CC619" s="2128">
        <f t="shared" si="7"/>
        <v>0</v>
      </c>
      <c r="CD619" s="2128"/>
      <c r="CE619" s="2128"/>
      <c r="CF619" s="2128"/>
      <c r="CG619" s="2128"/>
      <c r="CH619" s="2128">
        <f t="shared" si="8"/>
        <v>0</v>
      </c>
      <c r="CI619" s="2128"/>
      <c r="CJ619" s="2128"/>
      <c r="CK619" s="2128"/>
      <c r="CL619" s="2128"/>
      <c r="CM619" s="2128">
        <f t="shared" si="9"/>
        <v>0</v>
      </c>
      <c r="CN619" s="2128"/>
      <c r="CO619" s="2128"/>
      <c r="CP619" s="2128"/>
      <c r="CQ619" s="2128"/>
      <c r="CR619" s="265"/>
      <c r="CS619" s="2109">
        <f t="shared" si="10"/>
        <v>0</v>
      </c>
      <c r="CT619" s="2109"/>
      <c r="CU619" s="2109"/>
      <c r="CV619" s="2109"/>
      <c r="CW619" s="2109"/>
      <c r="CX619" s="2109">
        <f t="shared" si="11"/>
        <v>0</v>
      </c>
      <c r="CY619" s="2109"/>
      <c r="CZ619" s="2109"/>
      <c r="DA619" s="2109"/>
      <c r="DB619" s="2109"/>
      <c r="DC619" s="2109">
        <f t="shared" si="12"/>
        <v>0</v>
      </c>
      <c r="DD619" s="2109"/>
      <c r="DE619" s="2109"/>
      <c r="DF619" s="2109"/>
      <c r="DG619" s="2109"/>
      <c r="DH619" s="2109">
        <f t="shared" si="13"/>
        <v>0</v>
      </c>
      <c r="DI619" s="2109"/>
      <c r="DJ619" s="2109"/>
      <c r="DK619" s="2109"/>
      <c r="DL619" s="2109"/>
      <c r="DM619" s="2109">
        <f t="shared" si="14"/>
        <v>0</v>
      </c>
      <c r="DN619" s="2109"/>
      <c r="DO619" s="2109"/>
      <c r="DP619" s="2109"/>
      <c r="DQ619" s="2109"/>
      <c r="DR619" s="2109">
        <f t="shared" si="15"/>
        <v>0</v>
      </c>
      <c r="DS619" s="2109"/>
      <c r="DT619" s="2109"/>
      <c r="DU619" s="2109"/>
      <c r="DV619" s="2109"/>
      <c r="DX619" s="2131" t="str">
        <f t="shared" si="16"/>
        <v xml:space="preserve"> </v>
      </c>
      <c r="DY619" s="2132"/>
      <c r="DZ619" s="2132"/>
      <c r="EA619" s="2132"/>
      <c r="EB619" s="2133"/>
      <c r="EC619" s="2131" t="str">
        <f t="shared" si="17"/>
        <v xml:space="preserve"> </v>
      </c>
      <c r="ED619" s="2132"/>
      <c r="EE619" s="2132"/>
      <c r="EF619" s="2132"/>
      <c r="EG619" s="2133"/>
      <c r="EH619" s="2131">
        <f t="shared" si="18"/>
        <v>1315</v>
      </c>
      <c r="EI619" s="2132"/>
      <c r="EJ619" s="2132"/>
      <c r="EK619" s="2132"/>
      <c r="EL619" s="2133"/>
      <c r="EM619" s="2131" t="str">
        <f t="shared" si="19"/>
        <v xml:space="preserve"> </v>
      </c>
      <c r="EN619" s="2132"/>
      <c r="EO619" s="2132"/>
      <c r="EP619" s="2132"/>
      <c r="EQ619" s="2133"/>
      <c r="ER619" s="2131" t="str">
        <f t="shared" si="20"/>
        <v xml:space="preserve"> </v>
      </c>
      <c r="ES619" s="2132"/>
      <c r="ET619" s="2132"/>
      <c r="EU619" s="2132"/>
      <c r="EV619" s="2133"/>
      <c r="EW619" s="2131" t="str">
        <f t="shared" si="21"/>
        <v xml:space="preserve"> </v>
      </c>
      <c r="EX619" s="2132"/>
      <c r="EY619" s="2132"/>
      <c r="EZ619" s="2132"/>
      <c r="FA619" s="2133"/>
    </row>
    <row r="620" spans="1:157" s="7" customFormat="1" ht="12.75">
      <c r="A620" s="12"/>
      <c r="B620" s="12" t="s">
        <v>90</v>
      </c>
      <c r="C620" s="12"/>
      <c r="D620" s="12"/>
      <c r="E620" s="12"/>
      <c r="F620" s="12"/>
      <c r="G620" s="2022"/>
      <c r="H620" s="2022"/>
      <c r="I620" s="2022"/>
      <c r="J620" s="2022"/>
      <c r="K620" s="2022"/>
      <c r="L620" s="2022"/>
      <c r="M620" s="2022"/>
      <c r="N620" s="2022"/>
      <c r="O620" s="2022"/>
      <c r="P620" s="2022"/>
      <c r="Q620" s="2022"/>
      <c r="R620" s="2022"/>
      <c r="S620" s="12"/>
      <c r="T620" s="12"/>
      <c r="U620" s="12" t="s">
        <v>90</v>
      </c>
      <c r="V620" s="12"/>
      <c r="W620" s="12"/>
      <c r="X620" s="12"/>
      <c r="Y620" s="12"/>
      <c r="Z620" s="2022"/>
      <c r="AA620" s="2022"/>
      <c r="AB620" s="2022"/>
      <c r="AC620" s="2022"/>
      <c r="AD620" s="2022"/>
      <c r="AE620" s="2022"/>
      <c r="AF620" s="2022"/>
      <c r="AG620" s="2022"/>
      <c r="AH620" s="2022"/>
      <c r="AI620" s="2022"/>
      <c r="AJ620" s="2022"/>
      <c r="AK620" s="2022"/>
      <c r="AL620" s="12"/>
      <c r="AM620" s="39"/>
      <c r="AN620" s="39"/>
      <c r="AO620" s="39"/>
      <c r="AP620" s="39"/>
      <c r="AQ620" s="39"/>
      <c r="AR620" s="39"/>
      <c r="AS620" s="39"/>
      <c r="AT620" s="39"/>
      <c r="AU620" s="39"/>
      <c r="AV620" s="39"/>
      <c r="AW620" s="39"/>
      <c r="AX620" s="39"/>
      <c r="AY620" s="39"/>
      <c r="AZ620" s="58"/>
      <c r="BA620" s="58"/>
      <c r="BB620" s="58"/>
      <c r="BC620" s="58"/>
      <c r="BD620" s="58"/>
      <c r="BE620" s="2131">
        <f t="shared" si="0"/>
        <v>0</v>
      </c>
      <c r="BF620" s="2133"/>
      <c r="BG620" s="2523">
        <f t="shared" si="1"/>
        <v>0</v>
      </c>
      <c r="BH620" s="2524"/>
      <c r="BI620" s="2131">
        <f t="shared" si="2"/>
        <v>1</v>
      </c>
      <c r="BJ620" s="2133"/>
      <c r="BK620" s="2523">
        <f t="shared" si="3"/>
        <v>5</v>
      </c>
      <c r="BL620" s="2524"/>
      <c r="BM620" s="58"/>
      <c r="BN620" s="2032">
        <f t="shared" si="4"/>
        <v>0</v>
      </c>
      <c r="BO620" s="2033"/>
      <c r="BP620" s="2033"/>
      <c r="BQ620" s="2033"/>
      <c r="BR620" s="2034"/>
      <c r="BS620" s="2128">
        <f t="shared" si="5"/>
        <v>0</v>
      </c>
      <c r="BT620" s="2128"/>
      <c r="BU620" s="2128"/>
      <c r="BV620" s="2128"/>
      <c r="BW620" s="2128"/>
      <c r="BX620" s="2128">
        <f t="shared" si="6"/>
        <v>0</v>
      </c>
      <c r="BY620" s="2128"/>
      <c r="BZ620" s="2128"/>
      <c r="CA620" s="2128"/>
      <c r="CB620" s="2128"/>
      <c r="CC620" s="2128">
        <f t="shared" si="7"/>
        <v>5</v>
      </c>
      <c r="CD620" s="2128"/>
      <c r="CE620" s="2128"/>
      <c r="CF620" s="2128"/>
      <c r="CG620" s="2128"/>
      <c r="CH620" s="2128">
        <f t="shared" si="8"/>
        <v>0</v>
      </c>
      <c r="CI620" s="2128"/>
      <c r="CJ620" s="2128"/>
      <c r="CK620" s="2128"/>
      <c r="CL620" s="2128"/>
      <c r="CM620" s="2128">
        <f t="shared" si="9"/>
        <v>0</v>
      </c>
      <c r="CN620" s="2128"/>
      <c r="CO620" s="2128"/>
      <c r="CP620" s="2128"/>
      <c r="CQ620" s="2128"/>
      <c r="CR620" s="265"/>
      <c r="CS620" s="2109">
        <f t="shared" si="10"/>
        <v>0</v>
      </c>
      <c r="CT620" s="2109"/>
      <c r="CU620" s="2109"/>
      <c r="CV620" s="2109"/>
      <c r="CW620" s="2109"/>
      <c r="CX620" s="2109">
        <f t="shared" si="11"/>
        <v>0</v>
      </c>
      <c r="CY620" s="2109"/>
      <c r="CZ620" s="2109"/>
      <c r="DA620" s="2109"/>
      <c r="DB620" s="2109"/>
      <c r="DC620" s="2109">
        <f t="shared" si="12"/>
        <v>0</v>
      </c>
      <c r="DD620" s="2109"/>
      <c r="DE620" s="2109"/>
      <c r="DF620" s="2109"/>
      <c r="DG620" s="2109"/>
      <c r="DH620" s="2109">
        <f t="shared" si="13"/>
        <v>5</v>
      </c>
      <c r="DI620" s="2109"/>
      <c r="DJ620" s="2109"/>
      <c r="DK620" s="2109"/>
      <c r="DL620" s="2109"/>
      <c r="DM620" s="2109">
        <f t="shared" si="14"/>
        <v>0</v>
      </c>
      <c r="DN620" s="2109"/>
      <c r="DO620" s="2109"/>
      <c r="DP620" s="2109"/>
      <c r="DQ620" s="2109"/>
      <c r="DR620" s="2109">
        <f t="shared" si="15"/>
        <v>0</v>
      </c>
      <c r="DS620" s="2109"/>
      <c r="DT620" s="2109"/>
      <c r="DU620" s="2109"/>
      <c r="DV620" s="2109"/>
      <c r="DX620" s="2131" t="str">
        <f t="shared" si="16"/>
        <v xml:space="preserve"> </v>
      </c>
      <c r="DY620" s="2132"/>
      <c r="DZ620" s="2132"/>
      <c r="EA620" s="2132"/>
      <c r="EB620" s="2133"/>
      <c r="EC620" s="2131" t="str">
        <f t="shared" si="17"/>
        <v xml:space="preserve"> </v>
      </c>
      <c r="ED620" s="2132"/>
      <c r="EE620" s="2132"/>
      <c r="EF620" s="2132"/>
      <c r="EG620" s="2133"/>
      <c r="EH620" s="2131" t="str">
        <f t="shared" si="18"/>
        <v xml:space="preserve"> </v>
      </c>
      <c r="EI620" s="2132"/>
      <c r="EJ620" s="2132"/>
      <c r="EK620" s="2132"/>
      <c r="EL620" s="2133"/>
      <c r="EM620" s="2131">
        <f t="shared" si="19"/>
        <v>625</v>
      </c>
      <c r="EN620" s="2132"/>
      <c r="EO620" s="2132"/>
      <c r="EP620" s="2132"/>
      <c r="EQ620" s="2133"/>
      <c r="ER620" s="2131" t="str">
        <f t="shared" si="20"/>
        <v xml:space="preserve"> </v>
      </c>
      <c r="ES620" s="2132"/>
      <c r="ET620" s="2132"/>
      <c r="EU620" s="2132"/>
      <c r="EV620" s="2133"/>
      <c r="EW620" s="2131" t="str">
        <f t="shared" si="21"/>
        <v xml:space="preserve"> </v>
      </c>
      <c r="EX620" s="2132"/>
      <c r="EY620" s="2132"/>
      <c r="EZ620" s="2132"/>
      <c r="FA620" s="2133"/>
    </row>
    <row r="621" spans="1:157" ht="12.75">
      <c r="B621" s="12" t="s">
        <v>615</v>
      </c>
      <c r="G621" s="2022"/>
      <c r="H621" s="2022"/>
      <c r="I621" s="2022"/>
      <c r="J621" s="2022"/>
      <c r="K621" s="2022"/>
      <c r="L621" s="2022"/>
      <c r="M621" s="2022"/>
      <c r="N621" s="2022"/>
      <c r="O621" s="2022"/>
      <c r="P621" s="2022"/>
      <c r="Q621" s="2022"/>
      <c r="R621" s="2022"/>
      <c r="U621" s="12" t="s">
        <v>615</v>
      </c>
      <c r="Z621" s="2018"/>
      <c r="AA621" s="2018"/>
      <c r="AB621" s="2018"/>
      <c r="AC621" s="2018"/>
      <c r="AD621" s="2018"/>
      <c r="AE621" s="2018"/>
      <c r="AF621" s="2018"/>
      <c r="AG621" s="2018"/>
      <c r="AH621" s="2018"/>
      <c r="AI621" s="2018"/>
      <c r="AJ621" s="2018"/>
      <c r="AK621" s="2018"/>
      <c r="AZ621" s="58"/>
      <c r="BA621" s="58"/>
      <c r="BB621" s="58"/>
      <c r="BC621" s="58"/>
      <c r="BD621" s="58"/>
      <c r="BE621" s="2131">
        <f t="shared" si="0"/>
        <v>1</v>
      </c>
      <c r="BF621" s="2133"/>
      <c r="BG621" s="2523">
        <f t="shared" si="1"/>
        <v>5</v>
      </c>
      <c r="BH621" s="2524"/>
      <c r="BI621" s="2131">
        <f t="shared" si="2"/>
        <v>0</v>
      </c>
      <c r="BJ621" s="2133"/>
      <c r="BK621" s="2523">
        <f t="shared" si="3"/>
        <v>0</v>
      </c>
      <c r="BL621" s="2524"/>
      <c r="BM621" s="58"/>
      <c r="BN621" s="2032">
        <f t="shared" si="4"/>
        <v>0</v>
      </c>
      <c r="BO621" s="2033"/>
      <c r="BP621" s="2033"/>
      <c r="BQ621" s="2033"/>
      <c r="BR621" s="2034"/>
      <c r="BS621" s="2128">
        <f t="shared" si="5"/>
        <v>0</v>
      </c>
      <c r="BT621" s="2128"/>
      <c r="BU621" s="2128"/>
      <c r="BV621" s="2128"/>
      <c r="BW621" s="2128"/>
      <c r="BX621" s="2128">
        <f t="shared" si="6"/>
        <v>0</v>
      </c>
      <c r="BY621" s="2128"/>
      <c r="BZ621" s="2128"/>
      <c r="CA621" s="2128"/>
      <c r="CB621" s="2128"/>
      <c r="CC621" s="2128">
        <f t="shared" si="7"/>
        <v>5</v>
      </c>
      <c r="CD621" s="2128"/>
      <c r="CE621" s="2128"/>
      <c r="CF621" s="2128"/>
      <c r="CG621" s="2128"/>
      <c r="CH621" s="2128">
        <f t="shared" si="8"/>
        <v>0</v>
      </c>
      <c r="CI621" s="2128"/>
      <c r="CJ621" s="2128"/>
      <c r="CK621" s="2128"/>
      <c r="CL621" s="2128"/>
      <c r="CM621" s="2128">
        <f t="shared" si="9"/>
        <v>0</v>
      </c>
      <c r="CN621" s="2128"/>
      <c r="CO621" s="2128"/>
      <c r="CP621" s="2128"/>
      <c r="CQ621" s="2128"/>
      <c r="CR621" s="265"/>
      <c r="CS621" s="2109">
        <f t="shared" si="10"/>
        <v>0</v>
      </c>
      <c r="CT621" s="2109"/>
      <c r="CU621" s="2109"/>
      <c r="CV621" s="2109"/>
      <c r="CW621" s="2109"/>
      <c r="CX621" s="2109">
        <f t="shared" si="11"/>
        <v>0</v>
      </c>
      <c r="CY621" s="2109"/>
      <c r="CZ621" s="2109"/>
      <c r="DA621" s="2109"/>
      <c r="DB621" s="2109"/>
      <c r="DC621" s="2109">
        <f t="shared" si="12"/>
        <v>0</v>
      </c>
      <c r="DD621" s="2109"/>
      <c r="DE621" s="2109"/>
      <c r="DF621" s="2109"/>
      <c r="DG621" s="2109"/>
      <c r="DH621" s="2109">
        <f t="shared" si="13"/>
        <v>0</v>
      </c>
      <c r="DI621" s="2109"/>
      <c r="DJ621" s="2109"/>
      <c r="DK621" s="2109"/>
      <c r="DL621" s="2109"/>
      <c r="DM621" s="2109">
        <f t="shared" si="14"/>
        <v>0</v>
      </c>
      <c r="DN621" s="2109"/>
      <c r="DO621" s="2109"/>
      <c r="DP621" s="2109"/>
      <c r="DQ621" s="2109"/>
      <c r="DR621" s="2109">
        <f t="shared" si="15"/>
        <v>0</v>
      </c>
      <c r="DS621" s="2109"/>
      <c r="DT621" s="2109"/>
      <c r="DU621" s="2109"/>
      <c r="DV621" s="2109"/>
      <c r="DX621" s="2131" t="str">
        <f t="shared" si="16"/>
        <v xml:space="preserve"> </v>
      </c>
      <c r="DY621" s="2132"/>
      <c r="DZ621" s="2132"/>
      <c r="EA621" s="2132"/>
      <c r="EB621" s="2133"/>
      <c r="EC621" s="2131" t="str">
        <f t="shared" si="17"/>
        <v xml:space="preserve"> </v>
      </c>
      <c r="ED621" s="2132"/>
      <c r="EE621" s="2132"/>
      <c r="EF621" s="2132"/>
      <c r="EG621" s="2133"/>
      <c r="EH621" s="2131" t="str">
        <f t="shared" si="18"/>
        <v xml:space="preserve"> </v>
      </c>
      <c r="EI621" s="2132"/>
      <c r="EJ621" s="2132"/>
      <c r="EK621" s="2132"/>
      <c r="EL621" s="2133"/>
      <c r="EM621" s="2131">
        <f t="shared" si="19"/>
        <v>1074</v>
      </c>
      <c r="EN621" s="2132"/>
      <c r="EO621" s="2132"/>
      <c r="EP621" s="2132"/>
      <c r="EQ621" s="2133"/>
      <c r="ER621" s="2131" t="str">
        <f t="shared" si="20"/>
        <v xml:space="preserve"> </v>
      </c>
      <c r="ES621" s="2132"/>
      <c r="ET621" s="2132"/>
      <c r="EU621" s="2132"/>
      <c r="EV621" s="2133"/>
      <c r="EW621" s="2131" t="str">
        <f t="shared" si="21"/>
        <v xml:space="preserve"> </v>
      </c>
      <c r="EX621" s="2132"/>
      <c r="EY621" s="2132"/>
      <c r="EZ621" s="2132"/>
      <c r="FA621" s="2133"/>
    </row>
    <row r="622" spans="1:157" ht="12.75">
      <c r="B622" s="12" t="s">
        <v>17</v>
      </c>
      <c r="G622" s="2022"/>
      <c r="H622" s="2022"/>
      <c r="I622" s="2022"/>
      <c r="J622" s="2022"/>
      <c r="K622" s="2022"/>
      <c r="L622" s="2022"/>
      <c r="M622" s="2022"/>
      <c r="N622" s="2022"/>
      <c r="O622" s="2022"/>
      <c r="P622" s="2022"/>
      <c r="Q622" s="2022"/>
      <c r="R622" s="2022"/>
      <c r="U622" s="12" t="s">
        <v>17</v>
      </c>
      <c r="Z622" s="2018"/>
      <c r="AA622" s="2018"/>
      <c r="AB622" s="2018"/>
      <c r="AC622" s="2018"/>
      <c r="AD622" s="2018"/>
      <c r="AE622" s="2018"/>
      <c r="AF622" s="2018"/>
      <c r="AG622" s="2018"/>
      <c r="AH622" s="2018"/>
      <c r="AI622" s="2018"/>
      <c r="AJ622" s="2018"/>
      <c r="AK622" s="2018"/>
      <c r="AZ622" s="58"/>
      <c r="BA622" s="58"/>
      <c r="BB622" s="58"/>
      <c r="BC622" s="58"/>
      <c r="BD622" s="58"/>
      <c r="BE622" s="2131">
        <f t="shared" si="0"/>
        <v>0</v>
      </c>
      <c r="BF622" s="2133"/>
      <c r="BG622" s="2523">
        <f t="shared" si="1"/>
        <v>0</v>
      </c>
      <c r="BH622" s="2524"/>
      <c r="BI622" s="2131">
        <f t="shared" si="2"/>
        <v>0</v>
      </c>
      <c r="BJ622" s="2133"/>
      <c r="BK622" s="2523">
        <f t="shared" si="3"/>
        <v>0</v>
      </c>
      <c r="BL622" s="2524"/>
      <c r="BM622" s="58"/>
      <c r="BN622" s="2032">
        <f t="shared" si="4"/>
        <v>0</v>
      </c>
      <c r="BO622" s="2033"/>
      <c r="BP622" s="2033"/>
      <c r="BQ622" s="2033"/>
      <c r="BR622" s="2034"/>
      <c r="BS622" s="2128">
        <f t="shared" si="5"/>
        <v>0</v>
      </c>
      <c r="BT622" s="2128"/>
      <c r="BU622" s="2128"/>
      <c r="BV622" s="2128"/>
      <c r="BW622" s="2128"/>
      <c r="BX622" s="2128">
        <f t="shared" si="6"/>
        <v>0</v>
      </c>
      <c r="BY622" s="2128"/>
      <c r="BZ622" s="2128"/>
      <c r="CA622" s="2128"/>
      <c r="CB622" s="2128"/>
      <c r="CC622" s="2128">
        <f t="shared" si="7"/>
        <v>13</v>
      </c>
      <c r="CD622" s="2128"/>
      <c r="CE622" s="2128"/>
      <c r="CF622" s="2128"/>
      <c r="CG622" s="2128"/>
      <c r="CH622" s="2128">
        <f t="shared" si="8"/>
        <v>0</v>
      </c>
      <c r="CI622" s="2128"/>
      <c r="CJ622" s="2128"/>
      <c r="CK622" s="2128"/>
      <c r="CL622" s="2128"/>
      <c r="CM622" s="2128">
        <f t="shared" si="9"/>
        <v>0</v>
      </c>
      <c r="CN622" s="2128"/>
      <c r="CO622" s="2128"/>
      <c r="CP622" s="2128"/>
      <c r="CQ622" s="2128"/>
      <c r="CR622" s="265"/>
      <c r="CS622" s="2109">
        <f t="shared" si="10"/>
        <v>0</v>
      </c>
      <c r="CT622" s="2109"/>
      <c r="CU622" s="2109"/>
      <c r="CV622" s="2109"/>
      <c r="CW622" s="2109"/>
      <c r="CX622" s="2109">
        <f t="shared" si="11"/>
        <v>0</v>
      </c>
      <c r="CY622" s="2109"/>
      <c r="CZ622" s="2109"/>
      <c r="DA622" s="2109"/>
      <c r="DB622" s="2109"/>
      <c r="DC622" s="2109">
        <f t="shared" si="12"/>
        <v>0</v>
      </c>
      <c r="DD622" s="2109"/>
      <c r="DE622" s="2109"/>
      <c r="DF622" s="2109"/>
      <c r="DG622" s="2109"/>
      <c r="DH622" s="2109">
        <f t="shared" si="13"/>
        <v>0</v>
      </c>
      <c r="DI622" s="2109"/>
      <c r="DJ622" s="2109"/>
      <c r="DK622" s="2109"/>
      <c r="DL622" s="2109"/>
      <c r="DM622" s="2109">
        <f t="shared" si="14"/>
        <v>0</v>
      </c>
      <c r="DN622" s="2109"/>
      <c r="DO622" s="2109"/>
      <c r="DP622" s="2109"/>
      <c r="DQ622" s="2109"/>
      <c r="DR622" s="2109">
        <f t="shared" si="15"/>
        <v>0</v>
      </c>
      <c r="DS622" s="2109"/>
      <c r="DT622" s="2109"/>
      <c r="DU622" s="2109"/>
      <c r="DV622" s="2109"/>
      <c r="DX622" s="2131" t="str">
        <f t="shared" si="16"/>
        <v xml:space="preserve"> </v>
      </c>
      <c r="DY622" s="2132"/>
      <c r="DZ622" s="2132"/>
      <c r="EA622" s="2132"/>
      <c r="EB622" s="2133"/>
      <c r="EC622" s="2131" t="str">
        <f t="shared" si="17"/>
        <v xml:space="preserve"> </v>
      </c>
      <c r="ED622" s="2132"/>
      <c r="EE622" s="2132"/>
      <c r="EF622" s="2132"/>
      <c r="EG622" s="2133"/>
      <c r="EH622" s="2131" t="str">
        <f t="shared" si="18"/>
        <v xml:space="preserve"> </v>
      </c>
      <c r="EI622" s="2132"/>
      <c r="EJ622" s="2132"/>
      <c r="EK622" s="2132"/>
      <c r="EL622" s="2133"/>
      <c r="EM622" s="2131">
        <f t="shared" si="19"/>
        <v>1299</v>
      </c>
      <c r="EN622" s="2132"/>
      <c r="EO622" s="2132"/>
      <c r="EP622" s="2132"/>
      <c r="EQ622" s="2133"/>
      <c r="ER622" s="2131" t="str">
        <f t="shared" si="20"/>
        <v xml:space="preserve"> </v>
      </c>
      <c r="ES622" s="2132"/>
      <c r="ET622" s="2132"/>
      <c r="EU622" s="2132"/>
      <c r="EV622" s="2133"/>
      <c r="EW622" s="2131" t="str">
        <f t="shared" si="21"/>
        <v xml:space="preserve"> </v>
      </c>
      <c r="EX622" s="2132"/>
      <c r="EY622" s="2132"/>
      <c r="EZ622" s="2132"/>
      <c r="FA622" s="2133"/>
    </row>
    <row r="623" spans="1:157" ht="12.75">
      <c r="B623" s="12" t="s">
        <v>326</v>
      </c>
      <c r="G623" s="2031"/>
      <c r="H623" s="2031"/>
      <c r="I623" s="2031"/>
      <c r="J623" s="2031"/>
      <c r="K623" s="2031"/>
      <c r="L623" s="2031"/>
      <c r="O623" s="137" t="s">
        <v>211</v>
      </c>
      <c r="P623" s="2024"/>
      <c r="Q623" s="2024"/>
      <c r="R623" s="2024"/>
      <c r="U623" s="12" t="s">
        <v>326</v>
      </c>
      <c r="Z623" s="2031"/>
      <c r="AA623" s="2031"/>
      <c r="AB623" s="2031"/>
      <c r="AC623" s="2031"/>
      <c r="AD623" s="2031"/>
      <c r="AE623" s="2031"/>
      <c r="AH623" s="137" t="s">
        <v>211</v>
      </c>
      <c r="AI623" s="2024"/>
      <c r="AJ623" s="2024"/>
      <c r="AK623" s="2024"/>
      <c r="AZ623" s="58"/>
      <c r="BA623" s="58"/>
      <c r="BB623" s="58"/>
      <c r="BC623" s="58"/>
      <c r="BD623" s="58"/>
      <c r="BE623" s="2131">
        <f t="shared" si="0"/>
        <v>0</v>
      </c>
      <c r="BF623" s="2133"/>
      <c r="BG623" s="2523">
        <f t="shared" si="1"/>
        <v>0</v>
      </c>
      <c r="BH623" s="2524"/>
      <c r="BI623" s="2131">
        <f t="shared" si="2"/>
        <v>0</v>
      </c>
      <c r="BJ623" s="2133"/>
      <c r="BK623" s="2523">
        <f t="shared" si="3"/>
        <v>0</v>
      </c>
      <c r="BL623" s="2524"/>
      <c r="BM623" s="58"/>
      <c r="BN623" s="2032">
        <f t="shared" si="4"/>
        <v>0</v>
      </c>
      <c r="BO623" s="2033"/>
      <c r="BP623" s="2033"/>
      <c r="BQ623" s="2033"/>
      <c r="BR623" s="2034"/>
      <c r="BS623" s="2128">
        <f t="shared" si="5"/>
        <v>0</v>
      </c>
      <c r="BT623" s="2128"/>
      <c r="BU623" s="2128"/>
      <c r="BV623" s="2128"/>
      <c r="BW623" s="2128"/>
      <c r="BX623" s="2128">
        <f t="shared" si="6"/>
        <v>0</v>
      </c>
      <c r="BY623" s="2128"/>
      <c r="BZ623" s="2128"/>
      <c r="CA623" s="2128"/>
      <c r="CB623" s="2128"/>
      <c r="CC623" s="2128">
        <f t="shared" si="7"/>
        <v>1</v>
      </c>
      <c r="CD623" s="2128"/>
      <c r="CE623" s="2128"/>
      <c r="CF623" s="2128"/>
      <c r="CG623" s="2128"/>
      <c r="CH623" s="2128">
        <f t="shared" si="8"/>
        <v>0</v>
      </c>
      <c r="CI623" s="2128"/>
      <c r="CJ623" s="2128"/>
      <c r="CK623" s="2128"/>
      <c r="CL623" s="2128"/>
      <c r="CM623" s="2128">
        <f t="shared" si="9"/>
        <v>0</v>
      </c>
      <c r="CN623" s="2128"/>
      <c r="CO623" s="2128"/>
      <c r="CP623" s="2128"/>
      <c r="CQ623" s="2128"/>
      <c r="CR623" s="265"/>
      <c r="CS623" s="2109">
        <f t="shared" si="10"/>
        <v>0</v>
      </c>
      <c r="CT623" s="2109"/>
      <c r="CU623" s="2109"/>
      <c r="CV623" s="2109"/>
      <c r="CW623" s="2109"/>
      <c r="CX623" s="2109">
        <f t="shared" si="11"/>
        <v>0</v>
      </c>
      <c r="CY623" s="2109"/>
      <c r="CZ623" s="2109"/>
      <c r="DA623" s="2109"/>
      <c r="DB623" s="2109"/>
      <c r="DC623" s="2109">
        <f t="shared" si="12"/>
        <v>0</v>
      </c>
      <c r="DD623" s="2109"/>
      <c r="DE623" s="2109"/>
      <c r="DF623" s="2109"/>
      <c r="DG623" s="2109"/>
      <c r="DH623" s="2109">
        <f t="shared" si="13"/>
        <v>0</v>
      </c>
      <c r="DI623" s="2109"/>
      <c r="DJ623" s="2109"/>
      <c r="DK623" s="2109"/>
      <c r="DL623" s="2109"/>
      <c r="DM623" s="2109">
        <f t="shared" si="14"/>
        <v>0</v>
      </c>
      <c r="DN623" s="2109"/>
      <c r="DO623" s="2109"/>
      <c r="DP623" s="2109"/>
      <c r="DQ623" s="2109"/>
      <c r="DR623" s="2109">
        <f t="shared" si="15"/>
        <v>0</v>
      </c>
      <c r="DS623" s="2109"/>
      <c r="DT623" s="2109"/>
      <c r="DU623" s="2109"/>
      <c r="DV623" s="2109"/>
      <c r="DX623" s="2131" t="str">
        <f t="shared" si="16"/>
        <v xml:space="preserve"> </v>
      </c>
      <c r="DY623" s="2132"/>
      <c r="DZ623" s="2132"/>
      <c r="EA623" s="2132"/>
      <c r="EB623" s="2133"/>
      <c r="EC623" s="2131" t="str">
        <f t="shared" si="17"/>
        <v xml:space="preserve"> </v>
      </c>
      <c r="ED623" s="2132"/>
      <c r="EE623" s="2132"/>
      <c r="EF623" s="2132"/>
      <c r="EG623" s="2133"/>
      <c r="EH623" s="2131" t="str">
        <f t="shared" si="18"/>
        <v xml:space="preserve"> </v>
      </c>
      <c r="EI623" s="2132"/>
      <c r="EJ623" s="2132"/>
      <c r="EK623" s="2132"/>
      <c r="EL623" s="2133"/>
      <c r="EM623" s="2131">
        <f t="shared" si="19"/>
        <v>1523</v>
      </c>
      <c r="EN623" s="2132"/>
      <c r="EO623" s="2132"/>
      <c r="EP623" s="2132"/>
      <c r="EQ623" s="2133"/>
      <c r="ER623" s="2131" t="str">
        <f t="shared" si="20"/>
        <v xml:space="preserve"> </v>
      </c>
      <c r="ES623" s="2132"/>
      <c r="ET623" s="2132"/>
      <c r="EU623" s="2132"/>
      <c r="EV623" s="2133"/>
      <c r="EW623" s="2131" t="str">
        <f t="shared" si="21"/>
        <v xml:space="preserve"> </v>
      </c>
      <c r="EX623" s="2132"/>
      <c r="EY623" s="2132"/>
      <c r="EZ623" s="2132"/>
      <c r="FA623" s="2133"/>
    </row>
    <row r="624" spans="1:157" ht="12.75">
      <c r="B624" s="12" t="s">
        <v>18</v>
      </c>
      <c r="H624" s="2022"/>
      <c r="I624" s="2022"/>
      <c r="J624" s="2022"/>
      <c r="K624" s="2022"/>
      <c r="L624" s="2022"/>
      <c r="M624" s="2022"/>
      <c r="N624" s="2022"/>
      <c r="O624" s="2022"/>
      <c r="P624" s="2022"/>
      <c r="Q624" s="2022"/>
      <c r="R624" s="2022"/>
      <c r="U624" s="12" t="s">
        <v>18</v>
      </c>
      <c r="AA624" s="2022"/>
      <c r="AB624" s="2022"/>
      <c r="AC624" s="2022"/>
      <c r="AD624" s="2022"/>
      <c r="AE624" s="2022"/>
      <c r="AF624" s="2022"/>
      <c r="AG624" s="2022"/>
      <c r="AH624" s="2022"/>
      <c r="AI624" s="2022"/>
      <c r="AJ624" s="2022"/>
      <c r="AK624" s="2022"/>
      <c r="AZ624" s="58"/>
      <c r="BA624" s="58"/>
      <c r="BB624" s="58"/>
      <c r="BC624" s="58"/>
      <c r="BD624" s="58"/>
      <c r="BE624" s="2131">
        <f t="shared" si="0"/>
        <v>0</v>
      </c>
      <c r="BF624" s="2133"/>
      <c r="BG624" s="2523">
        <f t="shared" si="1"/>
        <v>0</v>
      </c>
      <c r="BH624" s="2524"/>
      <c r="BI624" s="2131">
        <f t="shared" si="2"/>
        <v>0</v>
      </c>
      <c r="BJ624" s="2133"/>
      <c r="BK624" s="2523">
        <f t="shared" si="3"/>
        <v>0</v>
      </c>
      <c r="BL624" s="2524"/>
      <c r="BM624" s="58"/>
      <c r="BN624" s="2032">
        <f t="shared" si="4"/>
        <v>0</v>
      </c>
      <c r="BO624" s="2033"/>
      <c r="BP624" s="2033"/>
      <c r="BQ624" s="2033"/>
      <c r="BR624" s="2034"/>
      <c r="BS624" s="2128">
        <f t="shared" si="5"/>
        <v>0</v>
      </c>
      <c r="BT624" s="2128"/>
      <c r="BU624" s="2128"/>
      <c r="BV624" s="2128"/>
      <c r="BW624" s="2128"/>
      <c r="BX624" s="2128">
        <f t="shared" si="6"/>
        <v>0</v>
      </c>
      <c r="BY624" s="2128"/>
      <c r="BZ624" s="2128"/>
      <c r="CA624" s="2128"/>
      <c r="CB624" s="2128"/>
      <c r="CC624" s="2128">
        <f t="shared" si="7"/>
        <v>24</v>
      </c>
      <c r="CD624" s="2128"/>
      <c r="CE624" s="2128"/>
      <c r="CF624" s="2128"/>
      <c r="CG624" s="2128"/>
      <c r="CH624" s="2128">
        <f t="shared" si="8"/>
        <v>0</v>
      </c>
      <c r="CI624" s="2128"/>
      <c r="CJ624" s="2128"/>
      <c r="CK624" s="2128"/>
      <c r="CL624" s="2128"/>
      <c r="CM624" s="2128">
        <f t="shared" si="9"/>
        <v>0</v>
      </c>
      <c r="CN624" s="2128"/>
      <c r="CO624" s="2128"/>
      <c r="CP624" s="2128"/>
      <c r="CQ624" s="2128"/>
      <c r="CR624" s="265"/>
      <c r="CS624" s="2109">
        <f t="shared" si="10"/>
        <v>0</v>
      </c>
      <c r="CT624" s="2109"/>
      <c r="CU624" s="2109"/>
      <c r="CV624" s="2109"/>
      <c r="CW624" s="2109"/>
      <c r="CX624" s="2109">
        <f t="shared" si="11"/>
        <v>0</v>
      </c>
      <c r="CY624" s="2109"/>
      <c r="CZ624" s="2109"/>
      <c r="DA624" s="2109"/>
      <c r="DB624" s="2109"/>
      <c r="DC624" s="2109">
        <f t="shared" si="12"/>
        <v>0</v>
      </c>
      <c r="DD624" s="2109"/>
      <c r="DE624" s="2109"/>
      <c r="DF624" s="2109"/>
      <c r="DG624" s="2109"/>
      <c r="DH624" s="2109">
        <f t="shared" si="13"/>
        <v>0</v>
      </c>
      <c r="DI624" s="2109"/>
      <c r="DJ624" s="2109"/>
      <c r="DK624" s="2109"/>
      <c r="DL624" s="2109"/>
      <c r="DM624" s="2109">
        <f t="shared" si="14"/>
        <v>0</v>
      </c>
      <c r="DN624" s="2109"/>
      <c r="DO624" s="2109"/>
      <c r="DP624" s="2109"/>
      <c r="DQ624" s="2109"/>
      <c r="DR624" s="2109">
        <f t="shared" si="15"/>
        <v>0</v>
      </c>
      <c r="DS624" s="2109"/>
      <c r="DT624" s="2109"/>
      <c r="DU624" s="2109"/>
      <c r="DV624" s="2109"/>
      <c r="DX624" s="2131" t="str">
        <f t="shared" si="16"/>
        <v xml:space="preserve"> </v>
      </c>
      <c r="DY624" s="2132"/>
      <c r="DZ624" s="2132"/>
      <c r="EA624" s="2132"/>
      <c r="EB624" s="2133"/>
      <c r="EC624" s="2131" t="str">
        <f t="shared" si="17"/>
        <v xml:space="preserve"> </v>
      </c>
      <c r="ED624" s="2132"/>
      <c r="EE624" s="2132"/>
      <c r="EF624" s="2132"/>
      <c r="EG624" s="2133"/>
      <c r="EH624" s="2131" t="str">
        <f t="shared" si="18"/>
        <v xml:space="preserve"> </v>
      </c>
      <c r="EI624" s="2132"/>
      <c r="EJ624" s="2132"/>
      <c r="EK624" s="2132"/>
      <c r="EL624" s="2133"/>
      <c r="EM624" s="2131">
        <f t="shared" si="19"/>
        <v>1523</v>
      </c>
      <c r="EN624" s="2132"/>
      <c r="EO624" s="2132"/>
      <c r="EP624" s="2132"/>
      <c r="EQ624" s="2133"/>
      <c r="ER624" s="2131" t="str">
        <f t="shared" si="20"/>
        <v xml:space="preserve"> </v>
      </c>
      <c r="ES624" s="2132"/>
      <c r="ET624" s="2132"/>
      <c r="EU624" s="2132"/>
      <c r="EV624" s="2133"/>
      <c r="EW624" s="2131" t="str">
        <f t="shared" si="21"/>
        <v xml:space="preserve"> </v>
      </c>
      <c r="EX624" s="2132"/>
      <c r="EY624" s="2132"/>
      <c r="EZ624" s="2132"/>
      <c r="FA624" s="2133"/>
    </row>
    <row r="625" spans="1:157" ht="12.75">
      <c r="B625" s="12" t="s">
        <v>20</v>
      </c>
      <c r="N625" s="2023" t="s">
        <v>706</v>
      </c>
      <c r="O625" s="2023"/>
      <c r="U625" s="12" t="s">
        <v>20</v>
      </c>
      <c r="AG625" s="2023" t="s">
        <v>706</v>
      </c>
      <c r="AH625" s="2023"/>
      <c r="AZ625" s="58"/>
      <c r="BA625" s="58"/>
      <c r="BB625" s="58"/>
      <c r="BC625" s="58"/>
      <c r="BD625" s="58"/>
      <c r="BE625" s="2131">
        <f t="shared" si="0"/>
        <v>0</v>
      </c>
      <c r="BF625" s="2133"/>
      <c r="BG625" s="2523">
        <f t="shared" si="1"/>
        <v>0</v>
      </c>
      <c r="BH625" s="2524"/>
      <c r="BI625" s="2131">
        <f t="shared" si="2"/>
        <v>0</v>
      </c>
      <c r="BJ625" s="2133"/>
      <c r="BK625" s="2523">
        <f t="shared" si="3"/>
        <v>0</v>
      </c>
      <c r="BL625" s="2524"/>
      <c r="BM625" s="58"/>
      <c r="BN625" s="2032">
        <f t="shared" si="4"/>
        <v>0</v>
      </c>
      <c r="BO625" s="2033"/>
      <c r="BP625" s="2033"/>
      <c r="BQ625" s="2033"/>
      <c r="BR625" s="2034"/>
      <c r="BS625" s="2128">
        <f t="shared" si="5"/>
        <v>0</v>
      </c>
      <c r="BT625" s="2128"/>
      <c r="BU625" s="2128"/>
      <c r="BV625" s="2128"/>
      <c r="BW625" s="2128"/>
      <c r="BX625" s="2128">
        <f t="shared" si="6"/>
        <v>0</v>
      </c>
      <c r="BY625" s="2128"/>
      <c r="BZ625" s="2128"/>
      <c r="CA625" s="2128"/>
      <c r="CB625" s="2128"/>
      <c r="CC625" s="2128">
        <f t="shared" si="7"/>
        <v>0</v>
      </c>
      <c r="CD625" s="2128"/>
      <c r="CE625" s="2128"/>
      <c r="CF625" s="2128"/>
      <c r="CG625" s="2128"/>
      <c r="CH625" s="2128">
        <f t="shared" si="8"/>
        <v>0</v>
      </c>
      <c r="CI625" s="2128"/>
      <c r="CJ625" s="2128"/>
      <c r="CK625" s="2128"/>
      <c r="CL625" s="2128"/>
      <c r="CM625" s="2128">
        <f t="shared" si="9"/>
        <v>0</v>
      </c>
      <c r="CN625" s="2128"/>
      <c r="CO625" s="2128"/>
      <c r="CP625" s="2128"/>
      <c r="CQ625" s="2128"/>
      <c r="CR625" s="265"/>
      <c r="CS625" s="2109">
        <f t="shared" si="10"/>
        <v>0</v>
      </c>
      <c r="CT625" s="2109"/>
      <c r="CU625" s="2109"/>
      <c r="CV625" s="2109"/>
      <c r="CW625" s="2109"/>
      <c r="CX625" s="2109">
        <f t="shared" si="11"/>
        <v>0</v>
      </c>
      <c r="CY625" s="2109"/>
      <c r="CZ625" s="2109"/>
      <c r="DA625" s="2109"/>
      <c r="DB625" s="2109"/>
      <c r="DC625" s="2109">
        <f t="shared" si="12"/>
        <v>0</v>
      </c>
      <c r="DD625" s="2109"/>
      <c r="DE625" s="2109"/>
      <c r="DF625" s="2109"/>
      <c r="DG625" s="2109"/>
      <c r="DH625" s="2109">
        <f t="shared" si="13"/>
        <v>0</v>
      </c>
      <c r="DI625" s="2109"/>
      <c r="DJ625" s="2109"/>
      <c r="DK625" s="2109"/>
      <c r="DL625" s="2109"/>
      <c r="DM625" s="2109">
        <f t="shared" si="14"/>
        <v>0</v>
      </c>
      <c r="DN625" s="2109"/>
      <c r="DO625" s="2109"/>
      <c r="DP625" s="2109"/>
      <c r="DQ625" s="2109"/>
      <c r="DR625" s="2109">
        <f t="shared" si="15"/>
        <v>0</v>
      </c>
      <c r="DS625" s="2109"/>
      <c r="DT625" s="2109"/>
      <c r="DU625" s="2109"/>
      <c r="DV625" s="2109"/>
      <c r="DX625" s="2131" t="str">
        <f t="shared" si="16"/>
        <v xml:space="preserve"> </v>
      </c>
      <c r="DY625" s="2132"/>
      <c r="DZ625" s="2132"/>
      <c r="EA625" s="2132"/>
      <c r="EB625" s="2133"/>
      <c r="EC625" s="2131" t="str">
        <f t="shared" si="17"/>
        <v xml:space="preserve"> </v>
      </c>
      <c r="ED625" s="2132"/>
      <c r="EE625" s="2132"/>
      <c r="EF625" s="2132"/>
      <c r="EG625" s="2133"/>
      <c r="EH625" s="2131" t="str">
        <f t="shared" si="18"/>
        <v xml:space="preserve"> </v>
      </c>
      <c r="EI625" s="2132"/>
      <c r="EJ625" s="2132"/>
      <c r="EK625" s="2132"/>
      <c r="EL625" s="2133"/>
      <c r="EM625" s="2131" t="str">
        <f t="shared" si="19"/>
        <v xml:space="preserve"> </v>
      </c>
      <c r="EN625" s="2132"/>
      <c r="EO625" s="2132"/>
      <c r="EP625" s="2132"/>
      <c r="EQ625" s="2133"/>
      <c r="ER625" s="2131" t="str">
        <f t="shared" si="20"/>
        <v xml:space="preserve"> </v>
      </c>
      <c r="ES625" s="2132"/>
      <c r="ET625" s="2132"/>
      <c r="EU625" s="2132"/>
      <c r="EV625" s="2133"/>
      <c r="EW625" s="2131" t="str">
        <f t="shared" si="21"/>
        <v xml:space="preserve"> </v>
      </c>
      <c r="EX625" s="2132"/>
      <c r="EY625" s="2132"/>
      <c r="EZ625" s="2132"/>
      <c r="FA625" s="2133"/>
    </row>
    <row r="626" spans="1:157" ht="12.75">
      <c r="AZ626" s="58"/>
      <c r="BA626" s="58"/>
      <c r="BB626" s="58"/>
      <c r="BC626" s="58"/>
      <c r="BD626" s="58"/>
      <c r="BE626" s="2131">
        <f t="shared" si="0"/>
        <v>0</v>
      </c>
      <c r="BF626" s="2133"/>
      <c r="BG626" s="2523">
        <f t="shared" si="1"/>
        <v>0</v>
      </c>
      <c r="BH626" s="2524"/>
      <c r="BI626" s="2131">
        <f t="shared" si="2"/>
        <v>0</v>
      </c>
      <c r="BJ626" s="2133"/>
      <c r="BK626" s="2523">
        <f t="shared" si="3"/>
        <v>0</v>
      </c>
      <c r="BL626" s="2524"/>
      <c r="BM626" s="58"/>
      <c r="BN626" s="2032">
        <f t="shared" si="4"/>
        <v>0</v>
      </c>
      <c r="BO626" s="2033"/>
      <c r="BP626" s="2033"/>
      <c r="BQ626" s="2033"/>
      <c r="BR626" s="2034"/>
      <c r="BS626" s="2128">
        <f t="shared" si="5"/>
        <v>0</v>
      </c>
      <c r="BT626" s="2128"/>
      <c r="BU626" s="2128"/>
      <c r="BV626" s="2128"/>
      <c r="BW626" s="2128"/>
      <c r="BX626" s="2128">
        <f t="shared" si="6"/>
        <v>0</v>
      </c>
      <c r="BY626" s="2128"/>
      <c r="BZ626" s="2128"/>
      <c r="CA626" s="2128"/>
      <c r="CB626" s="2128"/>
      <c r="CC626" s="2128">
        <f t="shared" si="7"/>
        <v>0</v>
      </c>
      <c r="CD626" s="2128"/>
      <c r="CE626" s="2128"/>
      <c r="CF626" s="2128"/>
      <c r="CG626" s="2128"/>
      <c r="CH626" s="2128">
        <f t="shared" si="8"/>
        <v>0</v>
      </c>
      <c r="CI626" s="2128"/>
      <c r="CJ626" s="2128"/>
      <c r="CK626" s="2128"/>
      <c r="CL626" s="2128"/>
      <c r="CM626" s="2128">
        <f t="shared" si="9"/>
        <v>0</v>
      </c>
      <c r="CN626" s="2128"/>
      <c r="CO626" s="2128"/>
      <c r="CP626" s="2128"/>
      <c r="CQ626" s="2128"/>
      <c r="CR626" s="265"/>
      <c r="CS626" s="2109">
        <f t="shared" si="10"/>
        <v>0</v>
      </c>
      <c r="CT626" s="2109"/>
      <c r="CU626" s="2109"/>
      <c r="CV626" s="2109"/>
      <c r="CW626" s="2109"/>
      <c r="CX626" s="2109">
        <f t="shared" si="11"/>
        <v>0</v>
      </c>
      <c r="CY626" s="2109"/>
      <c r="CZ626" s="2109"/>
      <c r="DA626" s="2109"/>
      <c r="DB626" s="2109"/>
      <c r="DC626" s="2109">
        <f t="shared" si="12"/>
        <v>0</v>
      </c>
      <c r="DD626" s="2109"/>
      <c r="DE626" s="2109"/>
      <c r="DF626" s="2109"/>
      <c r="DG626" s="2109"/>
      <c r="DH626" s="2109">
        <f t="shared" si="13"/>
        <v>0</v>
      </c>
      <c r="DI626" s="2109"/>
      <c r="DJ626" s="2109"/>
      <c r="DK626" s="2109"/>
      <c r="DL626" s="2109"/>
      <c r="DM626" s="2109">
        <f t="shared" si="14"/>
        <v>0</v>
      </c>
      <c r="DN626" s="2109"/>
      <c r="DO626" s="2109"/>
      <c r="DP626" s="2109"/>
      <c r="DQ626" s="2109"/>
      <c r="DR626" s="2109">
        <f t="shared" si="15"/>
        <v>0</v>
      </c>
      <c r="DS626" s="2109"/>
      <c r="DT626" s="2109"/>
      <c r="DU626" s="2109"/>
      <c r="DV626" s="2109"/>
      <c r="DX626" s="2131" t="str">
        <f t="shared" si="16"/>
        <v xml:space="preserve"> </v>
      </c>
      <c r="DY626" s="2132"/>
      <c r="DZ626" s="2132"/>
      <c r="EA626" s="2132"/>
      <c r="EB626" s="2133"/>
      <c r="EC626" s="2131" t="str">
        <f t="shared" si="17"/>
        <v xml:space="preserve"> </v>
      </c>
      <c r="ED626" s="2132"/>
      <c r="EE626" s="2132"/>
      <c r="EF626" s="2132"/>
      <c r="EG626" s="2133"/>
      <c r="EH626" s="2131" t="str">
        <f t="shared" si="18"/>
        <v xml:space="preserve"> </v>
      </c>
      <c r="EI626" s="2132"/>
      <c r="EJ626" s="2132"/>
      <c r="EK626" s="2132"/>
      <c r="EL626" s="2133"/>
      <c r="EM626" s="2131" t="str">
        <f t="shared" si="19"/>
        <v xml:space="preserve"> </v>
      </c>
      <c r="EN626" s="2132"/>
      <c r="EO626" s="2132"/>
      <c r="EP626" s="2132"/>
      <c r="EQ626" s="2133"/>
      <c r="ER626" s="2131" t="str">
        <f t="shared" si="20"/>
        <v xml:space="preserve"> </v>
      </c>
      <c r="ES626" s="2132"/>
      <c r="ET626" s="2132"/>
      <c r="EU626" s="2132"/>
      <c r="EV626" s="2133"/>
      <c r="EW626" s="2131" t="str">
        <f t="shared" si="21"/>
        <v xml:space="preserve"> </v>
      </c>
      <c r="EX626" s="2132"/>
      <c r="EY626" s="2132"/>
      <c r="EZ626" s="2132"/>
      <c r="FA626" s="2133"/>
    </row>
    <row r="627" spans="1:157" ht="12.75" customHeight="1">
      <c r="A627" s="1865" t="s">
        <v>577</v>
      </c>
      <c r="B627" s="1865"/>
      <c r="C627" s="1865"/>
      <c r="D627" s="1865"/>
      <c r="E627" s="1865"/>
      <c r="F627" s="1865"/>
      <c r="G627" s="1865"/>
      <c r="H627" s="1865"/>
      <c r="I627" s="1865"/>
      <c r="J627" s="1865"/>
      <c r="K627" s="1865"/>
      <c r="L627" s="1865"/>
      <c r="M627" s="1865"/>
      <c r="N627" s="1865"/>
      <c r="O627" s="1865"/>
      <c r="P627" s="1865"/>
      <c r="Q627" s="1865"/>
      <c r="R627" s="1865"/>
      <c r="S627" s="1865"/>
      <c r="T627" s="1865"/>
      <c r="U627" s="1865"/>
      <c r="V627" s="1865"/>
      <c r="W627" s="1865"/>
      <c r="X627" s="1865"/>
      <c r="Y627" s="1865"/>
      <c r="Z627" s="1865"/>
      <c r="AA627" s="1865"/>
      <c r="AB627" s="1865"/>
      <c r="AC627" s="1865"/>
      <c r="AD627" s="1865"/>
      <c r="AE627" s="1865"/>
      <c r="AF627" s="1865"/>
      <c r="AG627" s="1865"/>
      <c r="AH627" s="1865"/>
      <c r="AI627" s="1865"/>
      <c r="AJ627" s="1865"/>
      <c r="AK627" s="1865"/>
      <c r="AL627" s="1865"/>
      <c r="AM627" s="1865"/>
      <c r="AN627" s="1865"/>
      <c r="AO627" s="1865"/>
      <c r="AP627" s="1865"/>
      <c r="AQ627" s="1865"/>
      <c r="AR627" s="1865"/>
      <c r="AS627" s="1865"/>
      <c r="AT627" s="1574"/>
      <c r="AU627" s="1574"/>
      <c r="AV627" s="1574"/>
      <c r="AW627" s="1574"/>
      <c r="AX627" s="1574"/>
      <c r="AY627" s="1574"/>
      <c r="AZ627" s="58"/>
      <c r="BA627" s="58"/>
      <c r="BB627" s="58"/>
      <c r="BC627" s="58"/>
      <c r="BD627" s="58"/>
      <c r="BE627" s="2131">
        <f t="shared" si="0"/>
        <v>0</v>
      </c>
      <c r="BF627" s="2133"/>
      <c r="BG627" s="2523">
        <f t="shared" si="1"/>
        <v>0</v>
      </c>
      <c r="BH627" s="2524"/>
      <c r="BI627" s="2131">
        <f t="shared" si="2"/>
        <v>0</v>
      </c>
      <c r="BJ627" s="2133"/>
      <c r="BK627" s="2523">
        <f t="shared" si="3"/>
        <v>0</v>
      </c>
      <c r="BL627" s="2524"/>
      <c r="BM627" s="58"/>
      <c r="BN627" s="2032">
        <f t="shared" si="4"/>
        <v>0</v>
      </c>
      <c r="BO627" s="2033"/>
      <c r="BP627" s="2033"/>
      <c r="BQ627" s="2033"/>
      <c r="BR627" s="2034"/>
      <c r="BS627" s="2128">
        <f t="shared" si="5"/>
        <v>0</v>
      </c>
      <c r="BT627" s="2128"/>
      <c r="BU627" s="2128"/>
      <c r="BV627" s="2128"/>
      <c r="BW627" s="2128"/>
      <c r="BX627" s="2128">
        <f t="shared" si="6"/>
        <v>0</v>
      </c>
      <c r="BY627" s="2128"/>
      <c r="BZ627" s="2128"/>
      <c r="CA627" s="2128"/>
      <c r="CB627" s="2128"/>
      <c r="CC627" s="2128">
        <f t="shared" si="7"/>
        <v>0</v>
      </c>
      <c r="CD627" s="2128"/>
      <c r="CE627" s="2128"/>
      <c r="CF627" s="2128"/>
      <c r="CG627" s="2128"/>
      <c r="CH627" s="2128">
        <f t="shared" si="8"/>
        <v>0</v>
      </c>
      <c r="CI627" s="2128"/>
      <c r="CJ627" s="2128"/>
      <c r="CK627" s="2128"/>
      <c r="CL627" s="2128"/>
      <c r="CM627" s="2128">
        <f t="shared" si="9"/>
        <v>0</v>
      </c>
      <c r="CN627" s="2128"/>
      <c r="CO627" s="2128"/>
      <c r="CP627" s="2128"/>
      <c r="CQ627" s="2128"/>
      <c r="CR627" s="265"/>
      <c r="CS627" s="2109">
        <f t="shared" si="10"/>
        <v>0</v>
      </c>
      <c r="CT627" s="2109"/>
      <c r="CU627" s="2109"/>
      <c r="CV627" s="2109"/>
      <c r="CW627" s="2109"/>
      <c r="CX627" s="2109">
        <f t="shared" si="11"/>
        <v>0</v>
      </c>
      <c r="CY627" s="2109"/>
      <c r="CZ627" s="2109"/>
      <c r="DA627" s="2109"/>
      <c r="DB627" s="2109"/>
      <c r="DC627" s="2109">
        <f t="shared" si="12"/>
        <v>0</v>
      </c>
      <c r="DD627" s="2109"/>
      <c r="DE627" s="2109"/>
      <c r="DF627" s="2109"/>
      <c r="DG627" s="2109"/>
      <c r="DH627" s="2109">
        <f t="shared" si="13"/>
        <v>0</v>
      </c>
      <c r="DI627" s="2109"/>
      <c r="DJ627" s="2109"/>
      <c r="DK627" s="2109"/>
      <c r="DL627" s="2109"/>
      <c r="DM627" s="2109">
        <f t="shared" si="14"/>
        <v>0</v>
      </c>
      <c r="DN627" s="2109"/>
      <c r="DO627" s="2109"/>
      <c r="DP627" s="2109"/>
      <c r="DQ627" s="2109"/>
      <c r="DR627" s="2109">
        <f t="shared" si="15"/>
        <v>0</v>
      </c>
      <c r="DS627" s="2109"/>
      <c r="DT627" s="2109"/>
      <c r="DU627" s="2109"/>
      <c r="DV627" s="2109"/>
      <c r="DX627" s="2131" t="str">
        <f t="shared" si="16"/>
        <v xml:space="preserve"> </v>
      </c>
      <c r="DY627" s="2132"/>
      <c r="DZ627" s="2132"/>
      <c r="EA627" s="2132"/>
      <c r="EB627" s="2133"/>
      <c r="EC627" s="2131" t="str">
        <f t="shared" si="17"/>
        <v xml:space="preserve"> </v>
      </c>
      <c r="ED627" s="2132"/>
      <c r="EE627" s="2132"/>
      <c r="EF627" s="2132"/>
      <c r="EG627" s="2133"/>
      <c r="EH627" s="2131" t="str">
        <f t="shared" si="18"/>
        <v xml:space="preserve"> </v>
      </c>
      <c r="EI627" s="2132"/>
      <c r="EJ627" s="2132"/>
      <c r="EK627" s="2132"/>
      <c r="EL627" s="2133"/>
      <c r="EM627" s="2131" t="str">
        <f t="shared" si="19"/>
        <v xml:space="preserve"> </v>
      </c>
      <c r="EN627" s="2132"/>
      <c r="EO627" s="2132"/>
      <c r="EP627" s="2132"/>
      <c r="EQ627" s="2133"/>
      <c r="ER627" s="2131" t="str">
        <f t="shared" si="20"/>
        <v xml:space="preserve"> </v>
      </c>
      <c r="ES627" s="2132"/>
      <c r="ET627" s="2132"/>
      <c r="EU627" s="2132"/>
      <c r="EV627" s="2133"/>
      <c r="EW627" s="2131" t="str">
        <f t="shared" si="21"/>
        <v xml:space="preserve"> </v>
      </c>
      <c r="EX627" s="2132"/>
      <c r="EY627" s="2132"/>
      <c r="EZ627" s="2132"/>
      <c r="FA627" s="2133"/>
    </row>
    <row r="628" spans="1:157" ht="12.75">
      <c r="A628" s="1865"/>
      <c r="B628" s="1865"/>
      <c r="C628" s="1865"/>
      <c r="D628" s="1865"/>
      <c r="E628" s="1865"/>
      <c r="F628" s="1865"/>
      <c r="G628" s="1865"/>
      <c r="H628" s="1865"/>
      <c r="I628" s="1865"/>
      <c r="J628" s="1865"/>
      <c r="K628" s="1865"/>
      <c r="L628" s="1865"/>
      <c r="M628" s="1865"/>
      <c r="N628" s="1865"/>
      <c r="O628" s="1865"/>
      <c r="P628" s="1865"/>
      <c r="Q628" s="1865"/>
      <c r="R628" s="1865"/>
      <c r="S628" s="1865"/>
      <c r="T628" s="1865"/>
      <c r="U628" s="1865"/>
      <c r="V628" s="1865"/>
      <c r="W628" s="1865"/>
      <c r="X628" s="1865"/>
      <c r="Y628" s="1865"/>
      <c r="Z628" s="1865"/>
      <c r="AA628" s="1865"/>
      <c r="AB628" s="1865"/>
      <c r="AC628" s="1865"/>
      <c r="AD628" s="1865"/>
      <c r="AE628" s="1865"/>
      <c r="AF628" s="1865"/>
      <c r="AG628" s="1865"/>
      <c r="AH628" s="1865"/>
      <c r="AI628" s="1865"/>
      <c r="AJ628" s="1865"/>
      <c r="AK628" s="1865"/>
      <c r="AL628" s="1865"/>
      <c r="AM628" s="1865"/>
      <c r="AN628" s="1865"/>
      <c r="AO628" s="1865"/>
      <c r="AP628" s="1865"/>
      <c r="AQ628" s="1865"/>
      <c r="AR628" s="1865"/>
      <c r="AS628" s="1865"/>
      <c r="AT628" s="1574"/>
      <c r="AU628" s="1574"/>
      <c r="AV628" s="1574"/>
      <c r="AW628" s="1574"/>
      <c r="AX628" s="1574"/>
      <c r="AY628" s="1574"/>
      <c r="AZ628" s="58"/>
      <c r="BA628" s="58"/>
      <c r="BB628" s="58"/>
      <c r="BC628" s="58"/>
      <c r="BD628" s="58"/>
      <c r="BE628" s="2131">
        <f t="shared" si="0"/>
        <v>0</v>
      </c>
      <c r="BF628" s="2133"/>
      <c r="BG628" s="2523">
        <f t="shared" si="1"/>
        <v>0</v>
      </c>
      <c r="BH628" s="2524"/>
      <c r="BI628" s="2131">
        <f t="shared" si="2"/>
        <v>0</v>
      </c>
      <c r="BJ628" s="2133"/>
      <c r="BK628" s="2523">
        <f t="shared" si="3"/>
        <v>0</v>
      </c>
      <c r="BL628" s="2524"/>
      <c r="BM628" s="58"/>
      <c r="BN628" s="2032">
        <f t="shared" si="4"/>
        <v>0</v>
      </c>
      <c r="BO628" s="2033"/>
      <c r="BP628" s="2033"/>
      <c r="BQ628" s="2033"/>
      <c r="BR628" s="2034"/>
      <c r="BS628" s="2128">
        <f t="shared" si="5"/>
        <v>0</v>
      </c>
      <c r="BT628" s="2128"/>
      <c r="BU628" s="2128"/>
      <c r="BV628" s="2128"/>
      <c r="BW628" s="2128"/>
      <c r="BX628" s="2128">
        <f t="shared" si="6"/>
        <v>0</v>
      </c>
      <c r="BY628" s="2128"/>
      <c r="BZ628" s="2128"/>
      <c r="CA628" s="2128"/>
      <c r="CB628" s="2128"/>
      <c r="CC628" s="2128">
        <f t="shared" si="7"/>
        <v>0</v>
      </c>
      <c r="CD628" s="2128"/>
      <c r="CE628" s="2128"/>
      <c r="CF628" s="2128"/>
      <c r="CG628" s="2128"/>
      <c r="CH628" s="2128">
        <f t="shared" si="8"/>
        <v>0</v>
      </c>
      <c r="CI628" s="2128"/>
      <c r="CJ628" s="2128"/>
      <c r="CK628" s="2128"/>
      <c r="CL628" s="2128"/>
      <c r="CM628" s="2128">
        <f t="shared" si="9"/>
        <v>0</v>
      </c>
      <c r="CN628" s="2128"/>
      <c r="CO628" s="2128"/>
      <c r="CP628" s="2128"/>
      <c r="CQ628" s="2128"/>
      <c r="CR628" s="265"/>
      <c r="CS628" s="2109">
        <f t="shared" si="10"/>
        <v>0</v>
      </c>
      <c r="CT628" s="2109"/>
      <c r="CU628" s="2109"/>
      <c r="CV628" s="2109"/>
      <c r="CW628" s="2109"/>
      <c r="CX628" s="2109">
        <f t="shared" si="11"/>
        <v>0</v>
      </c>
      <c r="CY628" s="2109"/>
      <c r="CZ628" s="2109"/>
      <c r="DA628" s="2109"/>
      <c r="DB628" s="2109"/>
      <c r="DC628" s="2109">
        <f t="shared" si="12"/>
        <v>0</v>
      </c>
      <c r="DD628" s="2109"/>
      <c r="DE628" s="2109"/>
      <c r="DF628" s="2109"/>
      <c r="DG628" s="2109"/>
      <c r="DH628" s="2109">
        <f t="shared" si="13"/>
        <v>0</v>
      </c>
      <c r="DI628" s="2109"/>
      <c r="DJ628" s="2109"/>
      <c r="DK628" s="2109"/>
      <c r="DL628" s="2109"/>
      <c r="DM628" s="2109">
        <f t="shared" si="14"/>
        <v>0</v>
      </c>
      <c r="DN628" s="2109"/>
      <c r="DO628" s="2109"/>
      <c r="DP628" s="2109"/>
      <c r="DQ628" s="2109"/>
      <c r="DR628" s="2109">
        <f t="shared" si="15"/>
        <v>0</v>
      </c>
      <c r="DS628" s="2109"/>
      <c r="DT628" s="2109"/>
      <c r="DU628" s="2109"/>
      <c r="DV628" s="2109"/>
      <c r="DX628" s="2131" t="str">
        <f t="shared" si="16"/>
        <v xml:space="preserve"> </v>
      </c>
      <c r="DY628" s="2132"/>
      <c r="DZ628" s="2132"/>
      <c r="EA628" s="2132"/>
      <c r="EB628" s="2133"/>
      <c r="EC628" s="2131" t="str">
        <f t="shared" si="17"/>
        <v xml:space="preserve"> </v>
      </c>
      <c r="ED628" s="2132"/>
      <c r="EE628" s="2132"/>
      <c r="EF628" s="2132"/>
      <c r="EG628" s="2133"/>
      <c r="EH628" s="2131" t="str">
        <f t="shared" si="18"/>
        <v xml:space="preserve"> </v>
      </c>
      <c r="EI628" s="2132"/>
      <c r="EJ628" s="2132"/>
      <c r="EK628" s="2132"/>
      <c r="EL628" s="2133"/>
      <c r="EM628" s="2131" t="str">
        <f t="shared" si="19"/>
        <v xml:space="preserve"> </v>
      </c>
      <c r="EN628" s="2132"/>
      <c r="EO628" s="2132"/>
      <c r="EP628" s="2132"/>
      <c r="EQ628" s="2133"/>
      <c r="ER628" s="2131" t="str">
        <f t="shared" si="20"/>
        <v xml:space="preserve"> </v>
      </c>
      <c r="ES628" s="2132"/>
      <c r="ET628" s="2132"/>
      <c r="EU628" s="2132"/>
      <c r="EV628" s="2133"/>
      <c r="EW628" s="2131" t="str">
        <f t="shared" si="21"/>
        <v xml:space="preserve"> </v>
      </c>
      <c r="EX628" s="2132"/>
      <c r="EY628" s="2132"/>
      <c r="EZ628" s="2132"/>
      <c r="FA628" s="2133"/>
    </row>
    <row r="629" spans="1:157" ht="12.75">
      <c r="A629" s="25"/>
      <c r="B629" s="25"/>
      <c r="C629" s="25"/>
      <c r="D629" s="25"/>
      <c r="E629" s="25"/>
      <c r="F629" s="25"/>
      <c r="G629" s="3"/>
      <c r="H629" s="25"/>
      <c r="AZ629" s="58"/>
      <c r="BA629" s="58"/>
      <c r="BB629" s="58"/>
      <c r="BC629" s="58"/>
      <c r="BD629" s="58"/>
      <c r="BE629" s="2131">
        <f t="shared" si="0"/>
        <v>0</v>
      </c>
      <c r="BF629" s="2133"/>
      <c r="BG629" s="2523">
        <f t="shared" si="1"/>
        <v>0</v>
      </c>
      <c r="BH629" s="2524"/>
      <c r="BI629" s="2131">
        <f t="shared" si="2"/>
        <v>0</v>
      </c>
      <c r="BJ629" s="2133"/>
      <c r="BK629" s="2523">
        <f t="shared" si="3"/>
        <v>0</v>
      </c>
      <c r="BL629" s="2524"/>
      <c r="BM629" s="58"/>
      <c r="BN629" s="2032">
        <f t="shared" si="4"/>
        <v>0</v>
      </c>
      <c r="BO629" s="2033"/>
      <c r="BP629" s="2033"/>
      <c r="BQ629" s="2033"/>
      <c r="BR629" s="2034"/>
      <c r="BS629" s="2128">
        <f t="shared" si="5"/>
        <v>0</v>
      </c>
      <c r="BT629" s="2128"/>
      <c r="BU629" s="2128"/>
      <c r="BV629" s="2128"/>
      <c r="BW629" s="2128"/>
      <c r="BX629" s="2128">
        <f t="shared" si="6"/>
        <v>0</v>
      </c>
      <c r="BY629" s="2128"/>
      <c r="BZ629" s="2128"/>
      <c r="CA629" s="2128"/>
      <c r="CB629" s="2128"/>
      <c r="CC629" s="2128">
        <f t="shared" si="7"/>
        <v>0</v>
      </c>
      <c r="CD629" s="2128"/>
      <c r="CE629" s="2128"/>
      <c r="CF629" s="2128"/>
      <c r="CG629" s="2128"/>
      <c r="CH629" s="2128">
        <f t="shared" si="8"/>
        <v>0</v>
      </c>
      <c r="CI629" s="2128"/>
      <c r="CJ629" s="2128"/>
      <c r="CK629" s="2128"/>
      <c r="CL629" s="2128"/>
      <c r="CM629" s="2128">
        <f t="shared" si="9"/>
        <v>0</v>
      </c>
      <c r="CN629" s="2128"/>
      <c r="CO629" s="2128"/>
      <c r="CP629" s="2128"/>
      <c r="CQ629" s="2128"/>
      <c r="CR629" s="265"/>
      <c r="CS629" s="2109">
        <f t="shared" si="10"/>
        <v>0</v>
      </c>
      <c r="CT629" s="2109"/>
      <c r="CU629" s="2109"/>
      <c r="CV629" s="2109"/>
      <c r="CW629" s="2109"/>
      <c r="CX629" s="2109">
        <f t="shared" si="11"/>
        <v>0</v>
      </c>
      <c r="CY629" s="2109"/>
      <c r="CZ629" s="2109"/>
      <c r="DA629" s="2109"/>
      <c r="DB629" s="2109"/>
      <c r="DC629" s="2109">
        <f t="shared" si="12"/>
        <v>0</v>
      </c>
      <c r="DD629" s="2109"/>
      <c r="DE629" s="2109"/>
      <c r="DF629" s="2109"/>
      <c r="DG629" s="2109"/>
      <c r="DH629" s="2109">
        <f t="shared" si="13"/>
        <v>0</v>
      </c>
      <c r="DI629" s="2109"/>
      <c r="DJ629" s="2109"/>
      <c r="DK629" s="2109"/>
      <c r="DL629" s="2109"/>
      <c r="DM629" s="2109">
        <f t="shared" si="14"/>
        <v>0</v>
      </c>
      <c r="DN629" s="2109"/>
      <c r="DO629" s="2109"/>
      <c r="DP629" s="2109"/>
      <c r="DQ629" s="2109"/>
      <c r="DR629" s="2109">
        <f t="shared" si="15"/>
        <v>0</v>
      </c>
      <c r="DS629" s="2109"/>
      <c r="DT629" s="2109"/>
      <c r="DU629" s="2109"/>
      <c r="DV629" s="2109"/>
      <c r="DX629" s="2131" t="str">
        <f t="shared" si="16"/>
        <v xml:space="preserve"> </v>
      </c>
      <c r="DY629" s="2132"/>
      <c r="DZ629" s="2132"/>
      <c r="EA629" s="2132"/>
      <c r="EB629" s="2133"/>
      <c r="EC629" s="2131" t="str">
        <f t="shared" si="17"/>
        <v xml:space="preserve"> </v>
      </c>
      <c r="ED629" s="2132"/>
      <c r="EE629" s="2132"/>
      <c r="EF629" s="2132"/>
      <c r="EG629" s="2133"/>
      <c r="EH629" s="2131" t="str">
        <f t="shared" si="18"/>
        <v xml:space="preserve"> </v>
      </c>
      <c r="EI629" s="2132"/>
      <c r="EJ629" s="2132"/>
      <c r="EK629" s="2132"/>
      <c r="EL629" s="2133"/>
      <c r="EM629" s="2131" t="str">
        <f t="shared" si="19"/>
        <v xml:space="preserve"> </v>
      </c>
      <c r="EN629" s="2132"/>
      <c r="EO629" s="2132"/>
      <c r="EP629" s="2132"/>
      <c r="EQ629" s="2133"/>
      <c r="ER629" s="2131" t="str">
        <f t="shared" si="20"/>
        <v xml:space="preserve"> </v>
      </c>
      <c r="ES629" s="2132"/>
      <c r="ET629" s="2132"/>
      <c r="EU629" s="2132"/>
      <c r="EV629" s="2133"/>
      <c r="EW629" s="2131" t="str">
        <f t="shared" si="21"/>
        <v xml:space="preserve"> </v>
      </c>
      <c r="EX629" s="2132"/>
      <c r="EY629" s="2132"/>
      <c r="EZ629" s="2132"/>
      <c r="FA629" s="2133"/>
    </row>
    <row r="630" spans="1:157" ht="12.75">
      <c r="A630" s="50" t="s">
        <v>329</v>
      </c>
      <c r="B630" s="50"/>
      <c r="C630" s="50" t="s">
        <v>21</v>
      </c>
      <c r="AZ630" s="58"/>
      <c r="BA630" s="58"/>
      <c r="BB630" s="58"/>
      <c r="BC630" s="58"/>
      <c r="BD630" s="58"/>
      <c r="BE630" s="2131">
        <f t="shared" si="0"/>
        <v>0</v>
      </c>
      <c r="BF630" s="2133"/>
      <c r="BG630" s="2523">
        <f t="shared" si="1"/>
        <v>0</v>
      </c>
      <c r="BH630" s="2524"/>
      <c r="BI630" s="2131">
        <f t="shared" si="2"/>
        <v>0</v>
      </c>
      <c r="BJ630" s="2133"/>
      <c r="BK630" s="2523">
        <f t="shared" si="3"/>
        <v>0</v>
      </c>
      <c r="BL630" s="2524"/>
      <c r="BM630" s="58"/>
      <c r="BN630" s="2032">
        <f t="shared" si="4"/>
        <v>0</v>
      </c>
      <c r="BO630" s="2033"/>
      <c r="BP630" s="2033"/>
      <c r="BQ630" s="2033"/>
      <c r="BR630" s="2034"/>
      <c r="BS630" s="2128">
        <f t="shared" si="5"/>
        <v>0</v>
      </c>
      <c r="BT630" s="2128"/>
      <c r="BU630" s="2128"/>
      <c r="BV630" s="2128"/>
      <c r="BW630" s="2128"/>
      <c r="BX630" s="2128">
        <f t="shared" si="6"/>
        <v>0</v>
      </c>
      <c r="BY630" s="2128"/>
      <c r="BZ630" s="2128"/>
      <c r="CA630" s="2128"/>
      <c r="CB630" s="2128"/>
      <c r="CC630" s="2128">
        <f t="shared" si="7"/>
        <v>0</v>
      </c>
      <c r="CD630" s="2128"/>
      <c r="CE630" s="2128"/>
      <c r="CF630" s="2128"/>
      <c r="CG630" s="2128"/>
      <c r="CH630" s="2128">
        <f t="shared" si="8"/>
        <v>0</v>
      </c>
      <c r="CI630" s="2128"/>
      <c r="CJ630" s="2128"/>
      <c r="CK630" s="2128"/>
      <c r="CL630" s="2128"/>
      <c r="CM630" s="2128">
        <f t="shared" si="9"/>
        <v>0</v>
      </c>
      <c r="CN630" s="2128"/>
      <c r="CO630" s="2128"/>
      <c r="CP630" s="2128"/>
      <c r="CQ630" s="2128"/>
      <c r="CR630" s="265"/>
      <c r="CS630" s="2109">
        <f t="shared" si="10"/>
        <v>0</v>
      </c>
      <c r="CT630" s="2109"/>
      <c r="CU630" s="2109"/>
      <c r="CV630" s="2109"/>
      <c r="CW630" s="2109"/>
      <c r="CX630" s="2109">
        <f t="shared" si="11"/>
        <v>0</v>
      </c>
      <c r="CY630" s="2109"/>
      <c r="CZ630" s="2109"/>
      <c r="DA630" s="2109"/>
      <c r="DB630" s="2109"/>
      <c r="DC630" s="2109">
        <f t="shared" si="12"/>
        <v>0</v>
      </c>
      <c r="DD630" s="2109"/>
      <c r="DE630" s="2109"/>
      <c r="DF630" s="2109"/>
      <c r="DG630" s="2109"/>
      <c r="DH630" s="2109">
        <f t="shared" si="13"/>
        <v>0</v>
      </c>
      <c r="DI630" s="2109"/>
      <c r="DJ630" s="2109"/>
      <c r="DK630" s="2109"/>
      <c r="DL630" s="2109"/>
      <c r="DM630" s="2109">
        <f t="shared" si="14"/>
        <v>0</v>
      </c>
      <c r="DN630" s="2109"/>
      <c r="DO630" s="2109"/>
      <c r="DP630" s="2109"/>
      <c r="DQ630" s="2109"/>
      <c r="DR630" s="2109">
        <f t="shared" si="15"/>
        <v>0</v>
      </c>
      <c r="DS630" s="2109"/>
      <c r="DT630" s="2109"/>
      <c r="DU630" s="2109"/>
      <c r="DV630" s="2109"/>
      <c r="DX630" s="2131" t="str">
        <f t="shared" si="16"/>
        <v xml:space="preserve"> </v>
      </c>
      <c r="DY630" s="2132"/>
      <c r="DZ630" s="2132"/>
      <c r="EA630" s="2132"/>
      <c r="EB630" s="2133"/>
      <c r="EC630" s="2131" t="str">
        <f t="shared" si="17"/>
        <v xml:space="preserve"> </v>
      </c>
      <c r="ED630" s="2132"/>
      <c r="EE630" s="2132"/>
      <c r="EF630" s="2132"/>
      <c r="EG630" s="2133"/>
      <c r="EH630" s="2131" t="str">
        <f t="shared" si="18"/>
        <v xml:space="preserve"> </v>
      </c>
      <c r="EI630" s="2132"/>
      <c r="EJ630" s="2132"/>
      <c r="EK630" s="2132"/>
      <c r="EL630" s="2133"/>
      <c r="EM630" s="2131" t="str">
        <f t="shared" si="19"/>
        <v xml:space="preserve"> </v>
      </c>
      <c r="EN630" s="2132"/>
      <c r="EO630" s="2132"/>
      <c r="EP630" s="2132"/>
      <c r="EQ630" s="2133"/>
      <c r="ER630" s="2131" t="str">
        <f t="shared" si="20"/>
        <v xml:space="preserve"> </v>
      </c>
      <c r="ES630" s="2132"/>
      <c r="ET630" s="2132"/>
      <c r="EU630" s="2132"/>
      <c r="EV630" s="2133"/>
      <c r="EW630" s="2131" t="str">
        <f t="shared" si="21"/>
        <v xml:space="preserve"> </v>
      </c>
      <c r="EX630" s="2132"/>
      <c r="EY630" s="2132"/>
      <c r="EZ630" s="2132"/>
      <c r="FA630" s="2133"/>
    </row>
    <row r="631" spans="1:157" ht="12.75">
      <c r="A631" s="50"/>
      <c r="B631" s="50"/>
      <c r="C631" s="50"/>
      <c r="AZ631" s="58"/>
      <c r="BA631" s="58"/>
      <c r="BB631" s="58"/>
      <c r="BC631" s="58"/>
      <c r="BD631" s="58"/>
      <c r="BE631" s="2131">
        <f t="shared" si="0"/>
        <v>0</v>
      </c>
      <c r="BF631" s="2133"/>
      <c r="BG631" s="2523">
        <f t="shared" si="1"/>
        <v>0</v>
      </c>
      <c r="BH631" s="2524"/>
      <c r="BI631" s="2131">
        <f t="shared" si="2"/>
        <v>0</v>
      </c>
      <c r="BJ631" s="2133"/>
      <c r="BK631" s="2523">
        <f t="shared" si="3"/>
        <v>0</v>
      </c>
      <c r="BL631" s="2524"/>
      <c r="BM631" s="58"/>
      <c r="BN631" s="2032">
        <f t="shared" si="4"/>
        <v>0</v>
      </c>
      <c r="BO631" s="2033"/>
      <c r="BP631" s="2033"/>
      <c r="BQ631" s="2033"/>
      <c r="BR631" s="2034"/>
      <c r="BS631" s="2128">
        <f t="shared" si="5"/>
        <v>0</v>
      </c>
      <c r="BT631" s="2128"/>
      <c r="BU631" s="2128"/>
      <c r="BV631" s="2128"/>
      <c r="BW631" s="2128"/>
      <c r="BX631" s="2128">
        <f t="shared" si="6"/>
        <v>0</v>
      </c>
      <c r="BY631" s="2128"/>
      <c r="BZ631" s="2128"/>
      <c r="CA631" s="2128"/>
      <c r="CB631" s="2128"/>
      <c r="CC631" s="2128">
        <f t="shared" si="7"/>
        <v>0</v>
      </c>
      <c r="CD631" s="2128"/>
      <c r="CE631" s="2128"/>
      <c r="CF631" s="2128"/>
      <c r="CG631" s="2128"/>
      <c r="CH631" s="2128">
        <f t="shared" si="8"/>
        <v>0</v>
      </c>
      <c r="CI631" s="2128"/>
      <c r="CJ631" s="2128"/>
      <c r="CK631" s="2128"/>
      <c r="CL631" s="2128"/>
      <c r="CM631" s="2128">
        <f t="shared" si="9"/>
        <v>0</v>
      </c>
      <c r="CN631" s="2128"/>
      <c r="CO631" s="2128"/>
      <c r="CP631" s="2128"/>
      <c r="CQ631" s="2128"/>
      <c r="CR631" s="265"/>
      <c r="CS631" s="2109">
        <f t="shared" si="10"/>
        <v>0</v>
      </c>
      <c r="CT631" s="2109"/>
      <c r="CU631" s="2109"/>
      <c r="CV631" s="2109"/>
      <c r="CW631" s="2109"/>
      <c r="CX631" s="2109">
        <f t="shared" si="11"/>
        <v>0</v>
      </c>
      <c r="CY631" s="2109"/>
      <c r="CZ631" s="2109"/>
      <c r="DA631" s="2109"/>
      <c r="DB631" s="2109"/>
      <c r="DC631" s="2109">
        <f t="shared" si="12"/>
        <v>0</v>
      </c>
      <c r="DD631" s="2109"/>
      <c r="DE631" s="2109"/>
      <c r="DF631" s="2109"/>
      <c r="DG631" s="2109"/>
      <c r="DH631" s="2109">
        <f t="shared" si="13"/>
        <v>0</v>
      </c>
      <c r="DI631" s="2109"/>
      <c r="DJ631" s="2109"/>
      <c r="DK631" s="2109"/>
      <c r="DL631" s="2109"/>
      <c r="DM631" s="2109">
        <f t="shared" si="14"/>
        <v>0</v>
      </c>
      <c r="DN631" s="2109"/>
      <c r="DO631" s="2109"/>
      <c r="DP631" s="2109"/>
      <c r="DQ631" s="2109"/>
      <c r="DR631" s="2109">
        <f t="shared" si="15"/>
        <v>0</v>
      </c>
      <c r="DS631" s="2109"/>
      <c r="DT631" s="2109"/>
      <c r="DU631" s="2109"/>
      <c r="DV631" s="2109"/>
      <c r="DX631" s="2131" t="str">
        <f t="shared" si="16"/>
        <v xml:space="preserve"> </v>
      </c>
      <c r="DY631" s="2132"/>
      <c r="DZ631" s="2132"/>
      <c r="EA631" s="2132"/>
      <c r="EB631" s="2133"/>
      <c r="EC631" s="2131" t="str">
        <f t="shared" si="17"/>
        <v xml:space="preserve"> </v>
      </c>
      <c r="ED631" s="2132"/>
      <c r="EE631" s="2132"/>
      <c r="EF631" s="2132"/>
      <c r="EG631" s="2133"/>
      <c r="EH631" s="2131" t="str">
        <f t="shared" si="18"/>
        <v xml:space="preserve"> </v>
      </c>
      <c r="EI631" s="2132"/>
      <c r="EJ631" s="2132"/>
      <c r="EK631" s="2132"/>
      <c r="EL631" s="2133"/>
      <c r="EM631" s="2131" t="str">
        <f t="shared" si="19"/>
        <v xml:space="preserve"> </v>
      </c>
      <c r="EN631" s="2132"/>
      <c r="EO631" s="2132"/>
      <c r="EP631" s="2132"/>
      <c r="EQ631" s="2133"/>
      <c r="ER631" s="2131" t="str">
        <f t="shared" si="20"/>
        <v xml:space="preserve"> </v>
      </c>
      <c r="ES631" s="2132"/>
      <c r="ET631" s="2132"/>
      <c r="EU631" s="2132"/>
      <c r="EV631" s="2133"/>
      <c r="EW631" s="2131" t="str">
        <f t="shared" si="21"/>
        <v xml:space="preserve"> </v>
      </c>
      <c r="EX631" s="2132"/>
      <c r="EY631" s="2132"/>
      <c r="EZ631" s="2132"/>
      <c r="FA631" s="213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131">
        <f t="shared" si="0"/>
        <v>0</v>
      </c>
      <c r="BF632" s="2133"/>
      <c r="BG632" s="2523">
        <f t="shared" si="1"/>
        <v>0</v>
      </c>
      <c r="BH632" s="2524"/>
      <c r="BI632" s="2131">
        <f t="shared" si="2"/>
        <v>0</v>
      </c>
      <c r="BJ632" s="2133"/>
      <c r="BK632" s="2523">
        <f t="shared" si="3"/>
        <v>0</v>
      </c>
      <c r="BL632" s="2524"/>
      <c r="BM632" s="58"/>
      <c r="BN632" s="2032">
        <f t="shared" si="4"/>
        <v>0</v>
      </c>
      <c r="BO632" s="2033"/>
      <c r="BP632" s="2033"/>
      <c r="BQ632" s="2033"/>
      <c r="BR632" s="2034"/>
      <c r="BS632" s="2128">
        <f t="shared" si="5"/>
        <v>0</v>
      </c>
      <c r="BT632" s="2128"/>
      <c r="BU632" s="2128"/>
      <c r="BV632" s="2128"/>
      <c r="BW632" s="2128"/>
      <c r="BX632" s="2128">
        <f t="shared" si="6"/>
        <v>0</v>
      </c>
      <c r="BY632" s="2128"/>
      <c r="BZ632" s="2128"/>
      <c r="CA632" s="2128"/>
      <c r="CB632" s="2128"/>
      <c r="CC632" s="2128">
        <f t="shared" si="7"/>
        <v>0</v>
      </c>
      <c r="CD632" s="2128"/>
      <c r="CE632" s="2128"/>
      <c r="CF632" s="2128"/>
      <c r="CG632" s="2128"/>
      <c r="CH632" s="2128">
        <f t="shared" si="8"/>
        <v>0</v>
      </c>
      <c r="CI632" s="2128"/>
      <c r="CJ632" s="2128"/>
      <c r="CK632" s="2128"/>
      <c r="CL632" s="2128"/>
      <c r="CM632" s="2128">
        <f t="shared" si="9"/>
        <v>0</v>
      </c>
      <c r="CN632" s="2128"/>
      <c r="CO632" s="2128"/>
      <c r="CP632" s="2128"/>
      <c r="CQ632" s="2128"/>
      <c r="CR632" s="265"/>
      <c r="CS632" s="2109">
        <f t="shared" si="10"/>
        <v>0</v>
      </c>
      <c r="CT632" s="2109"/>
      <c r="CU632" s="2109"/>
      <c r="CV632" s="2109"/>
      <c r="CW632" s="2109"/>
      <c r="CX632" s="2109">
        <f t="shared" si="11"/>
        <v>0</v>
      </c>
      <c r="CY632" s="2109"/>
      <c r="CZ632" s="2109"/>
      <c r="DA632" s="2109"/>
      <c r="DB632" s="2109"/>
      <c r="DC632" s="2109">
        <f t="shared" si="12"/>
        <v>0</v>
      </c>
      <c r="DD632" s="2109"/>
      <c r="DE632" s="2109"/>
      <c r="DF632" s="2109"/>
      <c r="DG632" s="2109"/>
      <c r="DH632" s="2109">
        <f t="shared" si="13"/>
        <v>0</v>
      </c>
      <c r="DI632" s="2109"/>
      <c r="DJ632" s="2109"/>
      <c r="DK632" s="2109"/>
      <c r="DL632" s="2109"/>
      <c r="DM632" s="2109">
        <f t="shared" si="14"/>
        <v>0</v>
      </c>
      <c r="DN632" s="2109"/>
      <c r="DO632" s="2109"/>
      <c r="DP632" s="2109"/>
      <c r="DQ632" s="2109"/>
      <c r="DR632" s="2109">
        <f t="shared" si="15"/>
        <v>0</v>
      </c>
      <c r="DS632" s="2109"/>
      <c r="DT632" s="2109"/>
      <c r="DU632" s="2109"/>
      <c r="DV632" s="2109"/>
      <c r="DX632" s="2131" t="str">
        <f t="shared" si="16"/>
        <v xml:space="preserve"> </v>
      </c>
      <c r="DY632" s="2132"/>
      <c r="DZ632" s="2132"/>
      <c r="EA632" s="2132"/>
      <c r="EB632" s="2133"/>
      <c r="EC632" s="2131" t="str">
        <f t="shared" si="17"/>
        <v xml:space="preserve"> </v>
      </c>
      <c r="ED632" s="2132"/>
      <c r="EE632" s="2132"/>
      <c r="EF632" s="2132"/>
      <c r="EG632" s="2133"/>
      <c r="EH632" s="2131" t="str">
        <f t="shared" si="18"/>
        <v xml:space="preserve"> </v>
      </c>
      <c r="EI632" s="2132"/>
      <c r="EJ632" s="2132"/>
      <c r="EK632" s="2132"/>
      <c r="EL632" s="2133"/>
      <c r="EM632" s="2131" t="str">
        <f t="shared" si="19"/>
        <v xml:space="preserve"> </v>
      </c>
      <c r="EN632" s="2132"/>
      <c r="EO632" s="2132"/>
      <c r="EP632" s="2132"/>
      <c r="EQ632" s="2133"/>
      <c r="ER632" s="2131" t="str">
        <f t="shared" si="20"/>
        <v xml:space="preserve"> </v>
      </c>
      <c r="ES632" s="2132"/>
      <c r="ET632" s="2132"/>
      <c r="EU632" s="2132"/>
      <c r="EV632" s="2133"/>
      <c r="EW632" s="2131" t="str">
        <f t="shared" si="21"/>
        <v xml:space="preserve"> </v>
      </c>
      <c r="EX632" s="2132"/>
      <c r="EY632" s="2132"/>
      <c r="EZ632" s="2132"/>
      <c r="FA632" s="213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131">
        <f t="shared" si="0"/>
        <v>0</v>
      </c>
      <c r="BF633" s="2133"/>
      <c r="BG633" s="2523">
        <f t="shared" si="1"/>
        <v>0</v>
      </c>
      <c r="BH633" s="2524"/>
      <c r="BI633" s="2131">
        <f t="shared" si="2"/>
        <v>0</v>
      </c>
      <c r="BJ633" s="2133"/>
      <c r="BK633" s="2523">
        <f t="shared" si="3"/>
        <v>0</v>
      </c>
      <c r="BL633" s="2524"/>
      <c r="BM633" s="58"/>
      <c r="BN633" s="2032">
        <f t="shared" si="4"/>
        <v>0</v>
      </c>
      <c r="BO633" s="2033"/>
      <c r="BP633" s="2033"/>
      <c r="BQ633" s="2033"/>
      <c r="BR633" s="2034"/>
      <c r="BS633" s="2128">
        <f t="shared" si="5"/>
        <v>0</v>
      </c>
      <c r="BT633" s="2128"/>
      <c r="BU633" s="2128"/>
      <c r="BV633" s="2128"/>
      <c r="BW633" s="2128"/>
      <c r="BX633" s="2128">
        <f t="shared" si="6"/>
        <v>0</v>
      </c>
      <c r="BY633" s="2128"/>
      <c r="BZ633" s="2128"/>
      <c r="CA633" s="2128"/>
      <c r="CB633" s="2128"/>
      <c r="CC633" s="2128">
        <f t="shared" si="7"/>
        <v>0</v>
      </c>
      <c r="CD633" s="2128"/>
      <c r="CE633" s="2128"/>
      <c r="CF633" s="2128"/>
      <c r="CG633" s="2128"/>
      <c r="CH633" s="2128">
        <f t="shared" si="8"/>
        <v>0</v>
      </c>
      <c r="CI633" s="2128"/>
      <c r="CJ633" s="2128"/>
      <c r="CK633" s="2128"/>
      <c r="CL633" s="2128"/>
      <c r="CM633" s="2128">
        <f t="shared" si="9"/>
        <v>0</v>
      </c>
      <c r="CN633" s="2128"/>
      <c r="CO633" s="2128"/>
      <c r="CP633" s="2128"/>
      <c r="CQ633" s="2128"/>
      <c r="CR633" s="265"/>
      <c r="CS633" s="2109">
        <f t="shared" si="10"/>
        <v>0</v>
      </c>
      <c r="CT633" s="2109"/>
      <c r="CU633" s="2109"/>
      <c r="CV633" s="2109"/>
      <c r="CW633" s="2109"/>
      <c r="CX633" s="2109">
        <f t="shared" si="11"/>
        <v>0</v>
      </c>
      <c r="CY633" s="2109"/>
      <c r="CZ633" s="2109"/>
      <c r="DA633" s="2109"/>
      <c r="DB633" s="2109"/>
      <c r="DC633" s="2109">
        <f t="shared" si="12"/>
        <v>0</v>
      </c>
      <c r="DD633" s="2109"/>
      <c r="DE633" s="2109"/>
      <c r="DF633" s="2109"/>
      <c r="DG633" s="2109"/>
      <c r="DH633" s="2109">
        <f t="shared" si="13"/>
        <v>0</v>
      </c>
      <c r="DI633" s="2109"/>
      <c r="DJ633" s="2109"/>
      <c r="DK633" s="2109"/>
      <c r="DL633" s="2109"/>
      <c r="DM633" s="2109">
        <f t="shared" si="14"/>
        <v>0</v>
      </c>
      <c r="DN633" s="2109"/>
      <c r="DO633" s="2109"/>
      <c r="DP633" s="2109"/>
      <c r="DQ633" s="2109"/>
      <c r="DR633" s="2109">
        <f t="shared" si="15"/>
        <v>0</v>
      </c>
      <c r="DS633" s="2109"/>
      <c r="DT633" s="2109"/>
      <c r="DU633" s="2109"/>
      <c r="DV633" s="2109"/>
      <c r="DX633" s="2131" t="str">
        <f t="shared" si="16"/>
        <v xml:space="preserve"> </v>
      </c>
      <c r="DY633" s="2132"/>
      <c r="DZ633" s="2132"/>
      <c r="EA633" s="2132"/>
      <c r="EB633" s="2133"/>
      <c r="EC633" s="2131" t="str">
        <f t="shared" si="17"/>
        <v xml:space="preserve"> </v>
      </c>
      <c r="ED633" s="2132"/>
      <c r="EE633" s="2132"/>
      <c r="EF633" s="2132"/>
      <c r="EG633" s="2133"/>
      <c r="EH633" s="2131" t="str">
        <f t="shared" si="18"/>
        <v xml:space="preserve"> </v>
      </c>
      <c r="EI633" s="2132"/>
      <c r="EJ633" s="2132"/>
      <c r="EK633" s="2132"/>
      <c r="EL633" s="2133"/>
      <c r="EM633" s="2131" t="str">
        <f t="shared" si="19"/>
        <v xml:space="preserve"> </v>
      </c>
      <c r="EN633" s="2132"/>
      <c r="EO633" s="2132"/>
      <c r="EP633" s="2132"/>
      <c r="EQ633" s="2133"/>
      <c r="ER633" s="2131" t="str">
        <f t="shared" si="20"/>
        <v xml:space="preserve"> </v>
      </c>
      <c r="ES633" s="2132"/>
      <c r="ET633" s="2132"/>
      <c r="EU633" s="2132"/>
      <c r="EV633" s="2133"/>
      <c r="EW633" s="2131" t="str">
        <f t="shared" si="21"/>
        <v xml:space="preserve"> </v>
      </c>
      <c r="EX633" s="2132"/>
      <c r="EY633" s="2132"/>
      <c r="EZ633" s="2132"/>
      <c r="FA633" s="2133"/>
    </row>
    <row r="634" spans="1:157" s="1839" customFormat="1" ht="12.75" customHeight="1">
      <c r="B634" s="2102" t="s">
        <v>484</v>
      </c>
      <c r="C634" s="2103"/>
      <c r="D634" s="2103"/>
      <c r="E634" s="2103"/>
      <c r="F634" s="2103"/>
      <c r="G634" s="2103"/>
      <c r="H634" s="2103"/>
      <c r="I634" s="2103"/>
      <c r="J634" s="2103"/>
      <c r="K634" s="2103"/>
      <c r="L634" s="2103"/>
      <c r="M634" s="2103"/>
      <c r="N634" s="2104"/>
      <c r="O634" s="2059" t="s">
        <v>2441</v>
      </c>
      <c r="P634" s="2060"/>
      <c r="Q634" s="2061"/>
      <c r="R634" s="2059" t="s">
        <v>2439</v>
      </c>
      <c r="S634" s="2060"/>
      <c r="T634" s="2061"/>
      <c r="U634" s="2110" t="s">
        <v>485</v>
      </c>
      <c r="V634" s="2110"/>
      <c r="W634" s="2111"/>
      <c r="X634" s="2059" t="s">
        <v>2164</v>
      </c>
      <c r="Y634" s="2060"/>
      <c r="Z634" s="2060"/>
      <c r="AA634" s="2060"/>
      <c r="AB634" s="2061"/>
      <c r="AC634" s="2045" t="s">
        <v>2162</v>
      </c>
      <c r="AD634" s="2046"/>
      <c r="AE634" s="2047"/>
      <c r="AF634" s="2059" t="s">
        <v>2165</v>
      </c>
      <c r="AG634" s="2060"/>
      <c r="AH634" s="2060"/>
      <c r="AI634" s="2060"/>
      <c r="AJ634" s="2061"/>
      <c r="AK634" s="2036" t="s">
        <v>2166</v>
      </c>
      <c r="AL634" s="2037"/>
      <c r="AM634" s="2037"/>
      <c r="AN634" s="2038"/>
      <c r="AO634" s="2353" t="s">
        <v>486</v>
      </c>
      <c r="AP634" s="2353"/>
      <c r="AQ634" s="2353"/>
      <c r="AR634" s="2353"/>
      <c r="AS634" s="2353"/>
      <c r="AT634" s="1840"/>
      <c r="AU634" s="1840"/>
      <c r="AV634" s="1840"/>
      <c r="AW634" s="1840"/>
      <c r="AX634" s="1840"/>
      <c r="AY634" s="1840"/>
      <c r="AZ634" s="181"/>
      <c r="BA634" s="181"/>
      <c r="BB634" s="181"/>
      <c r="BC634" s="181"/>
      <c r="BD634" s="181"/>
      <c r="BE634" s="2131">
        <f t="shared" si="0"/>
        <v>0</v>
      </c>
      <c r="BF634" s="2133"/>
      <c r="BG634" s="2523">
        <f t="shared" si="1"/>
        <v>0</v>
      </c>
      <c r="BH634" s="2524"/>
      <c r="BI634" s="2131">
        <f t="shared" si="2"/>
        <v>0</v>
      </c>
      <c r="BJ634" s="2133"/>
      <c r="BK634" s="2523">
        <f t="shared" si="3"/>
        <v>0</v>
      </c>
      <c r="BL634" s="2524"/>
      <c r="BM634" s="181"/>
      <c r="BN634" s="2032">
        <f t="shared" si="4"/>
        <v>0</v>
      </c>
      <c r="BO634" s="2033"/>
      <c r="BP634" s="2033"/>
      <c r="BQ634" s="2033"/>
      <c r="BR634" s="2034"/>
      <c r="BS634" s="2128">
        <f t="shared" si="5"/>
        <v>0</v>
      </c>
      <c r="BT634" s="2128"/>
      <c r="BU634" s="2128"/>
      <c r="BV634" s="2128"/>
      <c r="BW634" s="2128"/>
      <c r="BX634" s="2128">
        <f t="shared" si="6"/>
        <v>0</v>
      </c>
      <c r="BY634" s="2128"/>
      <c r="BZ634" s="2128"/>
      <c r="CA634" s="2128"/>
      <c r="CB634" s="2128"/>
      <c r="CC634" s="2128">
        <f t="shared" si="7"/>
        <v>0</v>
      </c>
      <c r="CD634" s="2128"/>
      <c r="CE634" s="2128"/>
      <c r="CF634" s="2128"/>
      <c r="CG634" s="2128"/>
      <c r="CH634" s="2128">
        <f t="shared" si="8"/>
        <v>0</v>
      </c>
      <c r="CI634" s="2128"/>
      <c r="CJ634" s="2128"/>
      <c r="CK634" s="2128"/>
      <c r="CL634" s="2128"/>
      <c r="CM634" s="2128">
        <f t="shared" si="9"/>
        <v>0</v>
      </c>
      <c r="CN634" s="2128"/>
      <c r="CO634" s="2128"/>
      <c r="CP634" s="2128"/>
      <c r="CQ634" s="2128"/>
      <c r="CR634" s="265"/>
      <c r="CS634" s="2109">
        <f t="shared" si="10"/>
        <v>0</v>
      </c>
      <c r="CT634" s="2109"/>
      <c r="CU634" s="2109"/>
      <c r="CV634" s="2109"/>
      <c r="CW634" s="2109"/>
      <c r="CX634" s="2109">
        <f t="shared" si="11"/>
        <v>0</v>
      </c>
      <c r="CY634" s="2109"/>
      <c r="CZ634" s="2109"/>
      <c r="DA634" s="2109"/>
      <c r="DB634" s="2109"/>
      <c r="DC634" s="2109">
        <f t="shared" si="12"/>
        <v>0</v>
      </c>
      <c r="DD634" s="2109"/>
      <c r="DE634" s="2109"/>
      <c r="DF634" s="2109"/>
      <c r="DG634" s="2109"/>
      <c r="DH634" s="2109">
        <f t="shared" si="13"/>
        <v>0</v>
      </c>
      <c r="DI634" s="2109"/>
      <c r="DJ634" s="2109"/>
      <c r="DK634" s="2109"/>
      <c r="DL634" s="2109"/>
      <c r="DM634" s="2109">
        <f t="shared" si="14"/>
        <v>0</v>
      </c>
      <c r="DN634" s="2109"/>
      <c r="DO634" s="2109"/>
      <c r="DP634" s="2109"/>
      <c r="DQ634" s="2109"/>
      <c r="DR634" s="2109">
        <f t="shared" si="15"/>
        <v>0</v>
      </c>
      <c r="DS634" s="2109"/>
      <c r="DT634" s="2109"/>
      <c r="DU634" s="2109"/>
      <c r="DV634" s="2109"/>
      <c r="DX634" s="2131" t="str">
        <f t="shared" si="16"/>
        <v xml:space="preserve"> </v>
      </c>
      <c r="DY634" s="2132"/>
      <c r="DZ634" s="2132"/>
      <c r="EA634" s="2132"/>
      <c r="EB634" s="2133"/>
      <c r="EC634" s="2131" t="str">
        <f t="shared" si="17"/>
        <v xml:space="preserve"> </v>
      </c>
      <c r="ED634" s="2132"/>
      <c r="EE634" s="2132"/>
      <c r="EF634" s="2132"/>
      <c r="EG634" s="2133"/>
      <c r="EH634" s="2131" t="str">
        <f t="shared" si="18"/>
        <v xml:space="preserve"> </v>
      </c>
      <c r="EI634" s="2132"/>
      <c r="EJ634" s="2132"/>
      <c r="EK634" s="2132"/>
      <c r="EL634" s="2133"/>
      <c r="EM634" s="2131" t="str">
        <f t="shared" si="19"/>
        <v xml:space="preserve"> </v>
      </c>
      <c r="EN634" s="2132"/>
      <c r="EO634" s="2132"/>
      <c r="EP634" s="2132"/>
      <c r="EQ634" s="2133"/>
      <c r="ER634" s="2131" t="str">
        <f t="shared" si="20"/>
        <v xml:space="preserve"> </v>
      </c>
      <c r="ES634" s="2132"/>
      <c r="ET634" s="2132"/>
      <c r="EU634" s="2132"/>
      <c r="EV634" s="2133"/>
      <c r="EW634" s="2131" t="str">
        <f t="shared" si="21"/>
        <v xml:space="preserve"> </v>
      </c>
      <c r="EX634" s="2132"/>
      <c r="EY634" s="2132"/>
      <c r="EZ634" s="2132"/>
      <c r="FA634" s="2133"/>
    </row>
    <row r="635" spans="1:157" s="1839" customFormat="1" ht="12.75">
      <c r="B635" s="2105"/>
      <c r="C635" s="2106"/>
      <c r="D635" s="2106"/>
      <c r="E635" s="2106"/>
      <c r="F635" s="2106"/>
      <c r="G635" s="2106"/>
      <c r="H635" s="2106"/>
      <c r="I635" s="2106"/>
      <c r="J635" s="2106"/>
      <c r="K635" s="2106"/>
      <c r="L635" s="2106"/>
      <c r="M635" s="2106"/>
      <c r="N635" s="2107"/>
      <c r="O635" s="2062"/>
      <c r="P635" s="2063"/>
      <c r="Q635" s="2064"/>
      <c r="R635" s="2062"/>
      <c r="S635" s="2063"/>
      <c r="T635" s="2064"/>
      <c r="U635" s="2112"/>
      <c r="V635" s="2112"/>
      <c r="W635" s="2113"/>
      <c r="X635" s="2062"/>
      <c r="Y635" s="2063"/>
      <c r="Z635" s="2063"/>
      <c r="AA635" s="2063"/>
      <c r="AB635" s="2064"/>
      <c r="AC635" s="2048"/>
      <c r="AD635" s="2049"/>
      <c r="AE635" s="2050"/>
      <c r="AF635" s="2062"/>
      <c r="AG635" s="2063"/>
      <c r="AH635" s="2063"/>
      <c r="AI635" s="2063"/>
      <c r="AJ635" s="2064"/>
      <c r="AK635" s="2039"/>
      <c r="AL635" s="2040"/>
      <c r="AM635" s="2040"/>
      <c r="AN635" s="2041"/>
      <c r="AO635" s="2353"/>
      <c r="AP635" s="2353"/>
      <c r="AQ635" s="2353"/>
      <c r="AR635" s="2353"/>
      <c r="AS635" s="2353"/>
      <c r="AT635" s="1840"/>
      <c r="AU635" s="1840"/>
      <c r="AV635" s="1840"/>
      <c r="AW635" s="1840"/>
      <c r="AX635" s="1840"/>
      <c r="AY635" s="1840"/>
      <c r="AZ635" s="181"/>
      <c r="BA635" s="181"/>
      <c r="BB635" s="181"/>
      <c r="BC635" s="181"/>
      <c r="BD635" s="181"/>
      <c r="BE635" s="181"/>
      <c r="BF635" s="181"/>
      <c r="BG635" s="2131">
        <f>SUM(BG610:BH634)</f>
        <v>20</v>
      </c>
      <c r="BH635" s="2133"/>
      <c r="BI635" s="181"/>
      <c r="BJ635" s="181"/>
      <c r="BK635" s="2131">
        <f>SUM(BK610:BL634)</f>
        <v>20</v>
      </c>
      <c r="BL635" s="2133"/>
      <c r="BM635" s="181"/>
      <c r="BN635" s="2131">
        <f>SUM(BN610:BR634)</f>
        <v>0</v>
      </c>
      <c r="BO635" s="2132"/>
      <c r="BP635" s="2132"/>
      <c r="BQ635" s="2132"/>
      <c r="BR635" s="2133"/>
      <c r="BS635" s="2141">
        <f>SUM(BS610:BW634)</f>
        <v>96</v>
      </c>
      <c r="BT635" s="2141"/>
      <c r="BU635" s="2141"/>
      <c r="BV635" s="2141"/>
      <c r="BW635" s="2141"/>
      <c r="BX635" s="2141">
        <f>SUM(BX610:CB634)</f>
        <v>48</v>
      </c>
      <c r="BY635" s="2141"/>
      <c r="BZ635" s="2141"/>
      <c r="CA635" s="2141"/>
      <c r="CB635" s="2141"/>
      <c r="CC635" s="2141">
        <f>SUM(CC610:CG634)</f>
        <v>48</v>
      </c>
      <c r="CD635" s="2141"/>
      <c r="CE635" s="2141"/>
      <c r="CF635" s="2141"/>
      <c r="CG635" s="2141"/>
      <c r="CH635" s="2141">
        <f>SUM(CH610:CL634)</f>
        <v>0</v>
      </c>
      <c r="CI635" s="2141"/>
      <c r="CJ635" s="2141"/>
      <c r="CK635" s="2141"/>
      <c r="CL635" s="2141"/>
      <c r="CM635" s="2141">
        <f>SUM(CM610:CQ634)</f>
        <v>0</v>
      </c>
      <c r="CN635" s="2141"/>
      <c r="CO635" s="2141"/>
      <c r="CP635" s="2141"/>
      <c r="CQ635" s="2141"/>
      <c r="CR635" s="698"/>
      <c r="CS635" s="2141">
        <f>SUM(CS610:CW634)</f>
        <v>0</v>
      </c>
      <c r="CT635" s="2141"/>
      <c r="CU635" s="2141"/>
      <c r="CV635" s="2141"/>
      <c r="CW635" s="2141"/>
      <c r="CX635" s="2141">
        <f>SUM(CX610:DB634)</f>
        <v>10</v>
      </c>
      <c r="CY635" s="2141"/>
      <c r="CZ635" s="2141"/>
      <c r="DA635" s="2141"/>
      <c r="DB635" s="2141"/>
      <c r="DC635" s="2141">
        <f>SUM(DC610:DG634)</f>
        <v>5</v>
      </c>
      <c r="DD635" s="2141"/>
      <c r="DE635" s="2141"/>
      <c r="DF635" s="2141"/>
      <c r="DG635" s="2141"/>
      <c r="DH635" s="2141">
        <f>SUM(DH610:DL634)</f>
        <v>5</v>
      </c>
      <c r="DI635" s="2141"/>
      <c r="DJ635" s="2141"/>
      <c r="DK635" s="2141"/>
      <c r="DL635" s="2141"/>
      <c r="DM635" s="2141">
        <f>SUM(DM610:DQ634)</f>
        <v>0</v>
      </c>
      <c r="DN635" s="2141"/>
      <c r="DO635" s="2141"/>
      <c r="DP635" s="2141"/>
      <c r="DQ635" s="2141"/>
      <c r="DR635" s="2141">
        <f>SUM(DR610:DV634)</f>
        <v>0</v>
      </c>
      <c r="DS635" s="2141"/>
      <c r="DT635" s="2141"/>
      <c r="DU635" s="2141"/>
      <c r="DV635" s="2141"/>
      <c r="DX635" s="2141">
        <f>SUM(DX610:EB634)</f>
        <v>0</v>
      </c>
      <c r="DY635" s="2141"/>
      <c r="DZ635" s="2141"/>
      <c r="EA635" s="2141"/>
      <c r="EB635" s="2141"/>
      <c r="EC635" s="2141">
        <f>SUM(EC610:EG634)</f>
        <v>4179</v>
      </c>
      <c r="ED635" s="2141"/>
      <c r="EE635" s="2141"/>
      <c r="EF635" s="2141"/>
      <c r="EG635" s="2141"/>
      <c r="EH635" s="2141">
        <f>SUM(EH610:EL634)</f>
        <v>5022</v>
      </c>
      <c r="EI635" s="2141"/>
      <c r="EJ635" s="2141"/>
      <c r="EK635" s="2141"/>
      <c r="EL635" s="2141"/>
      <c r="EM635" s="2141">
        <f>SUM(EM610:EQ634)</f>
        <v>6044</v>
      </c>
      <c r="EN635" s="2141"/>
      <c r="EO635" s="2141"/>
      <c r="EP635" s="2141"/>
      <c r="EQ635" s="2141"/>
      <c r="ER635" s="2141">
        <f>SUM(ER610:EV634)</f>
        <v>0</v>
      </c>
      <c r="ES635" s="2141"/>
      <c r="ET635" s="2141"/>
      <c r="EU635" s="2141"/>
      <c r="EV635" s="2141"/>
      <c r="EW635" s="2141">
        <f>SUM(EW610:FA634)</f>
        <v>0</v>
      </c>
      <c r="EX635" s="2141"/>
      <c r="EY635" s="2141"/>
      <c r="EZ635" s="2141"/>
      <c r="FA635" s="2141"/>
    </row>
    <row r="636" spans="1:157" s="1839" customFormat="1" ht="12.75">
      <c r="B636" s="2108"/>
      <c r="C636" s="2106"/>
      <c r="D636" s="2106"/>
      <c r="E636" s="2106"/>
      <c r="F636" s="2106"/>
      <c r="G636" s="2106"/>
      <c r="H636" s="2106"/>
      <c r="I636" s="2106"/>
      <c r="J636" s="2106"/>
      <c r="K636" s="2106"/>
      <c r="L636" s="2106"/>
      <c r="M636" s="2106"/>
      <c r="N636" s="2107"/>
      <c r="O636" s="2065"/>
      <c r="P636" s="2066"/>
      <c r="Q636" s="2067"/>
      <c r="R636" s="2065"/>
      <c r="S636" s="2066"/>
      <c r="T636" s="2067"/>
      <c r="U636" s="2114"/>
      <c r="V636" s="2114"/>
      <c r="W636" s="2115"/>
      <c r="X636" s="2065"/>
      <c r="Y636" s="2066"/>
      <c r="Z636" s="2066"/>
      <c r="AA636" s="2066"/>
      <c r="AB636" s="2067"/>
      <c r="AC636" s="2051"/>
      <c r="AD636" s="2052"/>
      <c r="AE636" s="2053"/>
      <c r="AF636" s="2065"/>
      <c r="AG636" s="2066"/>
      <c r="AH636" s="2066"/>
      <c r="AI636" s="2066"/>
      <c r="AJ636" s="2067"/>
      <c r="AK636" s="2042"/>
      <c r="AL636" s="2043"/>
      <c r="AM636" s="2043"/>
      <c r="AN636" s="2044"/>
      <c r="AO636" s="2353"/>
      <c r="AP636" s="2353"/>
      <c r="AQ636" s="2353"/>
      <c r="AR636" s="2353"/>
      <c r="AS636" s="2353"/>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131">
        <f>BN635+BS635+BX635+CC635+CH635+CM635</f>
        <v>192</v>
      </c>
      <c r="CN636" s="2132"/>
      <c r="CO636" s="2132"/>
      <c r="CP636" s="2132"/>
      <c r="CQ636" s="2133"/>
      <c r="CR636" s="698"/>
      <c r="CS636" s="181"/>
      <c r="CT636" s="181"/>
      <c r="CU636" s="181"/>
      <c r="CV636" s="181"/>
      <c r="CW636" s="181"/>
      <c r="CX636" s="181"/>
      <c r="CY636" s="181"/>
      <c r="CZ636" s="181"/>
      <c r="DA636" s="181"/>
      <c r="DB636" s="181"/>
      <c r="DC636" s="181"/>
      <c r="DD636" s="181"/>
      <c r="DE636" s="181"/>
      <c r="DF636" s="181"/>
    </row>
    <row r="637" spans="1:157" ht="12.75">
      <c r="B637" s="83" t="s">
        <v>117</v>
      </c>
      <c r="C637" s="1858" t="s">
        <v>2574</v>
      </c>
      <c r="D637" s="1855"/>
      <c r="E637" s="1855"/>
      <c r="F637" s="1855"/>
      <c r="G637" s="1855"/>
      <c r="H637" s="1855"/>
      <c r="I637" s="1855"/>
      <c r="J637" s="1855"/>
      <c r="K637" s="1855"/>
      <c r="L637" s="1855"/>
      <c r="M637" s="1855"/>
      <c r="N637" s="1856"/>
      <c r="O637" s="2055">
        <v>180</v>
      </c>
      <c r="P637" s="2056"/>
      <c r="Q637" s="2057"/>
      <c r="R637" s="2072">
        <v>660</v>
      </c>
      <c r="S637" s="2073"/>
      <c r="T637" s="2074"/>
      <c r="U637" s="2088">
        <v>4.2500000000000003E-2</v>
      </c>
      <c r="V637" s="2089"/>
      <c r="W637" s="2090"/>
      <c r="X637" s="2085" t="s">
        <v>2163</v>
      </c>
      <c r="Y637" s="2086"/>
      <c r="Z637" s="2086"/>
      <c r="AA637" s="2086"/>
      <c r="AB637" s="2087"/>
      <c r="AC637" s="2094" t="s">
        <v>2513</v>
      </c>
      <c r="AD637" s="2092"/>
      <c r="AE637" s="2093"/>
      <c r="AF637" s="2098">
        <v>1081625</v>
      </c>
      <c r="AG637" s="2099"/>
      <c r="AH637" s="2099"/>
      <c r="AI637" s="2099"/>
      <c r="AJ637" s="2100"/>
      <c r="AK637" s="2095"/>
      <c r="AL637" s="2096"/>
      <c r="AM637" s="2096"/>
      <c r="AN637" s="2097"/>
      <c r="AO637" s="2134">
        <v>25450000</v>
      </c>
      <c r="AP637" s="2134"/>
      <c r="AQ637" s="2134"/>
      <c r="AR637" s="2134"/>
      <c r="AS637" s="2134"/>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96</v>
      </c>
      <c r="BX637" s="58"/>
      <c r="BY637" s="58"/>
      <c r="BZ637" s="58"/>
      <c r="CA637" s="58"/>
      <c r="CB637" s="1472">
        <f>BX635*2</f>
        <v>96</v>
      </c>
      <c r="CC637" s="58"/>
      <c r="CD637" s="58"/>
      <c r="CE637" s="58"/>
      <c r="CF637" s="58"/>
      <c r="CG637" s="1472">
        <f>CC635*3</f>
        <v>144</v>
      </c>
      <c r="CH637" s="58"/>
      <c r="CI637" s="58"/>
      <c r="CJ637" s="58"/>
      <c r="CK637" s="58"/>
      <c r="CL637" s="1472">
        <f>CH635*4</f>
        <v>0</v>
      </c>
      <c r="CM637" s="58"/>
      <c r="CN637" s="58"/>
      <c r="CO637" s="58"/>
      <c r="CP637" s="58"/>
      <c r="CQ637" s="1472">
        <f>CM635*5</f>
        <v>0</v>
      </c>
      <c r="CS637" s="1472">
        <f>BR637+BW637+CB637+CG637+CL637+CQ637</f>
        <v>336</v>
      </c>
      <c r="CT637" s="134" t="s">
        <v>2453</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1860" t="s">
        <v>2516</v>
      </c>
      <c r="D638" s="1855"/>
      <c r="E638" s="1855"/>
      <c r="F638" s="1855"/>
      <c r="G638" s="1855"/>
      <c r="H638" s="1855"/>
      <c r="I638" s="1855"/>
      <c r="J638" s="1855"/>
      <c r="K638" s="1855"/>
      <c r="L638" s="1855"/>
      <c r="M638" s="1855"/>
      <c r="N638" s="1856"/>
      <c r="O638" s="1851"/>
      <c r="P638" s="1852"/>
      <c r="Q638" s="1853"/>
      <c r="R638" s="1847"/>
      <c r="S638" s="1845"/>
      <c r="T638" s="1846"/>
      <c r="U638" s="1848"/>
      <c r="V638" s="1849"/>
      <c r="W638" s="1850"/>
      <c r="X638" s="2085" t="s">
        <v>309</v>
      </c>
      <c r="Y638" s="2086"/>
      <c r="Z638" s="2086"/>
      <c r="AA638" s="2086"/>
      <c r="AB638" s="2087"/>
      <c r="AC638" s="2091"/>
      <c r="AD638" s="2092"/>
      <c r="AE638" s="2093"/>
      <c r="AF638" s="2098"/>
      <c r="AG638" s="2099"/>
      <c r="AH638" s="2099"/>
      <c r="AI638" s="2099"/>
      <c r="AJ638" s="2100"/>
      <c r="AK638" s="2095"/>
      <c r="AL638" s="2096"/>
      <c r="AM638" s="2096"/>
      <c r="AN638" s="2097"/>
      <c r="AO638" s="2135">
        <v>539676</v>
      </c>
      <c r="AP638" s="2136"/>
      <c r="AQ638" s="2136"/>
      <c r="AR638" s="2136"/>
      <c r="AS638" s="213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129" t="e">
        <f t="shared" ref="DX638:DX662" si="22">DX610*(BN610/$BN$635)</f>
        <v>#VALUE!</v>
      </c>
      <c r="DY638" s="2129"/>
      <c r="DZ638" s="2129"/>
      <c r="EA638" s="2129"/>
      <c r="EB638" s="2129"/>
      <c r="EC638" s="2129">
        <f t="shared" ref="EC638:EC662" si="23">EC610*(BS610/$BS$635)</f>
        <v>46.5625</v>
      </c>
      <c r="ED638" s="2129"/>
      <c r="EE638" s="2129"/>
      <c r="EF638" s="2129"/>
      <c r="EG638" s="2129"/>
      <c r="EH638" s="2129" t="e">
        <f t="shared" ref="EH638:EH662" si="24">EH610*(BX610/$BX$635)</f>
        <v>#VALUE!</v>
      </c>
      <c r="EI638" s="2129"/>
      <c r="EJ638" s="2129"/>
      <c r="EK638" s="2129"/>
      <c r="EL638" s="2129"/>
      <c r="EM638" s="2129" t="e">
        <f t="shared" ref="EM638:EM662" si="25">EM610*(CC610/$CC$635)</f>
        <v>#VALUE!</v>
      </c>
      <c r="EN638" s="2129"/>
      <c r="EO638" s="2129"/>
      <c r="EP638" s="2129"/>
      <c r="EQ638" s="2129"/>
      <c r="ER638" s="2129" t="e">
        <f t="shared" ref="ER638:ER662" si="26">ER610*(CH610/$CH$635)</f>
        <v>#VALUE!</v>
      </c>
      <c r="ES638" s="2129"/>
      <c r="ET638" s="2129"/>
      <c r="EU638" s="2129"/>
      <c r="EV638" s="2129"/>
      <c r="EW638" s="2129" t="e">
        <f t="shared" ref="EW638:EW662" si="27">EW610*(CM610/$CM$635)</f>
        <v>#VALUE!</v>
      </c>
      <c r="EX638" s="2129"/>
      <c r="EY638" s="2129"/>
      <c r="EZ638" s="2129"/>
      <c r="FA638" s="2129"/>
    </row>
    <row r="639" spans="1:157" ht="12.75" customHeight="1">
      <c r="B639" s="84" t="s">
        <v>124</v>
      </c>
      <c r="C639" s="1860" t="s">
        <v>2138</v>
      </c>
      <c r="D639" s="1855"/>
      <c r="E639" s="1855"/>
      <c r="F639" s="1855"/>
      <c r="G639" s="1855"/>
      <c r="H639" s="1855"/>
      <c r="I639" s="1855"/>
      <c r="J639" s="1855"/>
      <c r="K639" s="1855"/>
      <c r="L639" s="1855"/>
      <c r="M639" s="1855"/>
      <c r="N639" s="1856"/>
      <c r="O639" s="2055">
        <v>168</v>
      </c>
      <c r="P639" s="2056"/>
      <c r="Q639" s="2057"/>
      <c r="R639" s="2072"/>
      <c r="S639" s="2073"/>
      <c r="T639" s="2074"/>
      <c r="U639" s="2088">
        <v>1.35E-2</v>
      </c>
      <c r="V639" s="2089"/>
      <c r="W639" s="2090"/>
      <c r="X639" s="2085" t="s">
        <v>490</v>
      </c>
      <c r="Y639" s="2086"/>
      <c r="Z639" s="2086"/>
      <c r="AA639" s="2086"/>
      <c r="AB639" s="2087"/>
      <c r="AC639" s="2091"/>
      <c r="AD639" s="2092"/>
      <c r="AE639" s="2093"/>
      <c r="AF639" s="2098"/>
      <c r="AG639" s="2099"/>
      <c r="AH639" s="2099"/>
      <c r="AI639" s="2099"/>
      <c r="AJ639" s="2100"/>
      <c r="AK639" s="2095"/>
      <c r="AL639" s="2096"/>
      <c r="AM639" s="2096"/>
      <c r="AN639" s="2097"/>
      <c r="AO639" s="2135">
        <v>4391703</v>
      </c>
      <c r="AP639" s="2136"/>
      <c r="AQ639" s="2136"/>
      <c r="AR639" s="2136"/>
      <c r="AS639" s="213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129" t="e">
        <f t="shared" si="22"/>
        <v>#VALUE!</v>
      </c>
      <c r="DY639" s="2129"/>
      <c r="DZ639" s="2129"/>
      <c r="EA639" s="2129"/>
      <c r="EB639" s="2129"/>
      <c r="EC639" s="2129">
        <f t="shared" si="23"/>
        <v>80.3125</v>
      </c>
      <c r="ED639" s="2129"/>
      <c r="EE639" s="2129"/>
      <c r="EF639" s="2129"/>
      <c r="EG639" s="2129"/>
      <c r="EH639" s="2129" t="e">
        <f t="shared" si="24"/>
        <v>#VALUE!</v>
      </c>
      <c r="EI639" s="2129"/>
      <c r="EJ639" s="2129"/>
      <c r="EK639" s="2129"/>
      <c r="EL639" s="2129"/>
      <c r="EM639" s="2129" t="e">
        <f t="shared" si="25"/>
        <v>#VALUE!</v>
      </c>
      <c r="EN639" s="2129"/>
      <c r="EO639" s="2129"/>
      <c r="EP639" s="2129"/>
      <c r="EQ639" s="2129"/>
      <c r="ER639" s="2129" t="e">
        <f t="shared" si="26"/>
        <v>#VALUE!</v>
      </c>
      <c r="ES639" s="2129"/>
      <c r="ET639" s="2129"/>
      <c r="EU639" s="2129"/>
      <c r="EV639" s="2129"/>
      <c r="EW639" s="2129" t="e">
        <f t="shared" si="27"/>
        <v>#VALUE!</v>
      </c>
      <c r="EX639" s="2129"/>
      <c r="EY639" s="2129"/>
      <c r="EZ639" s="2129"/>
      <c r="FA639" s="2129"/>
    </row>
    <row r="640" spans="1:157" ht="12.75">
      <c r="B640" s="84" t="s">
        <v>616</v>
      </c>
      <c r="C640" s="1858"/>
      <c r="D640" s="1855"/>
      <c r="E640" s="1855"/>
      <c r="F640" s="1855"/>
      <c r="G640" s="1855"/>
      <c r="H640" s="1855"/>
      <c r="I640" s="1855"/>
      <c r="J640" s="1855"/>
      <c r="K640" s="1855"/>
      <c r="L640" s="1855"/>
      <c r="M640" s="1855"/>
      <c r="N640" s="1856"/>
      <c r="O640" s="2055"/>
      <c r="P640" s="2056"/>
      <c r="Q640" s="2057"/>
      <c r="R640" s="2072"/>
      <c r="S640" s="2073"/>
      <c r="T640" s="2074"/>
      <c r="U640" s="2088"/>
      <c r="V640" s="2089"/>
      <c r="W640" s="2090"/>
      <c r="X640" s="2085" t="s">
        <v>1386</v>
      </c>
      <c r="Y640" s="2086"/>
      <c r="Z640" s="2086"/>
      <c r="AA640" s="2086"/>
      <c r="AB640" s="2087"/>
      <c r="AC640" s="2091"/>
      <c r="AD640" s="2092"/>
      <c r="AE640" s="2093"/>
      <c r="AF640" s="2098"/>
      <c r="AG640" s="2099"/>
      <c r="AH640" s="2099"/>
      <c r="AI640" s="2099"/>
      <c r="AJ640" s="2100"/>
      <c r="AK640" s="2095"/>
      <c r="AL640" s="2096"/>
      <c r="AM640" s="2096"/>
      <c r="AN640" s="2097"/>
      <c r="AO640" s="2135"/>
      <c r="AP640" s="2136"/>
      <c r="AQ640" s="2136"/>
      <c r="AR640" s="2136"/>
      <c r="AS640" s="2137"/>
      <c r="AT640" s="239"/>
      <c r="AU640" s="239"/>
      <c r="AV640" s="239"/>
      <c r="AW640" s="239"/>
      <c r="AX640" s="239"/>
      <c r="AY640" s="239"/>
      <c r="AZ640" s="61"/>
      <c r="BA640" s="58" t="s">
        <v>2163</v>
      </c>
      <c r="BB640" s="61"/>
      <c r="BC640" s="61"/>
      <c r="BD640" s="61"/>
      <c r="BE640" s="61"/>
      <c r="BF640" s="61"/>
      <c r="BG640" s="61"/>
      <c r="BH640" s="61"/>
      <c r="BI640" s="61"/>
      <c r="BJ640" s="61"/>
      <c r="BK640" s="61"/>
      <c r="BL640" s="61"/>
      <c r="BM640" s="61"/>
      <c r="BN640" s="2032">
        <f>IF(J772="SRO/Studio",O772,0)</f>
        <v>0</v>
      </c>
      <c r="BO640" s="2033"/>
      <c r="BP640" s="2033"/>
      <c r="BQ640" s="2033"/>
      <c r="BR640" s="2034"/>
      <c r="BS640" s="2128">
        <f>IF(J772="1 Bedroom",O772,0)</f>
        <v>0</v>
      </c>
      <c r="BT640" s="2128"/>
      <c r="BU640" s="2128"/>
      <c r="BV640" s="2128"/>
      <c r="BW640" s="2128"/>
      <c r="BX640" s="2128">
        <f>IF(J772="2 Bedrooms",O772,0)</f>
        <v>0</v>
      </c>
      <c r="BY640" s="2128"/>
      <c r="BZ640" s="2128"/>
      <c r="CA640" s="2128"/>
      <c r="CB640" s="2128"/>
      <c r="CC640" s="2128">
        <f>IF(J772="3 Bedrooms",O772,0)</f>
        <v>1</v>
      </c>
      <c r="CD640" s="2128"/>
      <c r="CE640" s="2128"/>
      <c r="CF640" s="2128"/>
      <c r="CG640" s="2128"/>
      <c r="CH640" s="2128">
        <f>IF(J772="4 Bedrooms",O772,0)</f>
        <v>0</v>
      </c>
      <c r="CI640" s="2128"/>
      <c r="CJ640" s="2128"/>
      <c r="CK640" s="2128"/>
      <c r="CL640" s="2128"/>
      <c r="CM640" s="2128">
        <f>IF(J772="5 Bedrooms",O772,0)</f>
        <v>0</v>
      </c>
      <c r="CN640" s="2128"/>
      <c r="CO640" s="2128"/>
      <c r="CP640" s="2128"/>
      <c r="CQ640" s="2128"/>
      <c r="CR640" s="265"/>
      <c r="CS640" s="58"/>
      <c r="CT640" s="58"/>
      <c r="CU640" s="58"/>
      <c r="CV640" s="58"/>
      <c r="CW640" s="58"/>
      <c r="CX640" s="58"/>
      <c r="CY640" s="58"/>
      <c r="CZ640" s="58"/>
      <c r="DA640" s="58"/>
      <c r="DB640" s="58"/>
      <c r="DC640" s="58"/>
      <c r="DD640" s="58"/>
      <c r="DE640" s="58"/>
      <c r="DF640" s="58"/>
      <c r="DX640" s="2129" t="e">
        <f t="shared" si="22"/>
        <v>#VALUE!</v>
      </c>
      <c r="DY640" s="2129"/>
      <c r="DZ640" s="2129"/>
      <c r="EA640" s="2129"/>
      <c r="EB640" s="2129"/>
      <c r="EC640" s="2129">
        <f t="shared" si="23"/>
        <v>272.125</v>
      </c>
      <c r="ED640" s="2129"/>
      <c r="EE640" s="2129"/>
      <c r="EF640" s="2129"/>
      <c r="EG640" s="2129"/>
      <c r="EH640" s="2129" t="e">
        <f t="shared" si="24"/>
        <v>#VALUE!</v>
      </c>
      <c r="EI640" s="2129"/>
      <c r="EJ640" s="2129"/>
      <c r="EK640" s="2129"/>
      <c r="EL640" s="2129"/>
      <c r="EM640" s="2129" t="e">
        <f t="shared" si="25"/>
        <v>#VALUE!</v>
      </c>
      <c r="EN640" s="2129"/>
      <c r="EO640" s="2129"/>
      <c r="EP640" s="2129"/>
      <c r="EQ640" s="2129"/>
      <c r="ER640" s="2129" t="e">
        <f t="shared" si="26"/>
        <v>#VALUE!</v>
      </c>
      <c r="ES640" s="2129"/>
      <c r="ET640" s="2129"/>
      <c r="EU640" s="2129"/>
      <c r="EV640" s="2129"/>
      <c r="EW640" s="2129" t="e">
        <f t="shared" si="27"/>
        <v>#VALUE!</v>
      </c>
      <c r="EX640" s="2129"/>
      <c r="EY640" s="2129"/>
      <c r="EZ640" s="2129"/>
      <c r="FA640" s="2129"/>
    </row>
    <row r="641" spans="1:157" ht="12.75">
      <c r="B641" s="84" t="s">
        <v>823</v>
      </c>
      <c r="C641" s="2024"/>
      <c r="D641" s="2024"/>
      <c r="E641" s="2024"/>
      <c r="F641" s="2024"/>
      <c r="G641" s="2024"/>
      <c r="H641" s="2024"/>
      <c r="I641" s="2024"/>
      <c r="J641" s="2024"/>
      <c r="K641" s="2024"/>
      <c r="L641" s="2024"/>
      <c r="M641" s="2024"/>
      <c r="N641" s="2084"/>
      <c r="O641" s="2055"/>
      <c r="P641" s="2056"/>
      <c r="Q641" s="2057"/>
      <c r="R641" s="2072"/>
      <c r="S641" s="2073"/>
      <c r="T641" s="2074"/>
      <c r="U641" s="2088"/>
      <c r="V641" s="2089"/>
      <c r="W641" s="2090"/>
      <c r="X641" s="2085" t="s">
        <v>1386</v>
      </c>
      <c r="Y641" s="2086"/>
      <c r="Z641" s="2086"/>
      <c r="AA641" s="2086"/>
      <c r="AB641" s="2087"/>
      <c r="AC641" s="2091"/>
      <c r="AD641" s="2092"/>
      <c r="AE641" s="2093"/>
      <c r="AF641" s="2098"/>
      <c r="AG641" s="2099"/>
      <c r="AH641" s="2099"/>
      <c r="AI641" s="2099"/>
      <c r="AJ641" s="2100"/>
      <c r="AK641" s="2095"/>
      <c r="AL641" s="2096"/>
      <c r="AM641" s="2096"/>
      <c r="AN641" s="2097"/>
      <c r="AO641" s="2134"/>
      <c r="AP641" s="2134"/>
      <c r="AQ641" s="2134"/>
      <c r="AR641" s="2134"/>
      <c r="AS641" s="2134"/>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32">
        <f>IF(J773="SRO/Studio",O773,0)</f>
        <v>0</v>
      </c>
      <c r="BO641" s="2033"/>
      <c r="BP641" s="2033"/>
      <c r="BQ641" s="2033"/>
      <c r="BR641" s="2034"/>
      <c r="BS641" s="2128">
        <f>IF(J773="1 Bedroom",O773,0)</f>
        <v>0</v>
      </c>
      <c r="BT641" s="2128"/>
      <c r="BU641" s="2128"/>
      <c r="BV641" s="2128"/>
      <c r="BW641" s="2128"/>
      <c r="BX641" s="2128">
        <f>IF(J773="2 Bedrooms",O773,0)</f>
        <v>0</v>
      </c>
      <c r="BY641" s="2128"/>
      <c r="BZ641" s="2128"/>
      <c r="CA641" s="2128"/>
      <c r="CB641" s="2128"/>
      <c r="CC641" s="2128">
        <f>IF(J773="3 Bedrooms",O773,0)</f>
        <v>1</v>
      </c>
      <c r="CD641" s="2128"/>
      <c r="CE641" s="2128"/>
      <c r="CF641" s="2128"/>
      <c r="CG641" s="2128"/>
      <c r="CH641" s="2128">
        <f>IF(J773="4 Bedrooms",O773,0)</f>
        <v>0</v>
      </c>
      <c r="CI641" s="2128"/>
      <c r="CJ641" s="2128"/>
      <c r="CK641" s="2128"/>
      <c r="CL641" s="2128"/>
      <c r="CM641" s="2128">
        <f>IF(J773="5 Bedrooms",O773,0)</f>
        <v>0</v>
      </c>
      <c r="CN641" s="2128"/>
      <c r="CO641" s="2128"/>
      <c r="CP641" s="2128"/>
      <c r="CQ641" s="2128"/>
      <c r="CR641" s="265"/>
      <c r="CS641" s="58"/>
      <c r="CT641" s="58"/>
      <c r="CU641" s="58"/>
      <c r="CV641" s="58"/>
      <c r="CW641" s="58"/>
      <c r="CX641" s="58"/>
      <c r="CY641" s="58"/>
      <c r="CZ641" s="58"/>
      <c r="DA641" s="58"/>
      <c r="DB641" s="58"/>
      <c r="DC641" s="58"/>
      <c r="DD641" s="58"/>
      <c r="DE641" s="58"/>
      <c r="DF641" s="58"/>
      <c r="DX641" s="2129" t="e">
        <f t="shared" si="22"/>
        <v>#VALUE!</v>
      </c>
      <c r="DY641" s="2129"/>
      <c r="DZ641" s="2129"/>
      <c r="EA641" s="2129"/>
      <c r="EB641" s="2129"/>
      <c r="EC641" s="2129">
        <f t="shared" si="23"/>
        <v>349.875</v>
      </c>
      <c r="ED641" s="2129"/>
      <c r="EE641" s="2129"/>
      <c r="EF641" s="2129"/>
      <c r="EG641" s="2129"/>
      <c r="EH641" s="2129" t="e">
        <f t="shared" si="24"/>
        <v>#VALUE!</v>
      </c>
      <c r="EI641" s="2129"/>
      <c r="EJ641" s="2129"/>
      <c r="EK641" s="2129"/>
      <c r="EL641" s="2129"/>
      <c r="EM641" s="2129" t="e">
        <f t="shared" si="25"/>
        <v>#VALUE!</v>
      </c>
      <c r="EN641" s="2129"/>
      <c r="EO641" s="2129"/>
      <c r="EP641" s="2129"/>
      <c r="EQ641" s="2129"/>
      <c r="ER641" s="2129" t="e">
        <f t="shared" si="26"/>
        <v>#VALUE!</v>
      </c>
      <c r="ES641" s="2129"/>
      <c r="ET641" s="2129"/>
      <c r="EU641" s="2129"/>
      <c r="EV641" s="2129"/>
      <c r="EW641" s="2129" t="e">
        <f t="shared" si="27"/>
        <v>#VALUE!</v>
      </c>
      <c r="EX641" s="2129"/>
      <c r="EY641" s="2129"/>
      <c r="EZ641" s="2129"/>
      <c r="FA641" s="2129"/>
    </row>
    <row r="642" spans="1:157" ht="12.75">
      <c r="B642" s="84" t="s">
        <v>619</v>
      </c>
      <c r="C642" s="2024"/>
      <c r="D642" s="2024"/>
      <c r="E642" s="2024"/>
      <c r="F642" s="2024"/>
      <c r="G642" s="2024"/>
      <c r="H642" s="2024"/>
      <c r="I642" s="2024"/>
      <c r="J642" s="2024"/>
      <c r="K642" s="2024"/>
      <c r="L642" s="2024"/>
      <c r="M642" s="2024"/>
      <c r="N642" s="2084"/>
      <c r="O642" s="2055"/>
      <c r="P642" s="2056"/>
      <c r="Q642" s="2057"/>
      <c r="R642" s="2072"/>
      <c r="S642" s="2073"/>
      <c r="T642" s="2074"/>
      <c r="U642" s="2088"/>
      <c r="V642" s="2089"/>
      <c r="W642" s="2090"/>
      <c r="X642" s="2085" t="s">
        <v>1386</v>
      </c>
      <c r="Y642" s="2086"/>
      <c r="Z642" s="2086"/>
      <c r="AA642" s="2086"/>
      <c r="AB642" s="2087"/>
      <c r="AC642" s="2091"/>
      <c r="AD642" s="2092"/>
      <c r="AE642" s="2093"/>
      <c r="AF642" s="2098"/>
      <c r="AG642" s="2099"/>
      <c r="AH642" s="2099"/>
      <c r="AI642" s="2099"/>
      <c r="AJ642" s="2100"/>
      <c r="AK642" s="2095"/>
      <c r="AL642" s="2096"/>
      <c r="AM642" s="2096"/>
      <c r="AN642" s="2097"/>
      <c r="AO642" s="2134"/>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32">
        <f>IF(J774="SRO/Studio",O774,0)</f>
        <v>0</v>
      </c>
      <c r="BO642" s="2033"/>
      <c r="BP642" s="2033"/>
      <c r="BQ642" s="2033"/>
      <c r="BR642" s="2034"/>
      <c r="BS642" s="2128">
        <f>IF(J774="1 Bedroom",O774,0)</f>
        <v>0</v>
      </c>
      <c r="BT642" s="2128"/>
      <c r="BU642" s="2128"/>
      <c r="BV642" s="2128"/>
      <c r="BW642" s="2128"/>
      <c r="BX642" s="2128">
        <f>IF(J774="2 Bedrooms",O774,0)</f>
        <v>0</v>
      </c>
      <c r="BY642" s="2128"/>
      <c r="BZ642" s="2128"/>
      <c r="CA642" s="2128"/>
      <c r="CB642" s="2128"/>
      <c r="CC642" s="2128">
        <f>IF(J774="3 Bedrooms",O774,0)</f>
        <v>0</v>
      </c>
      <c r="CD642" s="2128"/>
      <c r="CE642" s="2128"/>
      <c r="CF642" s="2128"/>
      <c r="CG642" s="2128"/>
      <c r="CH642" s="2128">
        <f>IF(J774="4 Bedrooms",O774,0)</f>
        <v>0</v>
      </c>
      <c r="CI642" s="2128"/>
      <c r="CJ642" s="2128"/>
      <c r="CK642" s="2128"/>
      <c r="CL642" s="2128"/>
      <c r="CM642" s="2128">
        <f>IF(J774="5 Bedrooms",O774,0)</f>
        <v>0</v>
      </c>
      <c r="CN642" s="2128"/>
      <c r="CO642" s="2128"/>
      <c r="CP642" s="2128"/>
      <c r="CQ642" s="2128"/>
      <c r="CR642" s="1823"/>
      <c r="CV642" s="58"/>
      <c r="CW642" s="58"/>
      <c r="CX642" s="58"/>
      <c r="CY642" s="58"/>
      <c r="CZ642" s="58"/>
      <c r="DA642" s="58"/>
      <c r="DB642" s="58"/>
      <c r="DC642" s="58"/>
      <c r="DD642" s="58"/>
      <c r="DE642" s="58"/>
      <c r="DF642" s="58"/>
      <c r="DX642" s="2129" t="e">
        <f t="shared" si="22"/>
        <v>#VALUE!</v>
      </c>
      <c r="DY642" s="2129"/>
      <c r="DZ642" s="2129"/>
      <c r="EA642" s="2129"/>
      <c r="EB642" s="2129"/>
      <c r="EC642" s="2129">
        <f t="shared" si="23"/>
        <v>136.875</v>
      </c>
      <c r="ED642" s="2129"/>
      <c r="EE642" s="2129"/>
      <c r="EF642" s="2129"/>
      <c r="EG642" s="2129"/>
      <c r="EH642" s="2129" t="e">
        <f t="shared" si="24"/>
        <v>#VALUE!</v>
      </c>
      <c r="EI642" s="2129"/>
      <c r="EJ642" s="2129"/>
      <c r="EK642" s="2129"/>
      <c r="EL642" s="2129"/>
      <c r="EM642" s="2129" t="e">
        <f t="shared" si="25"/>
        <v>#VALUE!</v>
      </c>
      <c r="EN642" s="2129"/>
      <c r="EO642" s="2129"/>
      <c r="EP642" s="2129"/>
      <c r="EQ642" s="2129"/>
      <c r="ER642" s="2129" t="e">
        <f t="shared" si="26"/>
        <v>#VALUE!</v>
      </c>
      <c r="ES642" s="2129"/>
      <c r="ET642" s="2129"/>
      <c r="EU642" s="2129"/>
      <c r="EV642" s="2129"/>
      <c r="EW642" s="2129" t="e">
        <f t="shared" si="27"/>
        <v>#VALUE!</v>
      </c>
      <c r="EX642" s="2129"/>
      <c r="EY642" s="2129"/>
      <c r="EZ642" s="2129"/>
      <c r="FA642" s="2129"/>
    </row>
    <row r="643" spans="1:157" ht="12.75">
      <c r="B643" s="84" t="s">
        <v>487</v>
      </c>
      <c r="C643" s="2024"/>
      <c r="D643" s="2024"/>
      <c r="E643" s="2024"/>
      <c r="F643" s="2024"/>
      <c r="G643" s="2024"/>
      <c r="H643" s="2024"/>
      <c r="I643" s="2024"/>
      <c r="J643" s="2024"/>
      <c r="K643" s="2024"/>
      <c r="L643" s="2024"/>
      <c r="M643" s="2024"/>
      <c r="N643" s="2084"/>
      <c r="O643" s="2055"/>
      <c r="P643" s="2056"/>
      <c r="Q643" s="2057"/>
      <c r="R643" s="2072"/>
      <c r="S643" s="2073"/>
      <c r="T643" s="2074"/>
      <c r="U643" s="2088"/>
      <c r="V643" s="2089"/>
      <c r="W643" s="2090"/>
      <c r="X643" s="2085" t="s">
        <v>1386</v>
      </c>
      <c r="Y643" s="2086"/>
      <c r="Z643" s="2086"/>
      <c r="AA643" s="2086"/>
      <c r="AB643" s="2087"/>
      <c r="AC643" s="2091"/>
      <c r="AD643" s="2092"/>
      <c r="AE643" s="2093"/>
      <c r="AF643" s="2098"/>
      <c r="AG643" s="2099"/>
      <c r="AH643" s="2099"/>
      <c r="AI643" s="2099"/>
      <c r="AJ643" s="2100"/>
      <c r="AK643" s="2095"/>
      <c r="AL643" s="2096"/>
      <c r="AM643" s="2096"/>
      <c r="AN643" s="2097"/>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32">
        <f>IF(J775="SRO/Studio",O775,0)</f>
        <v>0</v>
      </c>
      <c r="BO643" s="2033"/>
      <c r="BP643" s="2033"/>
      <c r="BQ643" s="2033"/>
      <c r="BR643" s="2034"/>
      <c r="BS643" s="2128">
        <f>IF(J775="1 Bedroom",O775,0)</f>
        <v>0</v>
      </c>
      <c r="BT643" s="2128"/>
      <c r="BU643" s="2128"/>
      <c r="BV643" s="2128"/>
      <c r="BW643" s="2128"/>
      <c r="BX643" s="2128">
        <f>IF(J775="2 Bedrooms",O775,0)</f>
        <v>0</v>
      </c>
      <c r="BY643" s="2128"/>
      <c r="BZ643" s="2128"/>
      <c r="CA643" s="2128"/>
      <c r="CB643" s="2128"/>
      <c r="CC643" s="2128">
        <f>IF(J775="3 Bedrooms",O775,0)</f>
        <v>0</v>
      </c>
      <c r="CD643" s="2128"/>
      <c r="CE643" s="2128"/>
      <c r="CF643" s="2128"/>
      <c r="CG643" s="2128"/>
      <c r="CH643" s="2128">
        <f>IF(J775="4 Bedrooms",O775,0)</f>
        <v>0</v>
      </c>
      <c r="CI643" s="2128"/>
      <c r="CJ643" s="2128"/>
      <c r="CK643" s="2128"/>
      <c r="CL643" s="2128"/>
      <c r="CM643" s="2128">
        <f>IF(J775="5 Bedrooms",O775,0)</f>
        <v>0</v>
      </c>
      <c r="CN643" s="2128"/>
      <c r="CO643" s="2128"/>
      <c r="CP643" s="2128"/>
      <c r="CQ643" s="2128"/>
      <c r="CV643" s="58"/>
      <c r="CW643" s="58"/>
      <c r="CX643" s="58"/>
      <c r="CY643" s="58"/>
      <c r="CZ643" s="58"/>
      <c r="DA643" s="58"/>
      <c r="DB643" s="58"/>
      <c r="DC643" s="58"/>
      <c r="DD643" s="58"/>
      <c r="DE643" s="58"/>
      <c r="DF643" s="58"/>
      <c r="DX643" s="2129" t="e">
        <f t="shared" si="22"/>
        <v>#VALUE!</v>
      </c>
      <c r="DY643" s="2129"/>
      <c r="DZ643" s="2129"/>
      <c r="EA643" s="2129"/>
      <c r="EB643" s="2129"/>
      <c r="EC643" s="2129" t="e">
        <f t="shared" si="23"/>
        <v>#VALUE!</v>
      </c>
      <c r="ED643" s="2129"/>
      <c r="EE643" s="2129"/>
      <c r="EF643" s="2129"/>
      <c r="EG643" s="2129"/>
      <c r="EH643" s="2129">
        <f t="shared" si="24"/>
        <v>56.041666666666671</v>
      </c>
      <c r="EI643" s="2129"/>
      <c r="EJ643" s="2129"/>
      <c r="EK643" s="2129"/>
      <c r="EL643" s="2129"/>
      <c r="EM643" s="2129" t="e">
        <f t="shared" si="25"/>
        <v>#VALUE!</v>
      </c>
      <c r="EN643" s="2129"/>
      <c r="EO643" s="2129"/>
      <c r="EP643" s="2129"/>
      <c r="EQ643" s="2129"/>
      <c r="ER643" s="2129" t="e">
        <f t="shared" si="26"/>
        <v>#VALUE!</v>
      </c>
      <c r="ES643" s="2129"/>
      <c r="ET643" s="2129"/>
      <c r="EU643" s="2129"/>
      <c r="EV643" s="2129"/>
      <c r="EW643" s="2129" t="e">
        <f t="shared" si="27"/>
        <v>#VALUE!</v>
      </c>
      <c r="EX643" s="2129"/>
      <c r="EY643" s="2129"/>
      <c r="EZ643" s="2129"/>
      <c r="FA643" s="2129"/>
    </row>
    <row r="644" spans="1:157" ht="12.75">
      <c r="B644" s="84" t="s">
        <v>488</v>
      </c>
      <c r="C644" s="2024"/>
      <c r="D644" s="2024"/>
      <c r="E644" s="2024"/>
      <c r="F644" s="2024"/>
      <c r="G644" s="2024"/>
      <c r="H644" s="2024"/>
      <c r="I644" s="2024"/>
      <c r="J644" s="2024"/>
      <c r="K644" s="2024"/>
      <c r="L644" s="2024"/>
      <c r="M644" s="2024"/>
      <c r="N644" s="2084"/>
      <c r="O644" s="2055"/>
      <c r="P644" s="2056"/>
      <c r="Q644" s="2057"/>
      <c r="R644" s="2072"/>
      <c r="S644" s="2073"/>
      <c r="T644" s="2074"/>
      <c r="U644" s="2088"/>
      <c r="V644" s="2089"/>
      <c r="W644" s="2090"/>
      <c r="X644" s="2085" t="s">
        <v>1386</v>
      </c>
      <c r="Y644" s="2086"/>
      <c r="Z644" s="2086"/>
      <c r="AA644" s="2086"/>
      <c r="AB644" s="2087"/>
      <c r="AC644" s="2091"/>
      <c r="AD644" s="2092"/>
      <c r="AE644" s="2093"/>
      <c r="AF644" s="2098"/>
      <c r="AG644" s="2099"/>
      <c r="AH644" s="2099"/>
      <c r="AI644" s="2099"/>
      <c r="AJ644" s="2100"/>
      <c r="AK644" s="2095"/>
      <c r="AL644" s="2096"/>
      <c r="AM644" s="2096"/>
      <c r="AN644" s="2097"/>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523">
        <f>SUM(BN640:BR643)</f>
        <v>0</v>
      </c>
      <c r="BO644" s="2579"/>
      <c r="BP644" s="2579"/>
      <c r="BQ644" s="2579"/>
      <c r="BR644" s="2524"/>
      <c r="BS644" s="2125">
        <f>SUM(BS640:BW643)</f>
        <v>0</v>
      </c>
      <c r="BT644" s="2126"/>
      <c r="BU644" s="2126"/>
      <c r="BV644" s="2126"/>
      <c r="BW644" s="2127"/>
      <c r="BX644" s="2125">
        <f>SUM(BX640:CB643)</f>
        <v>0</v>
      </c>
      <c r="BY644" s="2126"/>
      <c r="BZ644" s="2126"/>
      <c r="CA644" s="2126"/>
      <c r="CB644" s="2127"/>
      <c r="CC644" s="2125">
        <f>SUM(CC640:CG643)</f>
        <v>2</v>
      </c>
      <c r="CD644" s="2126"/>
      <c r="CE644" s="2126"/>
      <c r="CF644" s="2126"/>
      <c r="CG644" s="2127"/>
      <c r="CH644" s="2125">
        <f>SUM(CH640:CL643)</f>
        <v>0</v>
      </c>
      <c r="CI644" s="2126"/>
      <c r="CJ644" s="2126"/>
      <c r="CK644" s="2126"/>
      <c r="CL644" s="2127"/>
      <c r="CM644" s="2125">
        <f>SUM(CM640:CQ643)</f>
        <v>0</v>
      </c>
      <c r="CN644" s="2126"/>
      <c r="CO644" s="2126"/>
      <c r="CP644" s="2126"/>
      <c r="CQ644" s="2127"/>
      <c r="CS644" s="1472">
        <f>BN644+BS644+BX644+CC644+CH644+CM644</f>
        <v>2</v>
      </c>
      <c r="CT644" s="134" t="s">
        <v>2450</v>
      </c>
      <c r="CU644" s="58"/>
      <c r="CV644" s="58"/>
      <c r="CW644" s="58"/>
      <c r="CX644" s="58"/>
      <c r="CY644" s="58"/>
      <c r="CZ644" s="58"/>
      <c r="DA644" s="58"/>
      <c r="DB644" s="58"/>
      <c r="DC644" s="58"/>
      <c r="DD644" s="58"/>
      <c r="DE644" s="58"/>
      <c r="DF644" s="58"/>
      <c r="DX644" s="2129" t="e">
        <f t="shared" si="22"/>
        <v>#VALUE!</v>
      </c>
      <c r="DY644" s="2129"/>
      <c r="DZ644" s="2129"/>
      <c r="EA644" s="2129"/>
      <c r="EB644" s="2129"/>
      <c r="EC644" s="2129" t="e">
        <f t="shared" si="23"/>
        <v>#VALUE!</v>
      </c>
      <c r="ED644" s="2129"/>
      <c r="EE644" s="2129"/>
      <c r="EF644" s="2129"/>
      <c r="EG644" s="2129"/>
      <c r="EH644" s="2129">
        <f t="shared" si="24"/>
        <v>96.5625</v>
      </c>
      <c r="EI644" s="2129"/>
      <c r="EJ644" s="2129"/>
      <c r="EK644" s="2129"/>
      <c r="EL644" s="2129"/>
      <c r="EM644" s="2129" t="e">
        <f t="shared" si="25"/>
        <v>#VALUE!</v>
      </c>
      <c r="EN644" s="2129"/>
      <c r="EO644" s="2129"/>
      <c r="EP644" s="2129"/>
      <c r="EQ644" s="2129"/>
      <c r="ER644" s="2129" t="e">
        <f t="shared" si="26"/>
        <v>#VALUE!</v>
      </c>
      <c r="ES644" s="2129"/>
      <c r="ET644" s="2129"/>
      <c r="EU644" s="2129"/>
      <c r="EV644" s="2129"/>
      <c r="EW644" s="2129" t="e">
        <f t="shared" si="27"/>
        <v>#VALUE!</v>
      </c>
      <c r="EX644" s="2129"/>
      <c r="EY644" s="2129"/>
      <c r="EZ644" s="2129"/>
      <c r="FA644" s="2129"/>
    </row>
    <row r="645" spans="1:157" ht="12.75">
      <c r="B645" s="84" t="s">
        <v>494</v>
      </c>
      <c r="C645" s="2024"/>
      <c r="D645" s="2024"/>
      <c r="E645" s="2024"/>
      <c r="F645" s="2024"/>
      <c r="G645" s="2024"/>
      <c r="H645" s="2024"/>
      <c r="I645" s="2024"/>
      <c r="J645" s="2024"/>
      <c r="K645" s="2024"/>
      <c r="L645" s="2024"/>
      <c r="M645" s="2024"/>
      <c r="N645" s="2084"/>
      <c r="O645" s="2055"/>
      <c r="P645" s="2056"/>
      <c r="Q645" s="2057"/>
      <c r="R645" s="2072"/>
      <c r="S645" s="2073"/>
      <c r="T645" s="2074"/>
      <c r="U645" s="2088"/>
      <c r="V645" s="2089"/>
      <c r="W645" s="2090"/>
      <c r="X645" s="2085" t="s">
        <v>1386</v>
      </c>
      <c r="Y645" s="2086"/>
      <c r="Z645" s="2086"/>
      <c r="AA645" s="2086"/>
      <c r="AB645" s="2087"/>
      <c r="AC645" s="2091"/>
      <c r="AD645" s="2092"/>
      <c r="AE645" s="2093"/>
      <c r="AF645" s="2098"/>
      <c r="AG645" s="2099"/>
      <c r="AH645" s="2099"/>
      <c r="AI645" s="2099"/>
      <c r="AJ645" s="2100"/>
      <c r="AK645" s="2095"/>
      <c r="AL645" s="2096"/>
      <c r="AM645" s="2096"/>
      <c r="AN645" s="2097"/>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6</v>
      </c>
      <c r="CH645" s="58"/>
      <c r="CI645" s="58"/>
      <c r="CJ645" s="58"/>
      <c r="CK645" s="58"/>
      <c r="CL645" s="1472">
        <f>CH644*4</f>
        <v>0</v>
      </c>
      <c r="CM645" s="58"/>
      <c r="CN645" s="58"/>
      <c r="CO645" s="58"/>
      <c r="CP645" s="58"/>
      <c r="CQ645" s="1472">
        <f>CM644*5</f>
        <v>0</v>
      </c>
      <c r="CS645" s="1472">
        <f>BR645+BW645+CB645+CG645+CL645+CQ645</f>
        <v>6</v>
      </c>
      <c r="CT645" s="134" t="s">
        <v>2452</v>
      </c>
      <c r="CU645" s="58"/>
      <c r="CV645" s="58"/>
      <c r="CW645" s="58"/>
      <c r="CX645" s="58"/>
      <c r="CY645" s="58"/>
      <c r="CZ645" s="58"/>
      <c r="DA645" s="58"/>
      <c r="DB645" s="58"/>
      <c r="DC645" s="58"/>
      <c r="DD645" s="58"/>
      <c r="DE645" s="58"/>
      <c r="DF645" s="58"/>
      <c r="DX645" s="2129" t="e">
        <f t="shared" si="22"/>
        <v>#VALUE!</v>
      </c>
      <c r="DY645" s="2129"/>
      <c r="DZ645" s="2129"/>
      <c r="EA645" s="2129"/>
      <c r="EB645" s="2129"/>
      <c r="EC645" s="2129" t="e">
        <f t="shared" si="23"/>
        <v>#VALUE!</v>
      </c>
      <c r="ED645" s="2129"/>
      <c r="EE645" s="2129"/>
      <c r="EF645" s="2129"/>
      <c r="EG645" s="2129"/>
      <c r="EH645" s="2129">
        <f t="shared" si="24"/>
        <v>326.95833333333337</v>
      </c>
      <c r="EI645" s="2129"/>
      <c r="EJ645" s="2129"/>
      <c r="EK645" s="2129"/>
      <c r="EL645" s="2129"/>
      <c r="EM645" s="2129" t="e">
        <f t="shared" si="25"/>
        <v>#VALUE!</v>
      </c>
      <c r="EN645" s="2129"/>
      <c r="EO645" s="2129"/>
      <c r="EP645" s="2129"/>
      <c r="EQ645" s="2129"/>
      <c r="ER645" s="2129" t="e">
        <f t="shared" si="26"/>
        <v>#VALUE!</v>
      </c>
      <c r="ES645" s="2129"/>
      <c r="ET645" s="2129"/>
      <c r="EU645" s="2129"/>
      <c r="EV645" s="2129"/>
      <c r="EW645" s="2129" t="e">
        <f t="shared" si="27"/>
        <v>#VALUE!</v>
      </c>
      <c r="EX645" s="2129"/>
      <c r="EY645" s="2129"/>
      <c r="EZ645" s="2129"/>
      <c r="FA645" s="2129"/>
    </row>
    <row r="646" spans="1:157" ht="12.75">
      <c r="B646" s="84" t="s">
        <v>681</v>
      </c>
      <c r="C646" s="2024"/>
      <c r="D646" s="2024"/>
      <c r="E646" s="2024"/>
      <c r="F646" s="2024"/>
      <c r="G646" s="2024"/>
      <c r="H646" s="2024"/>
      <c r="I646" s="2024"/>
      <c r="J646" s="2024"/>
      <c r="K646" s="2024"/>
      <c r="L646" s="2024"/>
      <c r="M646" s="2024"/>
      <c r="N646" s="2084"/>
      <c r="O646" s="2055"/>
      <c r="P646" s="2056"/>
      <c r="Q646" s="2057"/>
      <c r="R646" s="2072"/>
      <c r="S646" s="2073"/>
      <c r="T646" s="2074"/>
      <c r="U646" s="2088"/>
      <c r="V646" s="2089"/>
      <c r="W646" s="2090"/>
      <c r="X646" s="2085" t="s">
        <v>1386</v>
      </c>
      <c r="Y646" s="2086"/>
      <c r="Z646" s="2086"/>
      <c r="AA646" s="2086"/>
      <c r="AB646" s="2087"/>
      <c r="AC646" s="2091"/>
      <c r="AD646" s="2092"/>
      <c r="AE646" s="2093"/>
      <c r="AF646" s="2098"/>
      <c r="AG646" s="2099"/>
      <c r="AH646" s="2099"/>
      <c r="AI646" s="2099"/>
      <c r="AJ646" s="2100"/>
      <c r="AK646" s="2095"/>
      <c r="AL646" s="2096"/>
      <c r="AM646" s="2096"/>
      <c r="AN646" s="2097"/>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129" t="e">
        <f t="shared" si="22"/>
        <v>#VALUE!</v>
      </c>
      <c r="DY646" s="2129"/>
      <c r="DZ646" s="2129"/>
      <c r="EA646" s="2129"/>
      <c r="EB646" s="2129"/>
      <c r="EC646" s="2129" t="e">
        <f t="shared" si="23"/>
        <v>#VALUE!</v>
      </c>
      <c r="ED646" s="2129"/>
      <c r="EE646" s="2129"/>
      <c r="EF646" s="2129"/>
      <c r="EG646" s="2129"/>
      <c r="EH646" s="2129">
        <f t="shared" si="24"/>
        <v>23.354166666666664</v>
      </c>
      <c r="EI646" s="2129"/>
      <c r="EJ646" s="2129"/>
      <c r="EK646" s="2129"/>
      <c r="EL646" s="2129"/>
      <c r="EM646" s="2129" t="e">
        <f t="shared" si="25"/>
        <v>#VALUE!</v>
      </c>
      <c r="EN646" s="2129"/>
      <c r="EO646" s="2129"/>
      <c r="EP646" s="2129"/>
      <c r="EQ646" s="2129"/>
      <c r="ER646" s="2129" t="e">
        <f t="shared" si="26"/>
        <v>#VALUE!</v>
      </c>
      <c r="ES646" s="2129"/>
      <c r="ET646" s="2129"/>
      <c r="EU646" s="2129"/>
      <c r="EV646" s="2129"/>
      <c r="EW646" s="2129" t="e">
        <f t="shared" si="27"/>
        <v>#VALUE!</v>
      </c>
      <c r="EX646" s="2129"/>
      <c r="EY646" s="2129"/>
      <c r="EZ646" s="2129"/>
      <c r="FA646" s="2129"/>
    </row>
    <row r="647" spans="1:157" ht="12.75">
      <c r="B647" s="84" t="s">
        <v>373</v>
      </c>
      <c r="C647" s="2024"/>
      <c r="D647" s="2024"/>
      <c r="E647" s="2024"/>
      <c r="F647" s="2024"/>
      <c r="G647" s="2024"/>
      <c r="H647" s="2024"/>
      <c r="I647" s="2024"/>
      <c r="J647" s="2024"/>
      <c r="K647" s="2024"/>
      <c r="L647" s="2024"/>
      <c r="M647" s="2024"/>
      <c r="N647" s="2084"/>
      <c r="O647" s="2055"/>
      <c r="P647" s="2056"/>
      <c r="Q647" s="2057"/>
      <c r="R647" s="2072"/>
      <c r="S647" s="2073"/>
      <c r="T647" s="2074"/>
      <c r="U647" s="2088"/>
      <c r="V647" s="2089"/>
      <c r="W647" s="2090"/>
      <c r="X647" s="2085" t="s">
        <v>1386</v>
      </c>
      <c r="Y647" s="2086"/>
      <c r="Z647" s="2086"/>
      <c r="AA647" s="2086"/>
      <c r="AB647" s="2087"/>
      <c r="AC647" s="2091"/>
      <c r="AD647" s="2092"/>
      <c r="AE647" s="2093"/>
      <c r="AF647" s="2098"/>
      <c r="AG647" s="2099"/>
      <c r="AH647" s="2099"/>
      <c r="AI647" s="2099"/>
      <c r="AJ647" s="2100"/>
      <c r="AK647" s="2095"/>
      <c r="AL647" s="2096"/>
      <c r="AM647" s="2096"/>
      <c r="AN647" s="2097"/>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129" t="e">
        <f t="shared" si="22"/>
        <v>#VALUE!</v>
      </c>
      <c r="DY647" s="2129"/>
      <c r="DZ647" s="2129"/>
      <c r="EA647" s="2129"/>
      <c r="EB647" s="2129"/>
      <c r="EC647" s="2129" t="e">
        <f t="shared" si="23"/>
        <v>#VALUE!</v>
      </c>
      <c r="ED647" s="2129"/>
      <c r="EE647" s="2129"/>
      <c r="EF647" s="2129"/>
      <c r="EG647" s="2129"/>
      <c r="EH647" s="2129">
        <f t="shared" si="24"/>
        <v>630.10416666666674</v>
      </c>
      <c r="EI647" s="2129"/>
      <c r="EJ647" s="2129"/>
      <c r="EK647" s="2129"/>
      <c r="EL647" s="2129"/>
      <c r="EM647" s="2129" t="e">
        <f t="shared" si="25"/>
        <v>#VALUE!</v>
      </c>
      <c r="EN647" s="2129"/>
      <c r="EO647" s="2129"/>
      <c r="EP647" s="2129"/>
      <c r="EQ647" s="2129"/>
      <c r="ER647" s="2129" t="e">
        <f t="shared" si="26"/>
        <v>#VALUE!</v>
      </c>
      <c r="ES647" s="2129"/>
      <c r="ET647" s="2129"/>
      <c r="EU647" s="2129"/>
      <c r="EV647" s="2129"/>
      <c r="EW647" s="2129" t="e">
        <f t="shared" si="27"/>
        <v>#VALUE!</v>
      </c>
      <c r="EX647" s="2129"/>
      <c r="EY647" s="2129"/>
      <c r="EZ647" s="2129"/>
      <c r="FA647" s="2129"/>
    </row>
    <row r="648" spans="1:157" ht="12.75">
      <c r="B648" s="84" t="s">
        <v>374</v>
      </c>
      <c r="C648" s="2024"/>
      <c r="D648" s="2024"/>
      <c r="E648" s="2024"/>
      <c r="F648" s="2024"/>
      <c r="G648" s="2024"/>
      <c r="H648" s="2024"/>
      <c r="I648" s="2024"/>
      <c r="J648" s="2024"/>
      <c r="K648" s="2024"/>
      <c r="L648" s="2024"/>
      <c r="M648" s="2024"/>
      <c r="N648" s="2084"/>
      <c r="O648" s="2055"/>
      <c r="P648" s="2056"/>
      <c r="Q648" s="2057"/>
      <c r="R648" s="2072"/>
      <c r="S648" s="2073"/>
      <c r="T648" s="2074"/>
      <c r="U648" s="2088"/>
      <c r="V648" s="2089"/>
      <c r="W648" s="2090"/>
      <c r="X648" s="2085" t="s">
        <v>1386</v>
      </c>
      <c r="Y648" s="2086"/>
      <c r="Z648" s="2086"/>
      <c r="AA648" s="2086"/>
      <c r="AB648" s="2087"/>
      <c r="AC648" s="2091"/>
      <c r="AD648" s="2092"/>
      <c r="AE648" s="2093"/>
      <c r="AF648" s="2098"/>
      <c r="AG648" s="2099"/>
      <c r="AH648" s="2099"/>
      <c r="AI648" s="2099"/>
      <c r="AJ648" s="2100"/>
      <c r="AK648" s="2095"/>
      <c r="AL648" s="2096"/>
      <c r="AM648" s="2096"/>
      <c r="AN648" s="2097"/>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32">
        <f t="shared" ref="BN648:BN657" si="28">IF(J786="SRO/Studio",O786,0)</f>
        <v>0</v>
      </c>
      <c r="BO648" s="2033"/>
      <c r="BP648" s="2033"/>
      <c r="BQ648" s="2033"/>
      <c r="BR648" s="2034"/>
      <c r="BS648" s="2128">
        <f t="shared" ref="BS648:BS657" si="29">IF(J786="1 Bedroom",O786,0)</f>
        <v>0</v>
      </c>
      <c r="BT648" s="2128"/>
      <c r="BU648" s="2128"/>
      <c r="BV648" s="2128"/>
      <c r="BW648" s="2128"/>
      <c r="BX648" s="2128">
        <f t="shared" ref="BX648:BX657" si="30">IF(J786="2 Bedrooms",O786,0)</f>
        <v>0</v>
      </c>
      <c r="BY648" s="2128"/>
      <c r="BZ648" s="2128"/>
      <c r="CA648" s="2128"/>
      <c r="CB648" s="2128"/>
      <c r="CC648" s="2128">
        <f t="shared" ref="CC648:CC657" si="31">IF(J786="3 Bedrooms",O786,0)</f>
        <v>0</v>
      </c>
      <c r="CD648" s="2128"/>
      <c r="CE648" s="2128"/>
      <c r="CF648" s="2128"/>
      <c r="CG648" s="2128"/>
      <c r="CH648" s="2128">
        <f t="shared" ref="CH648:CH657" si="32">IF(J786="4 Bedrooms",O786,0)</f>
        <v>0</v>
      </c>
      <c r="CI648" s="2128"/>
      <c r="CJ648" s="2128"/>
      <c r="CK648" s="2128"/>
      <c r="CL648" s="2128"/>
      <c r="CM648" s="2128">
        <f t="shared" ref="CM648:CM657" si="33">IF(J786="5 Bedrooms",O786,0)</f>
        <v>0</v>
      </c>
      <c r="CN648" s="2128"/>
      <c r="CO648" s="2128"/>
      <c r="CP648" s="2128"/>
      <c r="CQ648" s="2128"/>
      <c r="CR648" s="265"/>
      <c r="CS648" s="2032">
        <f>IF(AND(BN648&gt;=1,AH786&gt;=0.1,AH786&lt;=1),O786,0)</f>
        <v>0</v>
      </c>
      <c r="CT648" s="2033"/>
      <c r="CU648" s="2033"/>
      <c r="CV648" s="2033"/>
      <c r="CW648" s="2034"/>
      <c r="CX648" s="2032">
        <f>IF(AND(BS648&gt;=1,AH786&gt;=0.1,AH786&lt;=1),O786,0)</f>
        <v>0</v>
      </c>
      <c r="CY648" s="2033"/>
      <c r="CZ648" s="2033"/>
      <c r="DA648" s="2033"/>
      <c r="DB648" s="2034"/>
      <c r="DC648" s="2032">
        <f>IF(AND(BX648&gt;=1,AH786&gt;=0.1,AH786&lt;=1),O786,0)</f>
        <v>0</v>
      </c>
      <c r="DD648" s="2033"/>
      <c r="DE648" s="2033"/>
      <c r="DF648" s="2033"/>
      <c r="DG648" s="2034"/>
      <c r="DH648" s="2032">
        <f>IF(AND(CC648&gt;=1,AH786&gt;=0.1,AH786&lt;=1),O786,0)</f>
        <v>0</v>
      </c>
      <c r="DI648" s="2033"/>
      <c r="DJ648" s="2033"/>
      <c r="DK648" s="2033"/>
      <c r="DL648" s="2034"/>
      <c r="DM648" s="2032">
        <f>IF(AND(CH648&gt;=1,AH786&gt;=0.1,AH786&lt;=1),O786,0)</f>
        <v>0</v>
      </c>
      <c r="DN648" s="2033"/>
      <c r="DO648" s="2033"/>
      <c r="DP648" s="2033"/>
      <c r="DQ648" s="2034"/>
      <c r="DR648" s="2032">
        <f>IF(AND(CM648&gt;=1,AH786&gt;=0.1,AH786&lt;=1),O786,0)</f>
        <v>0</v>
      </c>
      <c r="DS648" s="2033"/>
      <c r="DT648" s="2033"/>
      <c r="DU648" s="2033"/>
      <c r="DV648" s="2034"/>
      <c r="DX648" s="2129" t="e">
        <f t="shared" si="22"/>
        <v>#VALUE!</v>
      </c>
      <c r="DY648" s="2129"/>
      <c r="DZ648" s="2129"/>
      <c r="EA648" s="2129"/>
      <c r="EB648" s="2129"/>
      <c r="EC648" s="2129" t="e">
        <f t="shared" si="23"/>
        <v>#VALUE!</v>
      </c>
      <c r="ED648" s="2129"/>
      <c r="EE648" s="2129"/>
      <c r="EF648" s="2129"/>
      <c r="EG648" s="2129"/>
      <c r="EH648" s="2129" t="e">
        <f t="shared" si="24"/>
        <v>#VALUE!</v>
      </c>
      <c r="EI648" s="2129"/>
      <c r="EJ648" s="2129"/>
      <c r="EK648" s="2129"/>
      <c r="EL648" s="2129"/>
      <c r="EM648" s="2129">
        <f t="shared" si="25"/>
        <v>65.104166666666671</v>
      </c>
      <c r="EN648" s="2129"/>
      <c r="EO648" s="2129"/>
      <c r="EP648" s="2129"/>
      <c r="EQ648" s="2129"/>
      <c r="ER648" s="2129" t="e">
        <f t="shared" si="26"/>
        <v>#VALUE!</v>
      </c>
      <c r="ES648" s="2129"/>
      <c r="ET648" s="2129"/>
      <c r="EU648" s="2129"/>
      <c r="EV648" s="2129"/>
      <c r="EW648" s="2129" t="e">
        <f t="shared" si="27"/>
        <v>#VALUE!</v>
      </c>
      <c r="EX648" s="2129"/>
      <c r="EY648" s="2129"/>
      <c r="EZ648" s="2129"/>
      <c r="FA648" s="2129"/>
    </row>
    <row r="649" spans="1:157" ht="12.75">
      <c r="B649" s="2246" t="s">
        <v>133</v>
      </c>
      <c r="C649" s="2247"/>
      <c r="D649" s="2247"/>
      <c r="E649" s="2247"/>
      <c r="F649" s="2247"/>
      <c r="G649" s="2247"/>
      <c r="H649" s="2247"/>
      <c r="I649" s="2247"/>
      <c r="J649" s="2247"/>
      <c r="K649" s="2247"/>
      <c r="L649" s="2247"/>
      <c r="M649" s="2247"/>
      <c r="N649" s="2247"/>
      <c r="O649" s="2247"/>
      <c r="P649" s="2247"/>
      <c r="Q649" s="2247"/>
      <c r="R649" s="2247"/>
      <c r="S649" s="2247"/>
      <c r="T649" s="2247"/>
      <c r="U649" s="2247"/>
      <c r="V649" s="2247"/>
      <c r="W649" s="2247"/>
      <c r="X649" s="2247"/>
      <c r="Y649" s="2247"/>
      <c r="Z649" s="2247"/>
      <c r="AA649" s="2247"/>
      <c r="AB649" s="2247"/>
      <c r="AC649" s="2247"/>
      <c r="AD649" s="2247"/>
      <c r="AE649" s="2247"/>
      <c r="AF649" s="2247"/>
      <c r="AG649" s="2247"/>
      <c r="AH649" s="2247"/>
      <c r="AI649" s="2247"/>
      <c r="AJ649" s="2247"/>
      <c r="AK649" s="2247"/>
      <c r="AL649" s="2247"/>
      <c r="AM649" s="2247"/>
      <c r="AN649" s="2248"/>
      <c r="AO649" s="2138">
        <f>SUM(AO637:AR648)</f>
        <v>30381379</v>
      </c>
      <c r="AP649" s="2139"/>
      <c r="AQ649" s="2139"/>
      <c r="AR649" s="2139"/>
      <c r="AS649" s="2140"/>
      <c r="AZ649" s="58"/>
      <c r="BA649" s="58"/>
      <c r="BB649" s="58"/>
      <c r="BC649" s="58"/>
      <c r="BD649" s="58"/>
      <c r="BE649" s="58"/>
      <c r="BF649" s="58"/>
      <c r="BG649" s="58"/>
      <c r="BH649" s="58"/>
      <c r="BI649" s="58"/>
      <c r="BJ649" s="58"/>
      <c r="BK649" s="58"/>
      <c r="BL649" s="58"/>
      <c r="BM649" s="58"/>
      <c r="BN649" s="2032">
        <f t="shared" si="28"/>
        <v>0</v>
      </c>
      <c r="BO649" s="2033"/>
      <c r="BP649" s="2033"/>
      <c r="BQ649" s="2033"/>
      <c r="BR649" s="2034"/>
      <c r="BS649" s="2128">
        <f t="shared" si="29"/>
        <v>0</v>
      </c>
      <c r="BT649" s="2128"/>
      <c r="BU649" s="2128"/>
      <c r="BV649" s="2128"/>
      <c r="BW649" s="2128"/>
      <c r="BX649" s="2128">
        <f t="shared" si="30"/>
        <v>0</v>
      </c>
      <c r="BY649" s="2128"/>
      <c r="BZ649" s="2128"/>
      <c r="CA649" s="2128"/>
      <c r="CB649" s="2128"/>
      <c r="CC649" s="2128">
        <f t="shared" si="31"/>
        <v>0</v>
      </c>
      <c r="CD649" s="2128"/>
      <c r="CE649" s="2128"/>
      <c r="CF649" s="2128"/>
      <c r="CG649" s="2128"/>
      <c r="CH649" s="2128">
        <f t="shared" si="32"/>
        <v>0</v>
      </c>
      <c r="CI649" s="2128"/>
      <c r="CJ649" s="2128"/>
      <c r="CK649" s="2128"/>
      <c r="CL649" s="2128"/>
      <c r="CM649" s="2128">
        <f t="shared" si="33"/>
        <v>0</v>
      </c>
      <c r="CN649" s="2128"/>
      <c r="CO649" s="2128"/>
      <c r="CP649" s="2128"/>
      <c r="CQ649" s="2128"/>
      <c r="CR649" s="265"/>
      <c r="CS649" s="2032">
        <f t="shared" ref="CS649:CS657" si="34">IF(AND(BN649&gt;=1,AH787&gt;=0.1,AH787&lt;=1),O787,0)</f>
        <v>0</v>
      </c>
      <c r="CT649" s="2033"/>
      <c r="CU649" s="2033"/>
      <c r="CV649" s="2033"/>
      <c r="CW649" s="2034"/>
      <c r="CX649" s="2032">
        <f t="shared" ref="CX649:CX657" si="35">IF(AND(BS649&gt;=1,AH787&gt;=0.1,AH787&lt;=1),O787,0)</f>
        <v>0</v>
      </c>
      <c r="CY649" s="2033"/>
      <c r="CZ649" s="2033"/>
      <c r="DA649" s="2033"/>
      <c r="DB649" s="2034"/>
      <c r="DC649" s="2032">
        <f t="shared" ref="DC649:DC657" si="36">IF(AND(BX649&gt;=1,AH787&gt;=0.1,AH787&lt;=1),O787,0)</f>
        <v>0</v>
      </c>
      <c r="DD649" s="2033"/>
      <c r="DE649" s="2033"/>
      <c r="DF649" s="2033"/>
      <c r="DG649" s="2034"/>
      <c r="DH649" s="2032">
        <f t="shared" ref="DH649:DH657" si="37">IF(AND(CC649&gt;=1,AH787&gt;=0.1,AH787&lt;=1),O787,0)</f>
        <v>0</v>
      </c>
      <c r="DI649" s="2033"/>
      <c r="DJ649" s="2033"/>
      <c r="DK649" s="2033"/>
      <c r="DL649" s="2034"/>
      <c r="DM649" s="2032">
        <f t="shared" ref="DM649:DM657" si="38">IF(AND(CH649&gt;=1,AH787&gt;=0.1,AH787&lt;=1),O787,0)</f>
        <v>0</v>
      </c>
      <c r="DN649" s="2033"/>
      <c r="DO649" s="2033"/>
      <c r="DP649" s="2033"/>
      <c r="DQ649" s="2034"/>
      <c r="DR649" s="2032">
        <f t="shared" ref="DR649:DR657" si="39">IF(AND(CM649&gt;=1,AH787&gt;=0.1,AH787&lt;=1),O787,0)</f>
        <v>0</v>
      </c>
      <c r="DS649" s="2033"/>
      <c r="DT649" s="2033"/>
      <c r="DU649" s="2033"/>
      <c r="DV649" s="2034"/>
      <c r="DX649" s="2129" t="e">
        <f t="shared" si="22"/>
        <v>#VALUE!</v>
      </c>
      <c r="DY649" s="2129"/>
      <c r="DZ649" s="2129"/>
      <c r="EA649" s="2129"/>
      <c r="EB649" s="2129"/>
      <c r="EC649" s="2129" t="e">
        <f t="shared" si="23"/>
        <v>#VALUE!</v>
      </c>
      <c r="ED649" s="2129"/>
      <c r="EE649" s="2129"/>
      <c r="EF649" s="2129"/>
      <c r="EG649" s="2129"/>
      <c r="EH649" s="2129" t="e">
        <f t="shared" si="24"/>
        <v>#VALUE!</v>
      </c>
      <c r="EI649" s="2129"/>
      <c r="EJ649" s="2129"/>
      <c r="EK649" s="2129"/>
      <c r="EL649" s="2129"/>
      <c r="EM649" s="2129">
        <f t="shared" si="25"/>
        <v>111.875</v>
      </c>
      <c r="EN649" s="2129"/>
      <c r="EO649" s="2129"/>
      <c r="EP649" s="2129"/>
      <c r="EQ649" s="2129"/>
      <c r="ER649" s="2129" t="e">
        <f t="shared" si="26"/>
        <v>#VALUE!</v>
      </c>
      <c r="ES649" s="2129"/>
      <c r="ET649" s="2129"/>
      <c r="EU649" s="2129"/>
      <c r="EV649" s="2129"/>
      <c r="EW649" s="2129" t="e">
        <f t="shared" si="27"/>
        <v>#VALUE!</v>
      </c>
      <c r="EX649" s="2129"/>
      <c r="EY649" s="2129"/>
      <c r="EZ649" s="2129"/>
      <c r="FA649" s="2129"/>
    </row>
    <row r="650" spans="1:157" ht="12.75" customHeight="1">
      <c r="B650" s="2246" t="s">
        <v>274</v>
      </c>
      <c r="C650" s="2247"/>
      <c r="D650" s="2247"/>
      <c r="E650" s="2247"/>
      <c r="F650" s="2247"/>
      <c r="G650" s="2247"/>
      <c r="H650" s="2247"/>
      <c r="I650" s="2247"/>
      <c r="J650" s="2247"/>
      <c r="K650" s="2247"/>
      <c r="L650" s="2247"/>
      <c r="M650" s="2247"/>
      <c r="N650" s="2247"/>
      <c r="O650" s="2247"/>
      <c r="P650" s="2247"/>
      <c r="Q650" s="2247"/>
      <c r="R650" s="2247"/>
      <c r="S650" s="2247"/>
      <c r="T650" s="2247"/>
      <c r="U650" s="2247"/>
      <c r="V650" s="2247"/>
      <c r="W650" s="2247"/>
      <c r="X650" s="2247"/>
      <c r="Y650" s="2247"/>
      <c r="Z650" s="2247"/>
      <c r="AA650" s="2247"/>
      <c r="AB650" s="2247"/>
      <c r="AC650" s="2247"/>
      <c r="AD650" s="2247"/>
      <c r="AE650" s="2247"/>
      <c r="AF650" s="2247"/>
      <c r="AG650" s="2247"/>
      <c r="AH650" s="2247"/>
      <c r="AI650" s="2247"/>
      <c r="AJ650" s="2247"/>
      <c r="AK650" s="2247"/>
      <c r="AL650" s="2247"/>
      <c r="AM650" s="2247"/>
      <c r="AN650" s="2248"/>
      <c r="AO650" s="2135">
        <v>32049287</v>
      </c>
      <c r="AP650" s="2136"/>
      <c r="AQ650" s="2136"/>
      <c r="AR650" s="2136"/>
      <c r="AS650" s="2137"/>
      <c r="AZ650" s="61"/>
      <c r="BA650" s="61"/>
      <c r="BB650" s="61"/>
      <c r="BC650" s="61"/>
      <c r="BD650" s="61"/>
      <c r="BE650" s="61"/>
      <c r="BF650" s="61"/>
      <c r="BG650" s="61"/>
      <c r="BH650" s="61"/>
      <c r="BI650" s="61"/>
      <c r="BJ650" s="61"/>
      <c r="BK650" s="61"/>
      <c r="BL650" s="61"/>
      <c r="BM650" s="61"/>
      <c r="BN650" s="2032">
        <f t="shared" si="28"/>
        <v>0</v>
      </c>
      <c r="BO650" s="2033"/>
      <c r="BP650" s="2033"/>
      <c r="BQ650" s="2033"/>
      <c r="BR650" s="2034"/>
      <c r="BS650" s="2128">
        <f t="shared" si="29"/>
        <v>0</v>
      </c>
      <c r="BT650" s="2128"/>
      <c r="BU650" s="2128"/>
      <c r="BV650" s="2128"/>
      <c r="BW650" s="2128"/>
      <c r="BX650" s="2128">
        <f t="shared" si="30"/>
        <v>0</v>
      </c>
      <c r="BY650" s="2128"/>
      <c r="BZ650" s="2128"/>
      <c r="CA650" s="2128"/>
      <c r="CB650" s="2128"/>
      <c r="CC650" s="2128">
        <f t="shared" si="31"/>
        <v>0</v>
      </c>
      <c r="CD650" s="2128"/>
      <c r="CE650" s="2128"/>
      <c r="CF650" s="2128"/>
      <c r="CG650" s="2128"/>
      <c r="CH650" s="2128">
        <f t="shared" si="32"/>
        <v>0</v>
      </c>
      <c r="CI650" s="2128"/>
      <c r="CJ650" s="2128"/>
      <c r="CK650" s="2128"/>
      <c r="CL650" s="2128"/>
      <c r="CM650" s="2128">
        <f t="shared" si="33"/>
        <v>0</v>
      </c>
      <c r="CN650" s="2128"/>
      <c r="CO650" s="2128"/>
      <c r="CP650" s="2128"/>
      <c r="CQ650" s="2128"/>
      <c r="CR650" s="265"/>
      <c r="CS650" s="2032">
        <f t="shared" si="34"/>
        <v>0</v>
      </c>
      <c r="CT650" s="2033"/>
      <c r="CU650" s="2033"/>
      <c r="CV650" s="2033"/>
      <c r="CW650" s="2034"/>
      <c r="CX650" s="2032">
        <f t="shared" si="35"/>
        <v>0</v>
      </c>
      <c r="CY650" s="2033"/>
      <c r="CZ650" s="2033"/>
      <c r="DA650" s="2033"/>
      <c r="DB650" s="2034"/>
      <c r="DC650" s="2032">
        <f t="shared" si="36"/>
        <v>0</v>
      </c>
      <c r="DD650" s="2033"/>
      <c r="DE650" s="2033"/>
      <c r="DF650" s="2033"/>
      <c r="DG650" s="2034"/>
      <c r="DH650" s="2032">
        <f t="shared" si="37"/>
        <v>0</v>
      </c>
      <c r="DI650" s="2033"/>
      <c r="DJ650" s="2033"/>
      <c r="DK650" s="2033"/>
      <c r="DL650" s="2034"/>
      <c r="DM650" s="2032">
        <f t="shared" si="38"/>
        <v>0</v>
      </c>
      <c r="DN650" s="2033"/>
      <c r="DO650" s="2033"/>
      <c r="DP650" s="2033"/>
      <c r="DQ650" s="2034"/>
      <c r="DR650" s="2032">
        <f t="shared" si="39"/>
        <v>0</v>
      </c>
      <c r="DS650" s="2033"/>
      <c r="DT650" s="2033"/>
      <c r="DU650" s="2033"/>
      <c r="DV650" s="2034"/>
      <c r="DX650" s="2129" t="e">
        <f t="shared" si="22"/>
        <v>#VALUE!</v>
      </c>
      <c r="DY650" s="2129"/>
      <c r="DZ650" s="2129"/>
      <c r="EA650" s="2129"/>
      <c r="EB650" s="2129"/>
      <c r="EC650" s="2129" t="e">
        <f t="shared" si="23"/>
        <v>#VALUE!</v>
      </c>
      <c r="ED650" s="2129"/>
      <c r="EE650" s="2129"/>
      <c r="EF650" s="2129"/>
      <c r="EG650" s="2129"/>
      <c r="EH650" s="2129" t="e">
        <f t="shared" si="24"/>
        <v>#VALUE!</v>
      </c>
      <c r="EI650" s="2129"/>
      <c r="EJ650" s="2129"/>
      <c r="EK650" s="2129"/>
      <c r="EL650" s="2129"/>
      <c r="EM650" s="2129">
        <f t="shared" si="25"/>
        <v>351.8125</v>
      </c>
      <c r="EN650" s="2129"/>
      <c r="EO650" s="2129"/>
      <c r="EP650" s="2129"/>
      <c r="EQ650" s="2129"/>
      <c r="ER650" s="2129" t="e">
        <f t="shared" si="26"/>
        <v>#VALUE!</v>
      </c>
      <c r="ES650" s="2129"/>
      <c r="ET650" s="2129"/>
      <c r="EU650" s="2129"/>
      <c r="EV650" s="2129"/>
      <c r="EW650" s="2129" t="e">
        <f t="shared" si="27"/>
        <v>#VALUE!</v>
      </c>
      <c r="EX650" s="2129"/>
      <c r="EY650" s="2129"/>
      <c r="EZ650" s="2129"/>
      <c r="FA650" s="2129"/>
    </row>
    <row r="651" spans="1:157" ht="12.75" customHeight="1">
      <c r="B651" s="2354" t="s">
        <v>275</v>
      </c>
      <c r="C651" s="2355"/>
      <c r="D651" s="2355"/>
      <c r="E651" s="2355"/>
      <c r="F651" s="2355"/>
      <c r="G651" s="2355"/>
      <c r="H651" s="2355"/>
      <c r="I651" s="2355"/>
      <c r="J651" s="2355"/>
      <c r="K651" s="2355"/>
      <c r="L651" s="2355"/>
      <c r="M651" s="2355"/>
      <c r="N651" s="2355"/>
      <c r="O651" s="2355"/>
      <c r="P651" s="2355"/>
      <c r="Q651" s="2355"/>
      <c r="R651" s="2355"/>
      <c r="S651" s="2355"/>
      <c r="T651" s="2355"/>
      <c r="U651" s="2355"/>
      <c r="V651" s="2355"/>
      <c r="W651" s="2355"/>
      <c r="X651" s="2355"/>
      <c r="Y651" s="2355"/>
      <c r="Z651" s="2355"/>
      <c r="AA651" s="2355"/>
      <c r="AB651" s="2355"/>
      <c r="AC651" s="2355"/>
      <c r="AD651" s="2355"/>
      <c r="AE651" s="2355"/>
      <c r="AF651" s="2355"/>
      <c r="AG651" s="2355"/>
      <c r="AH651" s="2355"/>
      <c r="AI651" s="2355"/>
      <c r="AJ651" s="2355"/>
      <c r="AK651" s="2355"/>
      <c r="AL651" s="2355"/>
      <c r="AM651" s="2355"/>
      <c r="AN651" s="2356"/>
      <c r="AO651" s="2138">
        <f>AO649+AO650</f>
        <v>62430666</v>
      </c>
      <c r="AP651" s="2139"/>
      <c r="AQ651" s="2139"/>
      <c r="AR651" s="2139"/>
      <c r="AS651" s="2140"/>
      <c r="AZ651" s="61"/>
      <c r="BA651" s="61"/>
      <c r="BB651" s="61"/>
      <c r="BC651" s="61"/>
      <c r="BD651" s="61"/>
      <c r="BE651" s="61"/>
      <c r="BF651" s="61"/>
      <c r="BG651" s="61"/>
      <c r="BH651" s="61"/>
      <c r="BI651" s="61"/>
      <c r="BJ651" s="61"/>
      <c r="BK651" s="61"/>
      <c r="BL651" s="61"/>
      <c r="BM651" s="61"/>
      <c r="BN651" s="2032">
        <f t="shared" si="28"/>
        <v>0</v>
      </c>
      <c r="BO651" s="2033"/>
      <c r="BP651" s="2033"/>
      <c r="BQ651" s="2033"/>
      <c r="BR651" s="2034"/>
      <c r="BS651" s="2128">
        <f t="shared" si="29"/>
        <v>0</v>
      </c>
      <c r="BT651" s="2128"/>
      <c r="BU651" s="2128"/>
      <c r="BV651" s="2128"/>
      <c r="BW651" s="2128"/>
      <c r="BX651" s="2128">
        <f t="shared" si="30"/>
        <v>0</v>
      </c>
      <c r="BY651" s="2128"/>
      <c r="BZ651" s="2128"/>
      <c r="CA651" s="2128"/>
      <c r="CB651" s="2128"/>
      <c r="CC651" s="2128">
        <f t="shared" si="31"/>
        <v>0</v>
      </c>
      <c r="CD651" s="2128"/>
      <c r="CE651" s="2128"/>
      <c r="CF651" s="2128"/>
      <c r="CG651" s="2128"/>
      <c r="CH651" s="2128">
        <f t="shared" si="32"/>
        <v>0</v>
      </c>
      <c r="CI651" s="2128"/>
      <c r="CJ651" s="2128"/>
      <c r="CK651" s="2128"/>
      <c r="CL651" s="2128"/>
      <c r="CM651" s="2128">
        <f t="shared" si="33"/>
        <v>0</v>
      </c>
      <c r="CN651" s="2128"/>
      <c r="CO651" s="2128"/>
      <c r="CP651" s="2128"/>
      <c r="CQ651" s="2128"/>
      <c r="CR651" s="265"/>
      <c r="CS651" s="2032">
        <f t="shared" si="34"/>
        <v>0</v>
      </c>
      <c r="CT651" s="2033"/>
      <c r="CU651" s="2033"/>
      <c r="CV651" s="2033"/>
      <c r="CW651" s="2034"/>
      <c r="CX651" s="2032">
        <f t="shared" si="35"/>
        <v>0</v>
      </c>
      <c r="CY651" s="2033"/>
      <c r="CZ651" s="2033"/>
      <c r="DA651" s="2033"/>
      <c r="DB651" s="2034"/>
      <c r="DC651" s="2032">
        <f t="shared" si="36"/>
        <v>0</v>
      </c>
      <c r="DD651" s="2033"/>
      <c r="DE651" s="2033"/>
      <c r="DF651" s="2033"/>
      <c r="DG651" s="2034"/>
      <c r="DH651" s="2032">
        <f t="shared" si="37"/>
        <v>0</v>
      </c>
      <c r="DI651" s="2033"/>
      <c r="DJ651" s="2033"/>
      <c r="DK651" s="2033"/>
      <c r="DL651" s="2034"/>
      <c r="DM651" s="2032">
        <f t="shared" si="38"/>
        <v>0</v>
      </c>
      <c r="DN651" s="2033"/>
      <c r="DO651" s="2033"/>
      <c r="DP651" s="2033"/>
      <c r="DQ651" s="2034"/>
      <c r="DR651" s="2032">
        <f t="shared" si="39"/>
        <v>0</v>
      </c>
      <c r="DS651" s="2033"/>
      <c r="DT651" s="2033"/>
      <c r="DU651" s="2033"/>
      <c r="DV651" s="2034"/>
      <c r="DX651" s="2129" t="e">
        <f t="shared" si="22"/>
        <v>#VALUE!</v>
      </c>
      <c r="DY651" s="2129"/>
      <c r="DZ651" s="2129"/>
      <c r="EA651" s="2129"/>
      <c r="EB651" s="2129"/>
      <c r="EC651" s="2129" t="e">
        <f t="shared" si="23"/>
        <v>#VALUE!</v>
      </c>
      <c r="ED651" s="2129"/>
      <c r="EE651" s="2129"/>
      <c r="EF651" s="2129"/>
      <c r="EG651" s="2129"/>
      <c r="EH651" s="2129" t="e">
        <f t="shared" si="24"/>
        <v>#VALUE!</v>
      </c>
      <c r="EI651" s="2129"/>
      <c r="EJ651" s="2129"/>
      <c r="EK651" s="2129"/>
      <c r="EL651" s="2129"/>
      <c r="EM651" s="2129">
        <f t="shared" si="25"/>
        <v>31.729166666666664</v>
      </c>
      <c r="EN651" s="2129"/>
      <c r="EO651" s="2129"/>
      <c r="EP651" s="2129"/>
      <c r="EQ651" s="2129"/>
      <c r="ER651" s="2129" t="e">
        <f t="shared" si="26"/>
        <v>#VALUE!</v>
      </c>
      <c r="ES651" s="2129"/>
      <c r="ET651" s="2129"/>
      <c r="EU651" s="2129"/>
      <c r="EV651" s="2129"/>
      <c r="EW651" s="2129" t="e">
        <f t="shared" si="27"/>
        <v>#VALUE!</v>
      </c>
      <c r="EX651" s="2129"/>
      <c r="EY651" s="2129"/>
      <c r="EZ651" s="2129"/>
      <c r="FA651" s="212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32">
        <f t="shared" si="28"/>
        <v>0</v>
      </c>
      <c r="BO652" s="2033"/>
      <c r="BP652" s="2033"/>
      <c r="BQ652" s="2033"/>
      <c r="BR652" s="2034"/>
      <c r="BS652" s="2128">
        <f t="shared" si="29"/>
        <v>0</v>
      </c>
      <c r="BT652" s="2128"/>
      <c r="BU652" s="2128"/>
      <c r="BV652" s="2128"/>
      <c r="BW652" s="2128"/>
      <c r="BX652" s="2128">
        <f t="shared" si="30"/>
        <v>0</v>
      </c>
      <c r="BY652" s="2128"/>
      <c r="BZ652" s="2128"/>
      <c r="CA652" s="2128"/>
      <c r="CB652" s="2128"/>
      <c r="CC652" s="2128">
        <f t="shared" si="31"/>
        <v>0</v>
      </c>
      <c r="CD652" s="2128"/>
      <c r="CE652" s="2128"/>
      <c r="CF652" s="2128"/>
      <c r="CG652" s="2128"/>
      <c r="CH652" s="2128">
        <f t="shared" si="32"/>
        <v>0</v>
      </c>
      <c r="CI652" s="2128"/>
      <c r="CJ652" s="2128"/>
      <c r="CK652" s="2128"/>
      <c r="CL652" s="2128"/>
      <c r="CM652" s="2128">
        <f t="shared" si="33"/>
        <v>0</v>
      </c>
      <c r="CN652" s="2128"/>
      <c r="CO652" s="2128"/>
      <c r="CP652" s="2128"/>
      <c r="CQ652" s="2128"/>
      <c r="CR652" s="265"/>
      <c r="CS652" s="2032">
        <f t="shared" si="34"/>
        <v>0</v>
      </c>
      <c r="CT652" s="2033"/>
      <c r="CU652" s="2033"/>
      <c r="CV652" s="2033"/>
      <c r="CW652" s="2034"/>
      <c r="CX652" s="2032">
        <f t="shared" si="35"/>
        <v>0</v>
      </c>
      <c r="CY652" s="2033"/>
      <c r="CZ652" s="2033"/>
      <c r="DA652" s="2033"/>
      <c r="DB652" s="2034"/>
      <c r="DC652" s="2032">
        <f t="shared" si="36"/>
        <v>0</v>
      </c>
      <c r="DD652" s="2033"/>
      <c r="DE652" s="2033"/>
      <c r="DF652" s="2033"/>
      <c r="DG652" s="2034"/>
      <c r="DH652" s="2032">
        <f t="shared" si="37"/>
        <v>0</v>
      </c>
      <c r="DI652" s="2033"/>
      <c r="DJ652" s="2033"/>
      <c r="DK652" s="2033"/>
      <c r="DL652" s="2034"/>
      <c r="DM652" s="2032">
        <f t="shared" si="38"/>
        <v>0</v>
      </c>
      <c r="DN652" s="2033"/>
      <c r="DO652" s="2033"/>
      <c r="DP652" s="2033"/>
      <c r="DQ652" s="2034"/>
      <c r="DR652" s="2032">
        <f t="shared" si="39"/>
        <v>0</v>
      </c>
      <c r="DS652" s="2033"/>
      <c r="DT652" s="2033"/>
      <c r="DU652" s="2033"/>
      <c r="DV652" s="2034"/>
      <c r="DX652" s="2129" t="e">
        <f t="shared" si="22"/>
        <v>#VALUE!</v>
      </c>
      <c r="DY652" s="2129"/>
      <c r="DZ652" s="2129"/>
      <c r="EA652" s="2129"/>
      <c r="EB652" s="2129"/>
      <c r="EC652" s="2129" t="e">
        <f t="shared" si="23"/>
        <v>#VALUE!</v>
      </c>
      <c r="ED652" s="2129"/>
      <c r="EE652" s="2129"/>
      <c r="EF652" s="2129"/>
      <c r="EG652" s="2129"/>
      <c r="EH652" s="2129" t="e">
        <f t="shared" si="24"/>
        <v>#VALUE!</v>
      </c>
      <c r="EI652" s="2129"/>
      <c r="EJ652" s="2129"/>
      <c r="EK652" s="2129"/>
      <c r="EL652" s="2129"/>
      <c r="EM652" s="2129">
        <f t="shared" si="25"/>
        <v>761.5</v>
      </c>
      <c r="EN652" s="2129"/>
      <c r="EO652" s="2129"/>
      <c r="EP652" s="2129"/>
      <c r="EQ652" s="2129"/>
      <c r="ER652" s="2129" t="e">
        <f t="shared" si="26"/>
        <v>#VALUE!</v>
      </c>
      <c r="ES652" s="2129"/>
      <c r="ET652" s="2129"/>
      <c r="EU652" s="2129"/>
      <c r="EV652" s="2129"/>
      <c r="EW652" s="2129" t="e">
        <f t="shared" si="27"/>
        <v>#VALUE!</v>
      </c>
      <c r="EX652" s="2129"/>
      <c r="EY652" s="2129"/>
      <c r="EZ652" s="2129"/>
      <c r="FA652" s="2129"/>
    </row>
    <row r="653" spans="1:157" ht="12.75">
      <c r="A653" s="87" t="s">
        <v>117</v>
      </c>
      <c r="B653" s="12" t="s">
        <v>496</v>
      </c>
      <c r="G653" s="2035" t="str">
        <f>C637</f>
        <v>Align Finance - Series A1 New Bonds</v>
      </c>
      <c r="H653" s="2035"/>
      <c r="I653" s="2035"/>
      <c r="J653" s="2035"/>
      <c r="K653" s="2035"/>
      <c r="L653" s="2035"/>
      <c r="M653" s="2035"/>
      <c r="N653" s="2035"/>
      <c r="O653" s="2035"/>
      <c r="P653" s="2035"/>
      <c r="Q653" s="2035"/>
      <c r="R653" s="2035"/>
      <c r="S653" s="14"/>
      <c r="T653" s="87" t="s">
        <v>118</v>
      </c>
      <c r="U653" s="12" t="s">
        <v>496</v>
      </c>
      <c r="Z653" s="2035" t="str">
        <f>C638</f>
        <v>NOI during lease up</v>
      </c>
      <c r="AA653" s="2035"/>
      <c r="AB653" s="2035"/>
      <c r="AC653" s="2035"/>
      <c r="AD653" s="2035"/>
      <c r="AE653" s="2035"/>
      <c r="AF653" s="2035"/>
      <c r="AG653" s="2035"/>
      <c r="AH653" s="2035"/>
      <c r="AI653" s="2035"/>
      <c r="AJ653" s="2035"/>
      <c r="AK653" s="2035"/>
      <c r="AZ653" s="61"/>
      <c r="BA653" s="61"/>
      <c r="BB653" s="61"/>
      <c r="BC653" s="61"/>
      <c r="BD653" s="61"/>
      <c r="BE653" s="61"/>
      <c r="BF653" s="61"/>
      <c r="BG653" s="61"/>
      <c r="BH653" s="61"/>
      <c r="BI653" s="61"/>
      <c r="BJ653" s="61"/>
      <c r="BK653" s="61"/>
      <c r="BL653" s="61"/>
      <c r="BM653" s="61"/>
      <c r="BN653" s="2032">
        <f t="shared" si="28"/>
        <v>0</v>
      </c>
      <c r="BO653" s="2033"/>
      <c r="BP653" s="2033"/>
      <c r="BQ653" s="2033"/>
      <c r="BR653" s="2034"/>
      <c r="BS653" s="2128">
        <f t="shared" si="29"/>
        <v>0</v>
      </c>
      <c r="BT653" s="2128"/>
      <c r="BU653" s="2128"/>
      <c r="BV653" s="2128"/>
      <c r="BW653" s="2128"/>
      <c r="BX653" s="2128">
        <f t="shared" si="30"/>
        <v>0</v>
      </c>
      <c r="BY653" s="2128"/>
      <c r="BZ653" s="2128"/>
      <c r="CA653" s="2128"/>
      <c r="CB653" s="2128"/>
      <c r="CC653" s="2128">
        <f t="shared" si="31"/>
        <v>0</v>
      </c>
      <c r="CD653" s="2128"/>
      <c r="CE653" s="2128"/>
      <c r="CF653" s="2128"/>
      <c r="CG653" s="2128"/>
      <c r="CH653" s="2128">
        <f t="shared" si="32"/>
        <v>0</v>
      </c>
      <c r="CI653" s="2128"/>
      <c r="CJ653" s="2128"/>
      <c r="CK653" s="2128"/>
      <c r="CL653" s="2128"/>
      <c r="CM653" s="2128">
        <f t="shared" si="33"/>
        <v>0</v>
      </c>
      <c r="CN653" s="2128"/>
      <c r="CO653" s="2128"/>
      <c r="CP653" s="2128"/>
      <c r="CQ653" s="2128"/>
      <c r="CR653" s="265"/>
      <c r="CS653" s="2032">
        <f t="shared" si="34"/>
        <v>0</v>
      </c>
      <c r="CT653" s="2033"/>
      <c r="CU653" s="2033"/>
      <c r="CV653" s="2033"/>
      <c r="CW653" s="2034"/>
      <c r="CX653" s="2032">
        <f t="shared" si="35"/>
        <v>0</v>
      </c>
      <c r="CY653" s="2033"/>
      <c r="CZ653" s="2033"/>
      <c r="DA653" s="2033"/>
      <c r="DB653" s="2034"/>
      <c r="DC653" s="2032">
        <f t="shared" si="36"/>
        <v>0</v>
      </c>
      <c r="DD653" s="2033"/>
      <c r="DE653" s="2033"/>
      <c r="DF653" s="2033"/>
      <c r="DG653" s="2034"/>
      <c r="DH653" s="2032">
        <f t="shared" si="37"/>
        <v>0</v>
      </c>
      <c r="DI653" s="2033"/>
      <c r="DJ653" s="2033"/>
      <c r="DK653" s="2033"/>
      <c r="DL653" s="2034"/>
      <c r="DM653" s="2032">
        <f t="shared" si="38"/>
        <v>0</v>
      </c>
      <c r="DN653" s="2033"/>
      <c r="DO653" s="2033"/>
      <c r="DP653" s="2033"/>
      <c r="DQ653" s="2034"/>
      <c r="DR653" s="2032">
        <f t="shared" si="39"/>
        <v>0</v>
      </c>
      <c r="DS653" s="2033"/>
      <c r="DT653" s="2033"/>
      <c r="DU653" s="2033"/>
      <c r="DV653" s="2034"/>
      <c r="DX653" s="2129" t="e">
        <f t="shared" si="22"/>
        <v>#VALUE!</v>
      </c>
      <c r="DY653" s="2129"/>
      <c r="DZ653" s="2129"/>
      <c r="EA653" s="2129"/>
      <c r="EB653" s="2129"/>
      <c r="EC653" s="2129" t="e">
        <f t="shared" si="23"/>
        <v>#VALUE!</v>
      </c>
      <c r="ED653" s="2129"/>
      <c r="EE653" s="2129"/>
      <c r="EF653" s="2129"/>
      <c r="EG653" s="2129"/>
      <c r="EH653" s="2129" t="e">
        <f t="shared" si="24"/>
        <v>#VALUE!</v>
      </c>
      <c r="EI653" s="2129"/>
      <c r="EJ653" s="2129"/>
      <c r="EK653" s="2129"/>
      <c r="EL653" s="2129"/>
      <c r="EM653" s="2129" t="e">
        <f t="shared" si="25"/>
        <v>#VALUE!</v>
      </c>
      <c r="EN653" s="2129"/>
      <c r="EO653" s="2129"/>
      <c r="EP653" s="2129"/>
      <c r="EQ653" s="2129"/>
      <c r="ER653" s="2129" t="e">
        <f t="shared" si="26"/>
        <v>#VALUE!</v>
      </c>
      <c r="ES653" s="2129"/>
      <c r="ET653" s="2129"/>
      <c r="EU653" s="2129"/>
      <c r="EV653" s="2129"/>
      <c r="EW653" s="2129" t="e">
        <f t="shared" si="27"/>
        <v>#VALUE!</v>
      </c>
      <c r="EX653" s="2129"/>
      <c r="EY653" s="2129"/>
      <c r="EZ653" s="2129"/>
      <c r="FA653" s="2129"/>
    </row>
    <row r="654" spans="1:157" ht="12.75">
      <c r="A654" s="35"/>
      <c r="B654" s="12" t="s">
        <v>90</v>
      </c>
      <c r="G654" s="1859" t="s">
        <v>2566</v>
      </c>
      <c r="H654" s="1859"/>
      <c r="I654" s="1859"/>
      <c r="J654" s="1859"/>
      <c r="K654" s="1859"/>
      <c r="L654" s="1859"/>
      <c r="M654" s="1859"/>
      <c r="N654" s="1859"/>
      <c r="O654" s="1859"/>
      <c r="P654" s="1859"/>
      <c r="Q654" s="1859"/>
      <c r="R654" s="1859"/>
      <c r="S654" s="14"/>
      <c r="T654" s="35"/>
      <c r="U654" s="12" t="s">
        <v>90</v>
      </c>
      <c r="Z654" s="2021" t="s">
        <v>2476</v>
      </c>
      <c r="AA654" s="2022"/>
      <c r="AB654" s="2022"/>
      <c r="AC654" s="2022"/>
      <c r="AD654" s="2022"/>
      <c r="AE654" s="2022"/>
      <c r="AF654" s="2022"/>
      <c r="AG654" s="2022"/>
      <c r="AH654" s="2022"/>
      <c r="AI654" s="2022"/>
      <c r="AJ654" s="2022"/>
      <c r="AK654" s="2022"/>
      <c r="AZ654" s="61"/>
      <c r="BA654" s="61"/>
      <c r="BB654" s="61"/>
      <c r="BC654" s="61"/>
      <c r="BD654" s="61"/>
      <c r="BE654" s="61"/>
      <c r="BF654" s="61"/>
      <c r="BG654" s="61"/>
      <c r="BH654" s="61"/>
      <c r="BI654" s="61"/>
      <c r="BJ654" s="61"/>
      <c r="BK654" s="61"/>
      <c r="BL654" s="61"/>
      <c r="BM654" s="61"/>
      <c r="BN654" s="2032">
        <f t="shared" si="28"/>
        <v>0</v>
      </c>
      <c r="BO654" s="2033"/>
      <c r="BP654" s="2033"/>
      <c r="BQ654" s="2033"/>
      <c r="BR654" s="2034"/>
      <c r="BS654" s="2128">
        <f t="shared" si="29"/>
        <v>0</v>
      </c>
      <c r="BT654" s="2128"/>
      <c r="BU654" s="2128"/>
      <c r="BV654" s="2128"/>
      <c r="BW654" s="2128"/>
      <c r="BX654" s="2128">
        <f t="shared" si="30"/>
        <v>0</v>
      </c>
      <c r="BY654" s="2128"/>
      <c r="BZ654" s="2128"/>
      <c r="CA654" s="2128"/>
      <c r="CB654" s="2128"/>
      <c r="CC654" s="2128">
        <f t="shared" si="31"/>
        <v>0</v>
      </c>
      <c r="CD654" s="2128"/>
      <c r="CE654" s="2128"/>
      <c r="CF654" s="2128"/>
      <c r="CG654" s="2128"/>
      <c r="CH654" s="2128">
        <f t="shared" si="32"/>
        <v>0</v>
      </c>
      <c r="CI654" s="2128"/>
      <c r="CJ654" s="2128"/>
      <c r="CK654" s="2128"/>
      <c r="CL654" s="2128"/>
      <c r="CM654" s="2128">
        <f t="shared" si="33"/>
        <v>0</v>
      </c>
      <c r="CN654" s="2128"/>
      <c r="CO654" s="2128"/>
      <c r="CP654" s="2128"/>
      <c r="CQ654" s="2128"/>
      <c r="CR654" s="265"/>
      <c r="CS654" s="2032">
        <f t="shared" si="34"/>
        <v>0</v>
      </c>
      <c r="CT654" s="2033"/>
      <c r="CU654" s="2033"/>
      <c r="CV654" s="2033"/>
      <c r="CW654" s="2034"/>
      <c r="CX654" s="2032">
        <f t="shared" si="35"/>
        <v>0</v>
      </c>
      <c r="CY654" s="2033"/>
      <c r="CZ654" s="2033"/>
      <c r="DA654" s="2033"/>
      <c r="DB654" s="2034"/>
      <c r="DC654" s="2032">
        <f t="shared" si="36"/>
        <v>0</v>
      </c>
      <c r="DD654" s="2033"/>
      <c r="DE654" s="2033"/>
      <c r="DF654" s="2033"/>
      <c r="DG654" s="2034"/>
      <c r="DH654" s="2032">
        <f t="shared" si="37"/>
        <v>0</v>
      </c>
      <c r="DI654" s="2033"/>
      <c r="DJ654" s="2033"/>
      <c r="DK654" s="2033"/>
      <c r="DL654" s="2034"/>
      <c r="DM654" s="2032">
        <f t="shared" si="38"/>
        <v>0</v>
      </c>
      <c r="DN654" s="2033"/>
      <c r="DO654" s="2033"/>
      <c r="DP654" s="2033"/>
      <c r="DQ654" s="2034"/>
      <c r="DR654" s="2032">
        <f t="shared" si="39"/>
        <v>0</v>
      </c>
      <c r="DS654" s="2033"/>
      <c r="DT654" s="2033"/>
      <c r="DU654" s="2033"/>
      <c r="DV654" s="2034"/>
      <c r="DX654" s="2129" t="e">
        <f t="shared" si="22"/>
        <v>#VALUE!</v>
      </c>
      <c r="DY654" s="2129"/>
      <c r="DZ654" s="2129"/>
      <c r="EA654" s="2129"/>
      <c r="EB654" s="2129"/>
      <c r="EC654" s="2129" t="e">
        <f t="shared" si="23"/>
        <v>#VALUE!</v>
      </c>
      <c r="ED654" s="2129"/>
      <c r="EE654" s="2129"/>
      <c r="EF654" s="2129"/>
      <c r="EG654" s="2129"/>
      <c r="EH654" s="2129" t="e">
        <f t="shared" si="24"/>
        <v>#VALUE!</v>
      </c>
      <c r="EI654" s="2129"/>
      <c r="EJ654" s="2129"/>
      <c r="EK654" s="2129"/>
      <c r="EL654" s="2129"/>
      <c r="EM654" s="2129" t="e">
        <f t="shared" si="25"/>
        <v>#VALUE!</v>
      </c>
      <c r="EN654" s="2129"/>
      <c r="EO654" s="2129"/>
      <c r="EP654" s="2129"/>
      <c r="EQ654" s="2129"/>
      <c r="ER654" s="2129" t="e">
        <f t="shared" si="26"/>
        <v>#VALUE!</v>
      </c>
      <c r="ES654" s="2129"/>
      <c r="ET654" s="2129"/>
      <c r="EU654" s="2129"/>
      <c r="EV654" s="2129"/>
      <c r="EW654" s="2129" t="e">
        <f t="shared" si="27"/>
        <v>#VALUE!</v>
      </c>
      <c r="EX654" s="2129"/>
      <c r="EY654" s="2129"/>
      <c r="EZ654" s="2129"/>
      <c r="FA654" s="2129"/>
    </row>
    <row r="655" spans="1:157" ht="12.75">
      <c r="A655" s="35"/>
      <c r="B655" s="12" t="s">
        <v>615</v>
      </c>
      <c r="G655" s="1859" t="s">
        <v>773</v>
      </c>
      <c r="H655" s="1859"/>
      <c r="I655" s="1859"/>
      <c r="J655" s="1859"/>
      <c r="K655" s="1859"/>
      <c r="L655" s="1859"/>
      <c r="M655" s="1859"/>
      <c r="N655" s="1859"/>
      <c r="O655" s="1859"/>
      <c r="P655" s="1859"/>
      <c r="Q655" s="1859"/>
      <c r="R655" s="1859"/>
      <c r="S655" s="88"/>
      <c r="T655" s="35"/>
      <c r="U655" s="12" t="s">
        <v>615</v>
      </c>
      <c r="Z655" s="2020" t="s">
        <v>71</v>
      </c>
      <c r="AA655" s="2018"/>
      <c r="AB655" s="2018"/>
      <c r="AC655" s="2018"/>
      <c r="AD655" s="2018"/>
      <c r="AE655" s="2018"/>
      <c r="AF655" s="2018"/>
      <c r="AG655" s="2018"/>
      <c r="AH655" s="2018"/>
      <c r="AI655" s="2018"/>
      <c r="AJ655" s="2018"/>
      <c r="AK655" s="2018"/>
      <c r="AZ655" s="61"/>
      <c r="BA655" s="61"/>
      <c r="BB655" s="61"/>
      <c r="BC655" s="61"/>
      <c r="BD655" s="61"/>
      <c r="BE655" s="61"/>
      <c r="BF655" s="61"/>
      <c r="BG655" s="61"/>
      <c r="BH655" s="61"/>
      <c r="BI655" s="61"/>
      <c r="BJ655" s="61"/>
      <c r="BK655" s="61"/>
      <c r="BL655" s="61"/>
      <c r="BM655" s="61"/>
      <c r="BN655" s="2032">
        <f t="shared" si="28"/>
        <v>0</v>
      </c>
      <c r="BO655" s="2033"/>
      <c r="BP655" s="2033"/>
      <c r="BQ655" s="2033"/>
      <c r="BR655" s="2034"/>
      <c r="BS655" s="2128">
        <f t="shared" si="29"/>
        <v>0</v>
      </c>
      <c r="BT655" s="2128"/>
      <c r="BU655" s="2128"/>
      <c r="BV655" s="2128"/>
      <c r="BW655" s="2128"/>
      <c r="BX655" s="2128">
        <f t="shared" si="30"/>
        <v>0</v>
      </c>
      <c r="BY655" s="2128"/>
      <c r="BZ655" s="2128"/>
      <c r="CA655" s="2128"/>
      <c r="CB655" s="2128"/>
      <c r="CC655" s="2128">
        <f t="shared" si="31"/>
        <v>0</v>
      </c>
      <c r="CD655" s="2128"/>
      <c r="CE655" s="2128"/>
      <c r="CF655" s="2128"/>
      <c r="CG655" s="2128"/>
      <c r="CH655" s="2128">
        <f t="shared" si="32"/>
        <v>0</v>
      </c>
      <c r="CI655" s="2128"/>
      <c r="CJ655" s="2128"/>
      <c r="CK655" s="2128"/>
      <c r="CL655" s="2128"/>
      <c r="CM655" s="2128">
        <f t="shared" si="33"/>
        <v>0</v>
      </c>
      <c r="CN655" s="2128"/>
      <c r="CO655" s="2128"/>
      <c r="CP655" s="2128"/>
      <c r="CQ655" s="2128"/>
      <c r="CR655" s="265"/>
      <c r="CS655" s="2032">
        <f t="shared" si="34"/>
        <v>0</v>
      </c>
      <c r="CT655" s="2033"/>
      <c r="CU655" s="2033"/>
      <c r="CV655" s="2033"/>
      <c r="CW655" s="2034"/>
      <c r="CX655" s="2032">
        <f t="shared" si="35"/>
        <v>0</v>
      </c>
      <c r="CY655" s="2033"/>
      <c r="CZ655" s="2033"/>
      <c r="DA655" s="2033"/>
      <c r="DB655" s="2034"/>
      <c r="DC655" s="2032">
        <f t="shared" si="36"/>
        <v>0</v>
      </c>
      <c r="DD655" s="2033"/>
      <c r="DE655" s="2033"/>
      <c r="DF655" s="2033"/>
      <c r="DG655" s="2034"/>
      <c r="DH655" s="2032">
        <f t="shared" si="37"/>
        <v>0</v>
      </c>
      <c r="DI655" s="2033"/>
      <c r="DJ655" s="2033"/>
      <c r="DK655" s="2033"/>
      <c r="DL655" s="2034"/>
      <c r="DM655" s="2032">
        <f t="shared" si="38"/>
        <v>0</v>
      </c>
      <c r="DN655" s="2033"/>
      <c r="DO655" s="2033"/>
      <c r="DP655" s="2033"/>
      <c r="DQ655" s="2034"/>
      <c r="DR655" s="2032">
        <f t="shared" si="39"/>
        <v>0</v>
      </c>
      <c r="DS655" s="2033"/>
      <c r="DT655" s="2033"/>
      <c r="DU655" s="2033"/>
      <c r="DV655" s="2034"/>
      <c r="DX655" s="2129" t="e">
        <f t="shared" si="22"/>
        <v>#VALUE!</v>
      </c>
      <c r="DY655" s="2129"/>
      <c r="DZ655" s="2129"/>
      <c r="EA655" s="2129"/>
      <c r="EB655" s="2129"/>
      <c r="EC655" s="2129" t="e">
        <f t="shared" si="23"/>
        <v>#VALUE!</v>
      </c>
      <c r="ED655" s="2129"/>
      <c r="EE655" s="2129"/>
      <c r="EF655" s="2129"/>
      <c r="EG655" s="2129"/>
      <c r="EH655" s="2129" t="e">
        <f t="shared" si="24"/>
        <v>#VALUE!</v>
      </c>
      <c r="EI655" s="2129"/>
      <c r="EJ655" s="2129"/>
      <c r="EK655" s="2129"/>
      <c r="EL655" s="2129"/>
      <c r="EM655" s="2129" t="e">
        <f t="shared" si="25"/>
        <v>#VALUE!</v>
      </c>
      <c r="EN655" s="2129"/>
      <c r="EO655" s="2129"/>
      <c r="EP655" s="2129"/>
      <c r="EQ655" s="2129"/>
      <c r="ER655" s="2129" t="e">
        <f t="shared" si="26"/>
        <v>#VALUE!</v>
      </c>
      <c r="ES655" s="2129"/>
      <c r="ET655" s="2129"/>
      <c r="EU655" s="2129"/>
      <c r="EV655" s="2129"/>
      <c r="EW655" s="2129" t="e">
        <f t="shared" si="27"/>
        <v>#VALUE!</v>
      </c>
      <c r="EX655" s="2129"/>
      <c r="EY655" s="2129"/>
      <c r="EZ655" s="2129"/>
      <c r="FA655" s="2129"/>
    </row>
    <row r="656" spans="1:157" ht="12.75">
      <c r="A656" s="35"/>
      <c r="B656" s="12" t="s">
        <v>17</v>
      </c>
      <c r="G656" s="1859" t="s">
        <v>2567</v>
      </c>
      <c r="H656" s="1859"/>
      <c r="I656" s="1859"/>
      <c r="J656" s="1859"/>
      <c r="K656" s="1859"/>
      <c r="L656" s="1859"/>
      <c r="M656" s="1859"/>
      <c r="N656" s="1859"/>
      <c r="O656" s="1859"/>
      <c r="P656" s="1859"/>
      <c r="Q656" s="1859"/>
      <c r="R656" s="1859"/>
      <c r="S656" s="14"/>
      <c r="T656" s="35"/>
      <c r="U656" s="12" t="s">
        <v>17</v>
      </c>
      <c r="Z656" s="2020" t="s">
        <v>2472</v>
      </c>
      <c r="AA656" s="2018"/>
      <c r="AB656" s="2018"/>
      <c r="AC656" s="2018"/>
      <c r="AD656" s="2018"/>
      <c r="AE656" s="2018"/>
      <c r="AF656" s="2018"/>
      <c r="AG656" s="2018"/>
      <c r="AH656" s="2018"/>
      <c r="AI656" s="2018"/>
      <c r="AJ656" s="2018"/>
      <c r="AK656" s="2018"/>
      <c r="AZ656" s="61"/>
      <c r="BA656" s="61"/>
      <c r="BB656" s="61"/>
      <c r="BC656" s="61"/>
      <c r="BD656" s="61"/>
      <c r="BE656" s="61"/>
      <c r="BF656" s="61"/>
      <c r="BG656" s="61"/>
      <c r="BH656" s="61"/>
      <c r="BI656" s="61"/>
      <c r="BJ656" s="61"/>
      <c r="BK656" s="61"/>
      <c r="BL656" s="61"/>
      <c r="BM656" s="61"/>
      <c r="BN656" s="2032">
        <f t="shared" si="28"/>
        <v>0</v>
      </c>
      <c r="BO656" s="2033"/>
      <c r="BP656" s="2033"/>
      <c r="BQ656" s="2033"/>
      <c r="BR656" s="2034"/>
      <c r="BS656" s="2128">
        <f t="shared" si="29"/>
        <v>0</v>
      </c>
      <c r="BT656" s="2128"/>
      <c r="BU656" s="2128"/>
      <c r="BV656" s="2128"/>
      <c r="BW656" s="2128"/>
      <c r="BX656" s="2128">
        <f t="shared" si="30"/>
        <v>0</v>
      </c>
      <c r="BY656" s="2128"/>
      <c r="BZ656" s="2128"/>
      <c r="CA656" s="2128"/>
      <c r="CB656" s="2128"/>
      <c r="CC656" s="2128">
        <f t="shared" si="31"/>
        <v>0</v>
      </c>
      <c r="CD656" s="2128"/>
      <c r="CE656" s="2128"/>
      <c r="CF656" s="2128"/>
      <c r="CG656" s="2128"/>
      <c r="CH656" s="2128">
        <f t="shared" si="32"/>
        <v>0</v>
      </c>
      <c r="CI656" s="2128"/>
      <c r="CJ656" s="2128"/>
      <c r="CK656" s="2128"/>
      <c r="CL656" s="2128"/>
      <c r="CM656" s="2128">
        <f t="shared" si="33"/>
        <v>0</v>
      </c>
      <c r="CN656" s="2128"/>
      <c r="CO656" s="2128"/>
      <c r="CP656" s="2128"/>
      <c r="CQ656" s="2128"/>
      <c r="CR656" s="265"/>
      <c r="CS656" s="2032">
        <f t="shared" si="34"/>
        <v>0</v>
      </c>
      <c r="CT656" s="2033"/>
      <c r="CU656" s="2033"/>
      <c r="CV656" s="2033"/>
      <c r="CW656" s="2034"/>
      <c r="CX656" s="2032">
        <f t="shared" si="35"/>
        <v>0</v>
      </c>
      <c r="CY656" s="2033"/>
      <c r="CZ656" s="2033"/>
      <c r="DA656" s="2033"/>
      <c r="DB656" s="2034"/>
      <c r="DC656" s="2032">
        <f t="shared" si="36"/>
        <v>0</v>
      </c>
      <c r="DD656" s="2033"/>
      <c r="DE656" s="2033"/>
      <c r="DF656" s="2033"/>
      <c r="DG656" s="2034"/>
      <c r="DH656" s="2032">
        <f t="shared" si="37"/>
        <v>0</v>
      </c>
      <c r="DI656" s="2033"/>
      <c r="DJ656" s="2033"/>
      <c r="DK656" s="2033"/>
      <c r="DL656" s="2034"/>
      <c r="DM656" s="2032">
        <f t="shared" si="38"/>
        <v>0</v>
      </c>
      <c r="DN656" s="2033"/>
      <c r="DO656" s="2033"/>
      <c r="DP656" s="2033"/>
      <c r="DQ656" s="2034"/>
      <c r="DR656" s="2032">
        <f t="shared" si="39"/>
        <v>0</v>
      </c>
      <c r="DS656" s="2033"/>
      <c r="DT656" s="2033"/>
      <c r="DU656" s="2033"/>
      <c r="DV656" s="2034"/>
      <c r="DX656" s="2129" t="e">
        <f t="shared" si="22"/>
        <v>#VALUE!</v>
      </c>
      <c r="DY656" s="2129"/>
      <c r="DZ656" s="2129"/>
      <c r="EA656" s="2129"/>
      <c r="EB656" s="2129"/>
      <c r="EC656" s="2129" t="e">
        <f t="shared" si="23"/>
        <v>#VALUE!</v>
      </c>
      <c r="ED656" s="2129"/>
      <c r="EE656" s="2129"/>
      <c r="EF656" s="2129"/>
      <c r="EG656" s="2129"/>
      <c r="EH656" s="2129" t="e">
        <f t="shared" si="24"/>
        <v>#VALUE!</v>
      </c>
      <c r="EI656" s="2129"/>
      <c r="EJ656" s="2129"/>
      <c r="EK656" s="2129"/>
      <c r="EL656" s="2129"/>
      <c r="EM656" s="2129" t="e">
        <f t="shared" si="25"/>
        <v>#VALUE!</v>
      </c>
      <c r="EN656" s="2129"/>
      <c r="EO656" s="2129"/>
      <c r="EP656" s="2129"/>
      <c r="EQ656" s="2129"/>
      <c r="ER656" s="2129" t="e">
        <f t="shared" si="26"/>
        <v>#VALUE!</v>
      </c>
      <c r="ES656" s="2129"/>
      <c r="ET656" s="2129"/>
      <c r="EU656" s="2129"/>
      <c r="EV656" s="2129"/>
      <c r="EW656" s="2129" t="e">
        <f t="shared" si="27"/>
        <v>#VALUE!</v>
      </c>
      <c r="EX656" s="2129"/>
      <c r="EY656" s="2129"/>
      <c r="EZ656" s="2129"/>
      <c r="FA656" s="2129"/>
    </row>
    <row r="657" spans="1:157" ht="12.75">
      <c r="A657" s="35"/>
      <c r="B657" s="12" t="s">
        <v>326</v>
      </c>
      <c r="G657" s="2031">
        <v>4154210500</v>
      </c>
      <c r="H657" s="2031"/>
      <c r="I657" s="2031"/>
      <c r="J657" s="2031"/>
      <c r="K657" s="2031"/>
      <c r="L657" s="2031"/>
      <c r="O657" s="137" t="s">
        <v>211</v>
      </c>
      <c r="P657" s="2024"/>
      <c r="Q657" s="2024"/>
      <c r="R657" s="2024"/>
      <c r="S657" s="16"/>
      <c r="T657" s="35"/>
      <c r="U657" s="12" t="s">
        <v>326</v>
      </c>
      <c r="Z657" s="2101" t="s">
        <v>2473</v>
      </c>
      <c r="AA657" s="2031"/>
      <c r="AB657" s="2031"/>
      <c r="AC657" s="2031"/>
      <c r="AD657" s="2031"/>
      <c r="AE657" s="2031"/>
      <c r="AH657" s="137" t="s">
        <v>211</v>
      </c>
      <c r="AI657" s="2024"/>
      <c r="AJ657" s="2024"/>
      <c r="AK657" s="2024"/>
      <c r="AZ657" s="61"/>
      <c r="BA657" s="61"/>
      <c r="BB657" s="61"/>
      <c r="BC657" s="61"/>
      <c r="BD657" s="61"/>
      <c r="BE657" s="61"/>
      <c r="BF657" s="61"/>
      <c r="BG657" s="61"/>
      <c r="BH657" s="61"/>
      <c r="BI657" s="61"/>
      <c r="BJ657" s="61"/>
      <c r="BK657" s="61"/>
      <c r="BL657" s="61"/>
      <c r="BM657" s="61"/>
      <c r="BN657" s="2032">
        <f t="shared" si="28"/>
        <v>0</v>
      </c>
      <c r="BO657" s="2033"/>
      <c r="BP657" s="2033"/>
      <c r="BQ657" s="2033"/>
      <c r="BR657" s="2034"/>
      <c r="BS657" s="2128">
        <f t="shared" si="29"/>
        <v>0</v>
      </c>
      <c r="BT657" s="2128"/>
      <c r="BU657" s="2128"/>
      <c r="BV657" s="2128"/>
      <c r="BW657" s="2128"/>
      <c r="BX657" s="2128">
        <f t="shared" si="30"/>
        <v>0</v>
      </c>
      <c r="BY657" s="2128"/>
      <c r="BZ657" s="2128"/>
      <c r="CA657" s="2128"/>
      <c r="CB657" s="2128"/>
      <c r="CC657" s="2128">
        <f t="shared" si="31"/>
        <v>0</v>
      </c>
      <c r="CD657" s="2128"/>
      <c r="CE657" s="2128"/>
      <c r="CF657" s="2128"/>
      <c r="CG657" s="2128"/>
      <c r="CH657" s="2128">
        <f t="shared" si="32"/>
        <v>0</v>
      </c>
      <c r="CI657" s="2128"/>
      <c r="CJ657" s="2128"/>
      <c r="CK657" s="2128"/>
      <c r="CL657" s="2128"/>
      <c r="CM657" s="2128">
        <f t="shared" si="33"/>
        <v>0</v>
      </c>
      <c r="CN657" s="2128"/>
      <c r="CO657" s="2128"/>
      <c r="CP657" s="2128"/>
      <c r="CQ657" s="2128"/>
      <c r="CR657" s="265"/>
      <c r="CS657" s="2032">
        <f t="shared" si="34"/>
        <v>0</v>
      </c>
      <c r="CT657" s="2033"/>
      <c r="CU657" s="2033"/>
      <c r="CV657" s="2033"/>
      <c r="CW657" s="2034"/>
      <c r="CX657" s="2032">
        <f t="shared" si="35"/>
        <v>0</v>
      </c>
      <c r="CY657" s="2033"/>
      <c r="CZ657" s="2033"/>
      <c r="DA657" s="2033"/>
      <c r="DB657" s="2034"/>
      <c r="DC657" s="2032">
        <f t="shared" si="36"/>
        <v>0</v>
      </c>
      <c r="DD657" s="2033"/>
      <c r="DE657" s="2033"/>
      <c r="DF657" s="2033"/>
      <c r="DG657" s="2034"/>
      <c r="DH657" s="2032">
        <f t="shared" si="37"/>
        <v>0</v>
      </c>
      <c r="DI657" s="2033"/>
      <c r="DJ657" s="2033"/>
      <c r="DK657" s="2033"/>
      <c r="DL657" s="2034"/>
      <c r="DM657" s="2032">
        <f t="shared" si="38"/>
        <v>0</v>
      </c>
      <c r="DN657" s="2033"/>
      <c r="DO657" s="2033"/>
      <c r="DP657" s="2033"/>
      <c r="DQ657" s="2034"/>
      <c r="DR657" s="2032">
        <f t="shared" si="39"/>
        <v>0</v>
      </c>
      <c r="DS657" s="2033"/>
      <c r="DT657" s="2033"/>
      <c r="DU657" s="2033"/>
      <c r="DV657" s="2034"/>
      <c r="DX657" s="2129" t="e">
        <f t="shared" si="22"/>
        <v>#VALUE!</v>
      </c>
      <c r="DY657" s="2129"/>
      <c r="DZ657" s="2129"/>
      <c r="EA657" s="2129"/>
      <c r="EB657" s="2129"/>
      <c r="EC657" s="2129" t="e">
        <f t="shared" si="23"/>
        <v>#VALUE!</v>
      </c>
      <c r="ED657" s="2129"/>
      <c r="EE657" s="2129"/>
      <c r="EF657" s="2129"/>
      <c r="EG657" s="2129"/>
      <c r="EH657" s="2129" t="e">
        <f t="shared" si="24"/>
        <v>#VALUE!</v>
      </c>
      <c r="EI657" s="2129"/>
      <c r="EJ657" s="2129"/>
      <c r="EK657" s="2129"/>
      <c r="EL657" s="2129"/>
      <c r="EM657" s="2129" t="e">
        <f t="shared" si="25"/>
        <v>#VALUE!</v>
      </c>
      <c r="EN657" s="2129"/>
      <c r="EO657" s="2129"/>
      <c r="EP657" s="2129"/>
      <c r="EQ657" s="2129"/>
      <c r="ER657" s="2129" t="e">
        <f t="shared" si="26"/>
        <v>#VALUE!</v>
      </c>
      <c r="ES657" s="2129"/>
      <c r="ET657" s="2129"/>
      <c r="EU657" s="2129"/>
      <c r="EV657" s="2129"/>
      <c r="EW657" s="2129" t="e">
        <f t="shared" si="27"/>
        <v>#VALUE!</v>
      </c>
      <c r="EX657" s="2129"/>
      <c r="EY657" s="2129"/>
      <c r="EZ657" s="2129"/>
      <c r="FA657" s="2129"/>
    </row>
    <row r="658" spans="1:157" ht="12.75">
      <c r="A658" s="35"/>
      <c r="B658" s="12" t="s">
        <v>18</v>
      </c>
      <c r="H658" s="2022" t="s">
        <v>2576</v>
      </c>
      <c r="I658" s="2022"/>
      <c r="J658" s="2022"/>
      <c r="K658" s="2022"/>
      <c r="L658" s="2022"/>
      <c r="M658" s="2022"/>
      <c r="N658" s="2022"/>
      <c r="O658" s="2022"/>
      <c r="P658" s="2022"/>
      <c r="Q658" s="2022"/>
      <c r="R658" s="2022"/>
      <c r="S658" s="14"/>
      <c r="T658" s="35"/>
      <c r="U658" s="12" t="s">
        <v>18</v>
      </c>
      <c r="AA658" s="2021" t="s">
        <v>2602</v>
      </c>
      <c r="AB658" s="2022"/>
      <c r="AC658" s="2022"/>
      <c r="AD658" s="2022"/>
      <c r="AE658" s="2022"/>
      <c r="AF658" s="2022"/>
      <c r="AG658" s="2022"/>
      <c r="AH658" s="2022"/>
      <c r="AI658" s="2022"/>
      <c r="AJ658" s="2022"/>
      <c r="AK658" s="2022"/>
      <c r="AZ658" s="61"/>
      <c r="BA658" s="61"/>
      <c r="BB658" s="61"/>
      <c r="BC658" s="61"/>
      <c r="BD658" s="61"/>
      <c r="BE658" s="61"/>
      <c r="BF658" s="61"/>
      <c r="BG658" s="61"/>
      <c r="BH658" s="61"/>
      <c r="BI658" s="61"/>
      <c r="BJ658" s="61"/>
      <c r="BK658" s="61"/>
      <c r="BL658" s="61"/>
      <c r="BM658" s="61"/>
      <c r="BN658" s="2523">
        <f>SUM(BN648:BR657)</f>
        <v>0</v>
      </c>
      <c r="BO658" s="2579"/>
      <c r="BP658" s="2579"/>
      <c r="BQ658" s="2579"/>
      <c r="BR658" s="2524"/>
      <c r="BS658" s="2125">
        <f>SUM(BS648:BW657)</f>
        <v>0</v>
      </c>
      <c r="BT658" s="2126"/>
      <c r="BU658" s="2126"/>
      <c r="BV658" s="2126"/>
      <c r="BW658" s="2127"/>
      <c r="BX658" s="2125">
        <f>SUM(BX648:CB657)</f>
        <v>0</v>
      </c>
      <c r="BY658" s="2126"/>
      <c r="BZ658" s="2126"/>
      <c r="CA658" s="2126"/>
      <c r="CB658" s="2127"/>
      <c r="CC658" s="2125">
        <f>SUM(CC648:CG657)</f>
        <v>0</v>
      </c>
      <c r="CD658" s="2126"/>
      <c r="CE658" s="2126"/>
      <c r="CF658" s="2126"/>
      <c r="CG658" s="2127"/>
      <c r="CH658" s="2125">
        <f>SUM(CH648:CL657)</f>
        <v>0</v>
      </c>
      <c r="CI658" s="2126"/>
      <c r="CJ658" s="2126"/>
      <c r="CK658" s="2126"/>
      <c r="CL658" s="2127"/>
      <c r="CM658" s="2125">
        <f>SUM(CM648:CQ657)</f>
        <v>0</v>
      </c>
      <c r="CN658" s="2126"/>
      <c r="CO658" s="2126"/>
      <c r="CP658" s="2126"/>
      <c r="CQ658" s="2127"/>
      <c r="CR658" s="1823"/>
      <c r="CS658" s="2130">
        <f>SUM(CS648:CW657)</f>
        <v>0</v>
      </c>
      <c r="CT658" s="2130"/>
      <c r="CU658" s="2130"/>
      <c r="CV658" s="2130"/>
      <c r="CW658" s="2130"/>
      <c r="CX658" s="2130">
        <f>SUM(CX648:DB657)</f>
        <v>0</v>
      </c>
      <c r="CY658" s="2130"/>
      <c r="CZ658" s="2130"/>
      <c r="DA658" s="2130"/>
      <c r="DB658" s="2130"/>
      <c r="DC658" s="2130">
        <f>SUM(DC648:DG657)</f>
        <v>0</v>
      </c>
      <c r="DD658" s="2130"/>
      <c r="DE658" s="2130"/>
      <c r="DF658" s="2130"/>
      <c r="DG658" s="2130"/>
      <c r="DH658" s="2130">
        <f>SUM(DH648:DL657)</f>
        <v>0</v>
      </c>
      <c r="DI658" s="2130"/>
      <c r="DJ658" s="2130"/>
      <c r="DK658" s="2130"/>
      <c r="DL658" s="2130"/>
      <c r="DM658" s="2130">
        <f>SUM(DM648:DQ657)</f>
        <v>0</v>
      </c>
      <c r="DN658" s="2130"/>
      <c r="DO658" s="2130"/>
      <c r="DP658" s="2130"/>
      <c r="DQ658" s="2130"/>
      <c r="DR658" s="2130">
        <f>SUM(DR648:DV657)</f>
        <v>0</v>
      </c>
      <c r="DS658" s="2130"/>
      <c r="DT658" s="2130"/>
      <c r="DU658" s="2130"/>
      <c r="DV658" s="2130"/>
      <c r="DX658" s="2129" t="e">
        <f t="shared" si="22"/>
        <v>#VALUE!</v>
      </c>
      <c r="DY658" s="2129"/>
      <c r="DZ658" s="2129"/>
      <c r="EA658" s="2129"/>
      <c r="EB658" s="2129"/>
      <c r="EC658" s="2129" t="e">
        <f t="shared" si="23"/>
        <v>#VALUE!</v>
      </c>
      <c r="ED658" s="2129"/>
      <c r="EE658" s="2129"/>
      <c r="EF658" s="2129"/>
      <c r="EG658" s="2129"/>
      <c r="EH658" s="2129" t="e">
        <f t="shared" si="24"/>
        <v>#VALUE!</v>
      </c>
      <c r="EI658" s="2129"/>
      <c r="EJ658" s="2129"/>
      <c r="EK658" s="2129"/>
      <c r="EL658" s="2129"/>
      <c r="EM658" s="2129" t="e">
        <f t="shared" si="25"/>
        <v>#VALUE!</v>
      </c>
      <c r="EN658" s="2129"/>
      <c r="EO658" s="2129"/>
      <c r="EP658" s="2129"/>
      <c r="EQ658" s="2129"/>
      <c r="ER658" s="2129" t="e">
        <f t="shared" si="26"/>
        <v>#VALUE!</v>
      </c>
      <c r="ES658" s="2129"/>
      <c r="ET658" s="2129"/>
      <c r="EU658" s="2129"/>
      <c r="EV658" s="2129"/>
      <c r="EW658" s="2129" t="e">
        <f t="shared" si="27"/>
        <v>#VALUE!</v>
      </c>
      <c r="EX658" s="2129"/>
      <c r="EY658" s="2129"/>
      <c r="EZ658" s="2129"/>
      <c r="FA658" s="2129"/>
    </row>
    <row r="659" spans="1:157" ht="12.75">
      <c r="A659" s="35"/>
      <c r="B659" s="12" t="s">
        <v>20</v>
      </c>
      <c r="N659" s="2023" t="s">
        <v>578</v>
      </c>
      <c r="O659" s="2023"/>
      <c r="T659" s="35"/>
      <c r="U659" s="12" t="s">
        <v>20</v>
      </c>
      <c r="AG659" s="2023" t="s">
        <v>578</v>
      </c>
      <c r="AH659" s="202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129" t="e">
        <f t="shared" si="22"/>
        <v>#VALUE!</v>
      </c>
      <c r="DY659" s="2129"/>
      <c r="DZ659" s="2129"/>
      <c r="EA659" s="2129"/>
      <c r="EB659" s="2129"/>
      <c r="EC659" s="2129" t="e">
        <f t="shared" si="23"/>
        <v>#VALUE!</v>
      </c>
      <c r="ED659" s="2129"/>
      <c r="EE659" s="2129"/>
      <c r="EF659" s="2129"/>
      <c r="EG659" s="2129"/>
      <c r="EH659" s="2129" t="e">
        <f t="shared" si="24"/>
        <v>#VALUE!</v>
      </c>
      <c r="EI659" s="2129"/>
      <c r="EJ659" s="2129"/>
      <c r="EK659" s="2129"/>
      <c r="EL659" s="2129"/>
      <c r="EM659" s="2129" t="e">
        <f t="shared" si="25"/>
        <v>#VALUE!</v>
      </c>
      <c r="EN659" s="2129"/>
      <c r="EO659" s="2129"/>
      <c r="EP659" s="2129"/>
      <c r="EQ659" s="2129"/>
      <c r="ER659" s="2129" t="e">
        <f t="shared" si="26"/>
        <v>#VALUE!</v>
      </c>
      <c r="ES659" s="2129"/>
      <c r="ET659" s="2129"/>
      <c r="EU659" s="2129"/>
      <c r="EV659" s="2129"/>
      <c r="EW659" s="2129" t="e">
        <f t="shared" si="27"/>
        <v>#VALUE!</v>
      </c>
      <c r="EX659" s="2129"/>
      <c r="EY659" s="2129"/>
      <c r="EZ659" s="2129"/>
      <c r="FA659" s="212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2449</v>
      </c>
      <c r="CU660" s="58"/>
      <c r="CV660" s="58"/>
      <c r="CW660" s="58"/>
      <c r="CX660" s="58"/>
      <c r="CY660" s="58"/>
      <c r="CZ660" s="58"/>
      <c r="DA660" s="58"/>
      <c r="DB660" s="58"/>
      <c r="DC660" s="58"/>
      <c r="DD660" s="58"/>
      <c r="DE660" s="58"/>
      <c r="DF660" s="58"/>
      <c r="DQ660" s="136" t="s">
        <v>2462</v>
      </c>
      <c r="DR660" s="2129">
        <f>SUM(CS658:DV658)</f>
        <v>0</v>
      </c>
      <c r="DS660" s="2129"/>
      <c r="DT660" s="2129"/>
      <c r="DU660" s="2129"/>
      <c r="DV660" s="2129"/>
      <c r="DX660" s="2129" t="e">
        <f t="shared" si="22"/>
        <v>#VALUE!</v>
      </c>
      <c r="DY660" s="2129"/>
      <c r="DZ660" s="2129"/>
      <c r="EA660" s="2129"/>
      <c r="EB660" s="2129"/>
      <c r="EC660" s="2129" t="e">
        <f t="shared" si="23"/>
        <v>#VALUE!</v>
      </c>
      <c r="ED660" s="2129"/>
      <c r="EE660" s="2129"/>
      <c r="EF660" s="2129"/>
      <c r="EG660" s="2129"/>
      <c r="EH660" s="2129" t="e">
        <f t="shared" si="24"/>
        <v>#VALUE!</v>
      </c>
      <c r="EI660" s="2129"/>
      <c r="EJ660" s="2129"/>
      <c r="EK660" s="2129"/>
      <c r="EL660" s="2129"/>
      <c r="EM660" s="2129" t="e">
        <f t="shared" si="25"/>
        <v>#VALUE!</v>
      </c>
      <c r="EN660" s="2129"/>
      <c r="EO660" s="2129"/>
      <c r="EP660" s="2129"/>
      <c r="EQ660" s="2129"/>
      <c r="ER660" s="2129" t="e">
        <f t="shared" si="26"/>
        <v>#VALUE!</v>
      </c>
      <c r="ES660" s="2129"/>
      <c r="ET660" s="2129"/>
      <c r="EU660" s="2129"/>
      <c r="EV660" s="2129"/>
      <c r="EW660" s="2129" t="e">
        <f t="shared" si="27"/>
        <v>#VALUE!</v>
      </c>
      <c r="EX660" s="2129"/>
      <c r="EY660" s="2129"/>
      <c r="EZ660" s="2129"/>
      <c r="FA660" s="2129"/>
    </row>
    <row r="661" spans="1:157" ht="12.75">
      <c r="A661" s="87" t="s">
        <v>124</v>
      </c>
      <c r="B661" s="12" t="s">
        <v>496</v>
      </c>
      <c r="G661" s="2035" t="str">
        <f>C639</f>
        <v>Deferred Developer Fee</v>
      </c>
      <c r="H661" s="2035"/>
      <c r="I661" s="2035"/>
      <c r="J661" s="2035"/>
      <c r="K661" s="2035"/>
      <c r="L661" s="2035"/>
      <c r="M661" s="2035"/>
      <c r="N661" s="2035"/>
      <c r="O661" s="2035"/>
      <c r="P661" s="2035"/>
      <c r="Q661" s="2035"/>
      <c r="R661" s="2035"/>
      <c r="T661" s="87" t="s">
        <v>616</v>
      </c>
      <c r="U661" s="12" t="s">
        <v>496</v>
      </c>
      <c r="Z661" s="2035">
        <f>C640</f>
        <v>0</v>
      </c>
      <c r="AA661" s="2035"/>
      <c r="AB661" s="2035"/>
      <c r="AC661" s="2035"/>
      <c r="AD661" s="2035"/>
      <c r="AE661" s="2035"/>
      <c r="AF661" s="2035"/>
      <c r="AG661" s="2035"/>
      <c r="AH661" s="2035"/>
      <c r="AI661" s="2035"/>
      <c r="AJ661" s="2035"/>
      <c r="AK661" s="2035"/>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129" t="e">
        <f t="shared" si="22"/>
        <v>#VALUE!</v>
      </c>
      <c r="DY661" s="2129"/>
      <c r="DZ661" s="2129"/>
      <c r="EA661" s="2129"/>
      <c r="EB661" s="2129"/>
      <c r="EC661" s="2129" t="e">
        <f t="shared" si="23"/>
        <v>#VALUE!</v>
      </c>
      <c r="ED661" s="2129"/>
      <c r="EE661" s="2129"/>
      <c r="EF661" s="2129"/>
      <c r="EG661" s="2129"/>
      <c r="EH661" s="2129" t="e">
        <f t="shared" si="24"/>
        <v>#VALUE!</v>
      </c>
      <c r="EI661" s="2129"/>
      <c r="EJ661" s="2129"/>
      <c r="EK661" s="2129"/>
      <c r="EL661" s="2129"/>
      <c r="EM661" s="2129" t="e">
        <f t="shared" si="25"/>
        <v>#VALUE!</v>
      </c>
      <c r="EN661" s="2129"/>
      <c r="EO661" s="2129"/>
      <c r="EP661" s="2129"/>
      <c r="EQ661" s="2129"/>
      <c r="ER661" s="2129" t="e">
        <f t="shared" si="26"/>
        <v>#VALUE!</v>
      </c>
      <c r="ES661" s="2129"/>
      <c r="ET661" s="2129"/>
      <c r="EU661" s="2129"/>
      <c r="EV661" s="2129"/>
      <c r="EW661" s="2129" t="e">
        <f t="shared" si="27"/>
        <v>#VALUE!</v>
      </c>
      <c r="EX661" s="2129"/>
      <c r="EY661" s="2129"/>
      <c r="EZ661" s="2129"/>
      <c r="FA661" s="2129"/>
    </row>
    <row r="662" spans="1:157" ht="12.75">
      <c r="A662" s="35"/>
      <c r="B662" s="12" t="s">
        <v>90</v>
      </c>
      <c r="G662" s="2021" t="s">
        <v>2475</v>
      </c>
      <c r="H662" s="2022"/>
      <c r="I662" s="2022"/>
      <c r="J662" s="2022"/>
      <c r="K662" s="2022"/>
      <c r="L662" s="2022"/>
      <c r="M662" s="2022"/>
      <c r="N662" s="2022"/>
      <c r="O662" s="2022"/>
      <c r="P662" s="2022"/>
      <c r="Q662" s="2022"/>
      <c r="R662" s="2022"/>
      <c r="T662" s="35"/>
      <c r="U662" s="12" t="s">
        <v>90</v>
      </c>
      <c r="Z662" s="2022"/>
      <c r="AA662" s="2022"/>
      <c r="AB662" s="2022"/>
      <c r="AC662" s="2022"/>
      <c r="AD662" s="2022"/>
      <c r="AE662" s="2022"/>
      <c r="AF662" s="2022"/>
      <c r="AG662" s="2022"/>
      <c r="AH662" s="2022"/>
      <c r="AI662" s="2022"/>
      <c r="AJ662" s="2022"/>
      <c r="AK662" s="202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129" t="e">
        <f t="shared" si="22"/>
        <v>#VALUE!</v>
      </c>
      <c r="DY662" s="2129"/>
      <c r="DZ662" s="2129"/>
      <c r="EA662" s="2129"/>
      <c r="EB662" s="2129"/>
      <c r="EC662" s="2129" t="e">
        <f t="shared" si="23"/>
        <v>#VALUE!</v>
      </c>
      <c r="ED662" s="2129"/>
      <c r="EE662" s="2129"/>
      <c r="EF662" s="2129"/>
      <c r="EG662" s="2129"/>
      <c r="EH662" s="2129" t="e">
        <f t="shared" si="24"/>
        <v>#VALUE!</v>
      </c>
      <c r="EI662" s="2129"/>
      <c r="EJ662" s="2129"/>
      <c r="EK662" s="2129"/>
      <c r="EL662" s="2129"/>
      <c r="EM662" s="2129" t="e">
        <f t="shared" si="25"/>
        <v>#VALUE!</v>
      </c>
      <c r="EN662" s="2129"/>
      <c r="EO662" s="2129"/>
      <c r="EP662" s="2129"/>
      <c r="EQ662" s="2129"/>
      <c r="ER662" s="2129" t="e">
        <f t="shared" si="26"/>
        <v>#VALUE!</v>
      </c>
      <c r="ES662" s="2129"/>
      <c r="ET662" s="2129"/>
      <c r="EU662" s="2129"/>
      <c r="EV662" s="2129"/>
      <c r="EW662" s="2129" t="e">
        <f t="shared" si="27"/>
        <v>#VALUE!</v>
      </c>
      <c r="EX662" s="2129"/>
      <c r="EY662" s="2129"/>
      <c r="EZ662" s="2129"/>
      <c r="FA662" s="2129"/>
    </row>
    <row r="663" spans="1:157" ht="12.75">
      <c r="A663" s="35"/>
      <c r="B663" s="12" t="s">
        <v>615</v>
      </c>
      <c r="G663" s="2020" t="s">
        <v>71</v>
      </c>
      <c r="H663" s="2018"/>
      <c r="I663" s="2018"/>
      <c r="J663" s="2018"/>
      <c r="K663" s="2018"/>
      <c r="L663" s="2018"/>
      <c r="M663" s="2018"/>
      <c r="N663" s="2018"/>
      <c r="O663" s="2018"/>
      <c r="P663" s="2018"/>
      <c r="Q663" s="2018"/>
      <c r="R663" s="2018"/>
      <c r="T663" s="35"/>
      <c r="U663" s="12" t="s">
        <v>615</v>
      </c>
      <c r="Z663" s="2018"/>
      <c r="AA663" s="2018"/>
      <c r="AB663" s="2018"/>
      <c r="AC663" s="2018"/>
      <c r="AD663" s="2018"/>
      <c r="AE663" s="2018"/>
      <c r="AF663" s="2018"/>
      <c r="AG663" s="2018"/>
      <c r="AH663" s="2018"/>
      <c r="AI663" s="2018"/>
      <c r="AJ663" s="2018"/>
      <c r="AK663" s="2018"/>
      <c r="AZ663" s="61"/>
      <c r="BA663" s="61"/>
      <c r="BB663" s="61"/>
      <c r="BC663" s="61"/>
      <c r="BD663" s="61"/>
      <c r="BE663" s="61"/>
      <c r="BF663" s="61"/>
      <c r="BG663" s="61"/>
      <c r="BH663" s="61"/>
      <c r="BI663" s="61"/>
      <c r="BJ663" s="61"/>
      <c r="BK663" s="61"/>
      <c r="BL663" s="61"/>
      <c r="BM663" s="61"/>
      <c r="BN663" s="2125">
        <f>BN635+BN644+BN658</f>
        <v>0</v>
      </c>
      <c r="BO663" s="2126"/>
      <c r="BP663" s="2126"/>
      <c r="BQ663" s="2126"/>
      <c r="BR663" s="2127"/>
      <c r="BS663" s="2125">
        <f>BS635+BS644+BS658</f>
        <v>96</v>
      </c>
      <c r="BT663" s="2126"/>
      <c r="BU663" s="2126"/>
      <c r="BV663" s="2126"/>
      <c r="BW663" s="2127"/>
      <c r="BX663" s="2125">
        <f>BX635+BX644+BX658</f>
        <v>48</v>
      </c>
      <c r="BY663" s="2126"/>
      <c r="BZ663" s="2126"/>
      <c r="CA663" s="2126"/>
      <c r="CB663" s="2127"/>
      <c r="CC663" s="2125">
        <f>CC635+CC644+CC658</f>
        <v>50</v>
      </c>
      <c r="CD663" s="2126"/>
      <c r="CE663" s="2126"/>
      <c r="CF663" s="2126"/>
      <c r="CG663" s="2127"/>
      <c r="CH663" s="2125">
        <f>CH635+CH644+CH658</f>
        <v>0</v>
      </c>
      <c r="CI663" s="2126"/>
      <c r="CJ663" s="2126"/>
      <c r="CK663" s="2126"/>
      <c r="CL663" s="2127"/>
      <c r="CM663" s="2131">
        <f>CM658+CM644+CM635</f>
        <v>0</v>
      </c>
      <c r="CN663" s="2132"/>
      <c r="CO663" s="2132"/>
      <c r="CP663" s="2132"/>
      <c r="CQ663" s="2133"/>
      <c r="CR663" s="177"/>
      <c r="CS663" s="1472">
        <f>CS637+CS661</f>
        <v>336</v>
      </c>
      <c r="CT663" s="134" t="s">
        <v>2454</v>
      </c>
      <c r="CU663" s="58"/>
      <c r="CV663" s="58"/>
      <c r="CW663" s="58"/>
      <c r="CX663" s="58"/>
      <c r="CY663" s="58"/>
      <c r="CZ663" s="58"/>
      <c r="DA663" s="58"/>
      <c r="DB663" s="58"/>
      <c r="DC663" s="58"/>
      <c r="DD663" s="58"/>
      <c r="DE663" s="58"/>
      <c r="DF663" s="58"/>
      <c r="DX663" s="2129">
        <f>SUMIF(DX638:EB662,"&gt;0")</f>
        <v>0</v>
      </c>
      <c r="DY663" s="2129"/>
      <c r="DZ663" s="2129"/>
      <c r="EA663" s="2129"/>
      <c r="EB663" s="2129"/>
      <c r="EC663" s="2129">
        <f>SUMIF(EC638:EG662,"&gt;0")</f>
        <v>885.75</v>
      </c>
      <c r="ED663" s="2129"/>
      <c r="EE663" s="2129"/>
      <c r="EF663" s="2129"/>
      <c r="EG663" s="2129"/>
      <c r="EH663" s="2129">
        <f>SUMIF(EH638:EL662,"&gt;0")</f>
        <v>1133.0208333333335</v>
      </c>
      <c r="EI663" s="2129"/>
      <c r="EJ663" s="2129"/>
      <c r="EK663" s="2129"/>
      <c r="EL663" s="2129"/>
      <c r="EM663" s="2129">
        <f>SUMIF(EM638:EQ662,"&gt;0")</f>
        <v>1322.0208333333335</v>
      </c>
      <c r="EN663" s="2129"/>
      <c r="EO663" s="2129"/>
      <c r="EP663" s="2129"/>
      <c r="EQ663" s="2129"/>
      <c r="ER663" s="2129">
        <f>SUMIF(ER638:EV662,"&gt;0")</f>
        <v>0</v>
      </c>
      <c r="ES663" s="2129"/>
      <c r="ET663" s="2129"/>
      <c r="EU663" s="2129"/>
      <c r="EV663" s="2129"/>
      <c r="EW663" s="2129">
        <f>SUMIF(EW638:FA662,"&gt;0")</f>
        <v>0</v>
      </c>
      <c r="EX663" s="2129"/>
      <c r="EY663" s="2129"/>
      <c r="EZ663" s="2129"/>
      <c r="FA663" s="2129"/>
    </row>
    <row r="664" spans="1:157" ht="12.75">
      <c r="A664" s="35"/>
      <c r="B664" s="12" t="s">
        <v>17</v>
      </c>
      <c r="G664" s="2020" t="s">
        <v>2472</v>
      </c>
      <c r="H664" s="2018"/>
      <c r="I664" s="2018"/>
      <c r="J664" s="2018"/>
      <c r="K664" s="2018"/>
      <c r="L664" s="2018"/>
      <c r="M664" s="2018"/>
      <c r="N664" s="2018"/>
      <c r="O664" s="2018"/>
      <c r="P664" s="2018"/>
      <c r="Q664" s="2018"/>
      <c r="R664" s="2018"/>
      <c r="T664" s="35"/>
      <c r="U664" s="12" t="s">
        <v>17</v>
      </c>
      <c r="Z664" s="2018"/>
      <c r="AA664" s="2018"/>
      <c r="AB664" s="2018"/>
      <c r="AC664" s="2018"/>
      <c r="AD664" s="2018"/>
      <c r="AE664" s="2018"/>
      <c r="AF664" s="2018"/>
      <c r="AG664" s="2018"/>
      <c r="AH664" s="2018"/>
      <c r="AI664" s="2018"/>
      <c r="AJ664" s="2018"/>
      <c r="AK664" s="201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31">
        <v>9167304143</v>
      </c>
      <c r="H665" s="2031"/>
      <c r="I665" s="2031"/>
      <c r="J665" s="2031"/>
      <c r="K665" s="2031"/>
      <c r="L665" s="2031"/>
      <c r="O665" s="137" t="s">
        <v>211</v>
      </c>
      <c r="P665" s="2024"/>
      <c r="Q665" s="2024"/>
      <c r="R665" s="2024"/>
      <c r="T665" s="35"/>
      <c r="U665" s="12" t="s">
        <v>326</v>
      </c>
      <c r="Z665" s="2031"/>
      <c r="AA665" s="2031"/>
      <c r="AB665" s="2031"/>
      <c r="AC665" s="2031"/>
      <c r="AD665" s="2031"/>
      <c r="AE665" s="2031"/>
      <c r="AH665" s="137" t="s">
        <v>211</v>
      </c>
      <c r="AI665" s="2024"/>
      <c r="AJ665" s="2024"/>
      <c r="AK665" s="202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1" t="s">
        <v>2578</v>
      </c>
      <c r="I666" s="2022"/>
      <c r="J666" s="2022"/>
      <c r="K666" s="2022"/>
      <c r="L666" s="2022"/>
      <c r="M666" s="2022"/>
      <c r="N666" s="2022"/>
      <c r="O666" s="2022"/>
      <c r="P666" s="2022"/>
      <c r="Q666" s="2022"/>
      <c r="R666" s="2022"/>
      <c r="T666" s="35"/>
      <c r="U666" s="12" t="s">
        <v>18</v>
      </c>
      <c r="AA666" s="2022"/>
      <c r="AB666" s="2022"/>
      <c r="AC666" s="2022"/>
      <c r="AD666" s="2022"/>
      <c r="AE666" s="2022"/>
      <c r="AF666" s="2022"/>
      <c r="AG666" s="2022"/>
      <c r="AH666" s="2022"/>
      <c r="AI666" s="2022"/>
      <c r="AJ666" s="2022"/>
      <c r="AK666" s="2022"/>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3" t="s">
        <v>578</v>
      </c>
      <c r="O667" s="2023"/>
      <c r="T667" s="35"/>
      <c r="U667" s="12" t="s">
        <v>20</v>
      </c>
      <c r="AG667" s="2023" t="s">
        <v>706</v>
      </c>
      <c r="AH667" s="2023"/>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035">
        <f>C641</f>
        <v>0</v>
      </c>
      <c r="H669" s="2035"/>
      <c r="I669" s="2035"/>
      <c r="J669" s="2035"/>
      <c r="K669" s="2035"/>
      <c r="L669" s="2035"/>
      <c r="M669" s="2035"/>
      <c r="N669" s="2035"/>
      <c r="O669" s="2035"/>
      <c r="P669" s="2035"/>
      <c r="Q669" s="2035"/>
      <c r="R669" s="2035"/>
      <c r="T669" s="87" t="s">
        <v>619</v>
      </c>
      <c r="U669" s="12" t="s">
        <v>496</v>
      </c>
      <c r="Z669" s="2035">
        <f>C642</f>
        <v>0</v>
      </c>
      <c r="AA669" s="2035"/>
      <c r="AB669" s="2035"/>
      <c r="AC669" s="2035"/>
      <c r="AD669" s="2035"/>
      <c r="AE669" s="2035"/>
      <c r="AF669" s="2035"/>
      <c r="AG669" s="2035"/>
      <c r="AH669" s="2035"/>
      <c r="AI669" s="2035"/>
      <c r="AJ669" s="2035"/>
      <c r="AK669" s="2035"/>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2"/>
      <c r="H670" s="2022"/>
      <c r="I670" s="2022"/>
      <c r="J670" s="2022"/>
      <c r="K670" s="2022"/>
      <c r="L670" s="2022"/>
      <c r="M670" s="2022"/>
      <c r="N670" s="2022"/>
      <c r="O670" s="2022"/>
      <c r="P670" s="2022"/>
      <c r="Q670" s="2022"/>
      <c r="R670" s="2022"/>
      <c r="T670" s="35"/>
      <c r="U670" s="12" t="s">
        <v>90</v>
      </c>
      <c r="Z670" s="2022"/>
      <c r="AA670" s="2022"/>
      <c r="AB670" s="2022"/>
      <c r="AC670" s="2022"/>
      <c r="AD670" s="2022"/>
      <c r="AE670" s="2022"/>
      <c r="AF670" s="2022"/>
      <c r="AG670" s="2022"/>
      <c r="AH670" s="2022"/>
      <c r="AI670" s="2022"/>
      <c r="AJ670" s="2022"/>
      <c r="AK670" s="2022"/>
      <c r="AZ670" s="58"/>
      <c r="BA670" s="447">
        <f t="shared" ref="BA670:BA694" si="40">IF($G728=0,"N/A",VLOOKUP($T$189,TC_Rent,(MATCH($B728,bedrooms,FALSE))))</f>
        <v>1620</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2"/>
      <c r="H671" s="2022"/>
      <c r="I671" s="2022"/>
      <c r="J671" s="2022"/>
      <c r="K671" s="2022"/>
      <c r="L671" s="2022"/>
      <c r="M671" s="2022"/>
      <c r="N671" s="2022"/>
      <c r="O671" s="2022"/>
      <c r="P671" s="2022"/>
      <c r="Q671" s="2022"/>
      <c r="R671" s="2022"/>
      <c r="T671" s="35"/>
      <c r="U671" s="12" t="s">
        <v>615</v>
      </c>
      <c r="Z671" s="2018"/>
      <c r="AA671" s="2018"/>
      <c r="AB671" s="2018"/>
      <c r="AC671" s="2018"/>
      <c r="AD671" s="2018"/>
      <c r="AE671" s="2018"/>
      <c r="AF671" s="2018"/>
      <c r="AG671" s="2018"/>
      <c r="AH671" s="2018"/>
      <c r="AI671" s="2018"/>
      <c r="AJ671" s="2018"/>
      <c r="AK671" s="2018"/>
      <c r="AZ671" s="58"/>
      <c r="BA671" s="447">
        <f t="shared" si="40"/>
        <v>1620</v>
      </c>
      <c r="BB671" s="58"/>
      <c r="BC671" s="58"/>
      <c r="BD671" s="58"/>
      <c r="BE671" s="58"/>
      <c r="BF671" s="383"/>
      <c r="BG671" s="457">
        <f t="shared" ref="BG671:BG695" si="41">G728</f>
        <v>10</v>
      </c>
      <c r="BH671" s="461">
        <f>BG671/$BG$696</f>
        <v>5.2083333333333336E-2</v>
      </c>
      <c r="BI671" s="462">
        <f t="shared" ref="BI671:BI695" si="42">IF(BH671=0," ",BH671*AH728)</f>
        <v>1.5625E-2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2"/>
      <c r="H672" s="2022"/>
      <c r="I672" s="2022"/>
      <c r="J672" s="2022"/>
      <c r="K672" s="2022"/>
      <c r="L672" s="2022"/>
      <c r="M672" s="2022"/>
      <c r="N672" s="2022"/>
      <c r="O672" s="2022"/>
      <c r="P672" s="2022"/>
      <c r="Q672" s="2022"/>
      <c r="R672" s="2022"/>
      <c r="T672" s="35"/>
      <c r="U672" s="12" t="s">
        <v>17</v>
      </c>
      <c r="Z672" s="2018"/>
      <c r="AA672" s="2018"/>
      <c r="AB672" s="2018"/>
      <c r="AC672" s="2018"/>
      <c r="AD672" s="2018"/>
      <c r="AE672" s="2018"/>
      <c r="AF672" s="2018"/>
      <c r="AG672" s="2018"/>
      <c r="AH672" s="2018"/>
      <c r="AI672" s="2018"/>
      <c r="AJ672" s="2018"/>
      <c r="AK672" s="2018"/>
      <c r="AZ672" s="58"/>
      <c r="BA672" s="447">
        <f t="shared" si="40"/>
        <v>1620</v>
      </c>
      <c r="BB672" s="58"/>
      <c r="BC672" s="58"/>
      <c r="BD672" s="58"/>
      <c r="BE672" s="58"/>
      <c r="BF672" s="383"/>
      <c r="BG672" s="458">
        <f t="shared" si="41"/>
        <v>10</v>
      </c>
      <c r="BH672" s="461">
        <f t="shared" ref="BH672:BH695" si="43">BG672/$BG$696</f>
        <v>5.2083333333333336E-2</v>
      </c>
      <c r="BI672" s="462">
        <f t="shared" si="42"/>
        <v>2.6041666666666668E-2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31"/>
      <c r="H673" s="2031"/>
      <c r="I673" s="2031"/>
      <c r="J673" s="2031"/>
      <c r="K673" s="2031"/>
      <c r="L673" s="2031"/>
      <c r="O673" s="137" t="s">
        <v>211</v>
      </c>
      <c r="P673" s="2024"/>
      <c r="Q673" s="2024"/>
      <c r="R673" s="2024"/>
      <c r="T673" s="35"/>
      <c r="U673" s="12" t="s">
        <v>326</v>
      </c>
      <c r="Z673" s="2031"/>
      <c r="AA673" s="2031"/>
      <c r="AB673" s="2031"/>
      <c r="AC673" s="2031"/>
      <c r="AD673" s="2031"/>
      <c r="AE673" s="2031"/>
      <c r="AH673" s="137" t="s">
        <v>211</v>
      </c>
      <c r="AI673" s="2024"/>
      <c r="AJ673" s="2024"/>
      <c r="AK673" s="2024"/>
      <c r="AZ673" s="58"/>
      <c r="BA673" s="447">
        <f t="shared" si="40"/>
        <v>1620</v>
      </c>
      <c r="BB673" s="58"/>
      <c r="BC673" s="58"/>
      <c r="BD673" s="58"/>
      <c r="BE673" s="58"/>
      <c r="BF673" s="383"/>
      <c r="BG673" s="458">
        <f t="shared" si="41"/>
        <v>28</v>
      </c>
      <c r="BH673" s="461">
        <f t="shared" si="43"/>
        <v>0.14583333333333334</v>
      </c>
      <c r="BI673" s="462">
        <f t="shared" si="42"/>
        <v>8.7500000000000008E-2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2"/>
      <c r="I674" s="2022"/>
      <c r="J674" s="2022"/>
      <c r="K674" s="2022"/>
      <c r="L674" s="2022"/>
      <c r="M674" s="2022"/>
      <c r="N674" s="2022"/>
      <c r="O674" s="2022"/>
      <c r="P674" s="2022"/>
      <c r="Q674" s="2022"/>
      <c r="R674" s="2022"/>
      <c r="T674" s="35"/>
      <c r="U674" s="12" t="s">
        <v>18</v>
      </c>
      <c r="AA674" s="2022"/>
      <c r="AB674" s="2022"/>
      <c r="AC674" s="2022"/>
      <c r="AD674" s="2022"/>
      <c r="AE674" s="2022"/>
      <c r="AF674" s="2022"/>
      <c r="AG674" s="2022"/>
      <c r="AH674" s="2022"/>
      <c r="AI674" s="2022"/>
      <c r="AJ674" s="2022"/>
      <c r="AK674" s="2022"/>
      <c r="AZ674" s="58"/>
      <c r="BA674" s="447">
        <f t="shared" si="40"/>
        <v>1620</v>
      </c>
      <c r="BB674" s="58"/>
      <c r="BC674" s="58"/>
      <c r="BD674" s="58"/>
      <c r="BE674" s="58"/>
      <c r="BF674" s="383"/>
      <c r="BG674" s="458">
        <f t="shared" si="41"/>
        <v>36</v>
      </c>
      <c r="BH674" s="461">
        <f t="shared" si="43"/>
        <v>0.1875</v>
      </c>
      <c r="BI674" s="462">
        <f t="shared" si="42"/>
        <v>0.11249999999999999</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3" t="s">
        <v>706</v>
      </c>
      <c r="O675" s="2023"/>
      <c r="T675" s="35"/>
      <c r="U675" s="12" t="s">
        <v>20</v>
      </c>
      <c r="AG675" s="2023" t="s">
        <v>706</v>
      </c>
      <c r="AH675" s="2023"/>
      <c r="AZ675" s="58"/>
      <c r="BA675" s="447">
        <f t="shared" si="40"/>
        <v>1942</v>
      </c>
      <c r="BB675" s="58"/>
      <c r="BC675" s="58"/>
      <c r="BD675" s="58"/>
      <c r="BE675" s="58"/>
      <c r="BF675" s="383"/>
      <c r="BG675" s="458">
        <f t="shared" si="41"/>
        <v>12</v>
      </c>
      <c r="BH675" s="461">
        <f t="shared" si="43"/>
        <v>6.25E-2</v>
      </c>
      <c r="BI675" s="462">
        <f t="shared" si="42"/>
        <v>4.3749999999999997E-2</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1942</v>
      </c>
      <c r="BB676" s="58"/>
      <c r="BC676" s="58"/>
      <c r="BD676" s="58"/>
      <c r="BE676" s="58"/>
      <c r="BF676" s="383"/>
      <c r="BG676" s="458">
        <f t="shared" si="41"/>
        <v>5</v>
      </c>
      <c r="BH676" s="461">
        <f t="shared" si="43"/>
        <v>2.6041666666666668E-2</v>
      </c>
      <c r="BI676" s="462">
        <f t="shared" si="42"/>
        <v>7.8125E-3</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5">
        <f>C643</f>
        <v>0</v>
      </c>
      <c r="H677" s="2035"/>
      <c r="I677" s="2035"/>
      <c r="J677" s="2035"/>
      <c r="K677" s="2035"/>
      <c r="L677" s="2035"/>
      <c r="M677" s="2035"/>
      <c r="N677" s="2035"/>
      <c r="O677" s="2035"/>
      <c r="P677" s="2035"/>
      <c r="Q677" s="2035"/>
      <c r="R677" s="2035"/>
      <c r="T677" s="87" t="s">
        <v>488</v>
      </c>
      <c r="U677" s="12" t="s">
        <v>496</v>
      </c>
      <c r="Z677" s="2035">
        <f>C644</f>
        <v>0</v>
      </c>
      <c r="AA677" s="2035"/>
      <c r="AB677" s="2035"/>
      <c r="AC677" s="2035"/>
      <c r="AD677" s="2035"/>
      <c r="AE677" s="2035"/>
      <c r="AF677" s="2035"/>
      <c r="AG677" s="2035"/>
      <c r="AH677" s="2035"/>
      <c r="AI677" s="2035"/>
      <c r="AJ677" s="2035"/>
      <c r="AK677" s="2035"/>
      <c r="AZ677" s="58"/>
      <c r="BA677" s="447">
        <f t="shared" si="40"/>
        <v>1942</v>
      </c>
      <c r="BB677" s="58"/>
      <c r="BC677" s="58"/>
      <c r="BD677" s="58"/>
      <c r="BE677" s="58"/>
      <c r="BF677" s="383"/>
      <c r="BG677" s="458">
        <f t="shared" si="41"/>
        <v>5</v>
      </c>
      <c r="BH677" s="461">
        <f t="shared" si="43"/>
        <v>2.6041666666666668E-2</v>
      </c>
      <c r="BI677" s="462">
        <f t="shared" si="42"/>
        <v>1.3020833333333334E-2</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2"/>
      <c r="H678" s="2022"/>
      <c r="I678" s="2022"/>
      <c r="J678" s="2022"/>
      <c r="K678" s="2022"/>
      <c r="L678" s="2022"/>
      <c r="M678" s="2022"/>
      <c r="N678" s="2022"/>
      <c r="O678" s="2022"/>
      <c r="P678" s="2022"/>
      <c r="Q678" s="2022"/>
      <c r="R678" s="2022"/>
      <c r="T678" s="35"/>
      <c r="U678" s="12" t="s">
        <v>90</v>
      </c>
      <c r="Z678" s="2022"/>
      <c r="AA678" s="2022"/>
      <c r="AB678" s="2022"/>
      <c r="AC678" s="2022"/>
      <c r="AD678" s="2022"/>
      <c r="AE678" s="2022"/>
      <c r="AF678" s="2022"/>
      <c r="AG678" s="2022"/>
      <c r="AH678" s="2022"/>
      <c r="AI678" s="2022"/>
      <c r="AJ678" s="2022"/>
      <c r="AK678" s="2022"/>
      <c r="AZ678" s="58"/>
      <c r="BA678" s="447">
        <f t="shared" si="40"/>
        <v>1942</v>
      </c>
      <c r="BB678" s="58"/>
      <c r="BC678" s="58"/>
      <c r="BD678" s="58"/>
      <c r="BE678" s="58"/>
      <c r="BF678" s="383"/>
      <c r="BG678" s="458">
        <f t="shared" si="41"/>
        <v>14</v>
      </c>
      <c r="BH678" s="461">
        <f t="shared" si="43"/>
        <v>7.2916666666666671E-2</v>
      </c>
      <c r="BI678" s="462">
        <f t="shared" si="42"/>
        <v>4.3750000000000004E-2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22"/>
      <c r="H679" s="2022"/>
      <c r="I679" s="2022"/>
      <c r="J679" s="2022"/>
      <c r="K679" s="2022"/>
      <c r="L679" s="2022"/>
      <c r="M679" s="2022"/>
      <c r="N679" s="2022"/>
      <c r="O679" s="2022"/>
      <c r="P679" s="2022"/>
      <c r="Q679" s="2022"/>
      <c r="R679" s="2022"/>
      <c r="T679" s="35"/>
      <c r="U679" s="12" t="s">
        <v>615</v>
      </c>
      <c r="Z679" s="2018"/>
      <c r="AA679" s="2018"/>
      <c r="AB679" s="2018"/>
      <c r="AC679" s="2018"/>
      <c r="AD679" s="2018"/>
      <c r="AE679" s="2018"/>
      <c r="AF679" s="2018"/>
      <c r="AG679" s="2018"/>
      <c r="AH679" s="2018"/>
      <c r="AI679" s="2018"/>
      <c r="AJ679" s="2018"/>
      <c r="AK679" s="2018"/>
      <c r="AZ679" s="58"/>
      <c r="BA679" s="447">
        <f t="shared" si="40"/>
        <v>1942</v>
      </c>
      <c r="BB679" s="58"/>
      <c r="BC679" s="58"/>
      <c r="BD679" s="58"/>
      <c r="BE679" s="58"/>
      <c r="BF679" s="383"/>
      <c r="BG679" s="458">
        <f t="shared" si="41"/>
        <v>1</v>
      </c>
      <c r="BH679" s="461">
        <f t="shared" si="43"/>
        <v>5.208333333333333E-3</v>
      </c>
      <c r="BI679" s="462">
        <f t="shared" si="42"/>
        <v>3.1249999999999997E-3</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2"/>
      <c r="H680" s="2022"/>
      <c r="I680" s="2022"/>
      <c r="J680" s="2022"/>
      <c r="K680" s="2022"/>
      <c r="L680" s="2022"/>
      <c r="M680" s="2022"/>
      <c r="N680" s="2022"/>
      <c r="O680" s="2022"/>
      <c r="P680" s="2022"/>
      <c r="Q680" s="2022"/>
      <c r="R680" s="2022"/>
      <c r="T680" s="35"/>
      <c r="U680" s="12" t="s">
        <v>17</v>
      </c>
      <c r="Z680" s="2018"/>
      <c r="AA680" s="2018"/>
      <c r="AB680" s="2018"/>
      <c r="AC680" s="2018"/>
      <c r="AD680" s="2018"/>
      <c r="AE680" s="2018"/>
      <c r="AF680" s="2018"/>
      <c r="AG680" s="2018"/>
      <c r="AH680" s="2018"/>
      <c r="AI680" s="2018"/>
      <c r="AJ680" s="2018"/>
      <c r="AK680" s="2018"/>
      <c r="AZ680" s="58"/>
      <c r="BA680" s="447">
        <f t="shared" si="40"/>
        <v>2244</v>
      </c>
      <c r="BB680" s="58"/>
      <c r="BC680" s="58"/>
      <c r="BD680" s="58"/>
      <c r="BE680" s="58"/>
      <c r="BF680" s="383"/>
      <c r="BG680" s="458">
        <f t="shared" si="41"/>
        <v>23</v>
      </c>
      <c r="BH680" s="461">
        <f t="shared" si="43"/>
        <v>0.11979166666666667</v>
      </c>
      <c r="BI680" s="462">
        <f t="shared" si="42"/>
        <v>8.385416666666666E-2</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31"/>
      <c r="H681" s="2031"/>
      <c r="I681" s="2031"/>
      <c r="J681" s="2031"/>
      <c r="K681" s="2031"/>
      <c r="L681" s="2031"/>
      <c r="O681" s="137" t="s">
        <v>211</v>
      </c>
      <c r="P681" s="2024"/>
      <c r="Q681" s="2024"/>
      <c r="R681" s="2024"/>
      <c r="T681" s="35"/>
      <c r="U681" s="12" t="s">
        <v>326</v>
      </c>
      <c r="Z681" s="2031"/>
      <c r="AA681" s="2031"/>
      <c r="AB681" s="2031"/>
      <c r="AC681" s="2031"/>
      <c r="AD681" s="2031"/>
      <c r="AE681" s="2031"/>
      <c r="AH681" s="137" t="s">
        <v>211</v>
      </c>
      <c r="AI681" s="2024"/>
      <c r="AJ681" s="2024"/>
      <c r="AK681" s="2024"/>
      <c r="AZ681" s="58"/>
      <c r="BA681" s="447">
        <f t="shared" si="40"/>
        <v>2244</v>
      </c>
      <c r="BB681" s="58"/>
      <c r="BC681" s="58"/>
      <c r="BD681" s="58"/>
      <c r="BE681" s="58"/>
      <c r="BF681" s="383"/>
      <c r="BG681" s="458">
        <f t="shared" si="41"/>
        <v>5</v>
      </c>
      <c r="BH681" s="461">
        <f t="shared" si="43"/>
        <v>2.6041666666666668E-2</v>
      </c>
      <c r="BI681" s="462">
        <f t="shared" si="42"/>
        <v>7.8125E-3</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2"/>
      <c r="I682" s="2022"/>
      <c r="J682" s="2022"/>
      <c r="K682" s="2022"/>
      <c r="L682" s="2022"/>
      <c r="M682" s="2022"/>
      <c r="N682" s="2022"/>
      <c r="O682" s="2022"/>
      <c r="P682" s="2022"/>
      <c r="Q682" s="2022"/>
      <c r="R682" s="2022"/>
      <c r="T682" s="35"/>
      <c r="U682" s="12" t="s">
        <v>18</v>
      </c>
      <c r="AA682" s="2022"/>
      <c r="AB682" s="2022"/>
      <c r="AC682" s="2022"/>
      <c r="AD682" s="2022"/>
      <c r="AE682" s="2022"/>
      <c r="AF682" s="2022"/>
      <c r="AG682" s="2022"/>
      <c r="AH682" s="2022"/>
      <c r="AI682" s="2022"/>
      <c r="AJ682" s="2022"/>
      <c r="AK682" s="2022"/>
      <c r="AZ682" s="58"/>
      <c r="BA682" s="447">
        <f t="shared" si="40"/>
        <v>2244</v>
      </c>
      <c r="BB682" s="58"/>
      <c r="BC682" s="58"/>
      <c r="BD682" s="58"/>
      <c r="BE682" s="58"/>
      <c r="BF682" s="383"/>
      <c r="BG682" s="458">
        <f t="shared" si="41"/>
        <v>5</v>
      </c>
      <c r="BH682" s="461">
        <f t="shared" si="43"/>
        <v>2.6041666666666668E-2</v>
      </c>
      <c r="BI682" s="462">
        <f t="shared" si="42"/>
        <v>1.3020833333333334E-2</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3" t="s">
        <v>706</v>
      </c>
      <c r="O683" s="2023"/>
      <c r="T683" s="35"/>
      <c r="U683" s="12" t="s">
        <v>20</v>
      </c>
      <c r="AG683" s="2023" t="s">
        <v>706</v>
      </c>
      <c r="AH683" s="2023"/>
      <c r="AZ683" s="58"/>
      <c r="BA683" s="447">
        <f t="shared" si="40"/>
        <v>2244</v>
      </c>
      <c r="BB683" s="58"/>
      <c r="BC683" s="58"/>
      <c r="BD683" s="58"/>
      <c r="BE683" s="58"/>
      <c r="BF683" s="383"/>
      <c r="BG683" s="458">
        <f t="shared" si="41"/>
        <v>13</v>
      </c>
      <c r="BH683" s="461">
        <f t="shared" si="43"/>
        <v>6.7708333333333329E-2</v>
      </c>
      <c r="BI683" s="462">
        <f t="shared" si="42"/>
        <v>4.0624999999999994E-2</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40"/>
        <v>2244</v>
      </c>
      <c r="BB684" s="58"/>
      <c r="BC684" s="58"/>
      <c r="BD684" s="58"/>
      <c r="BE684" s="58"/>
      <c r="BF684" s="383"/>
      <c r="BG684" s="458">
        <f t="shared" si="41"/>
        <v>1</v>
      </c>
      <c r="BH684" s="461">
        <f t="shared" si="43"/>
        <v>5.208333333333333E-3</v>
      </c>
      <c r="BI684" s="462">
        <f t="shared" si="42"/>
        <v>3.645833333333333E-3</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5">
        <f>C645</f>
        <v>0</v>
      </c>
      <c r="H685" s="2035"/>
      <c r="I685" s="2035"/>
      <c r="J685" s="2035"/>
      <c r="K685" s="2035"/>
      <c r="L685" s="2035"/>
      <c r="M685" s="2035"/>
      <c r="N685" s="2035"/>
      <c r="O685" s="2035"/>
      <c r="P685" s="2035"/>
      <c r="Q685" s="2035"/>
      <c r="R685" s="2035"/>
      <c r="T685" s="87" t="s">
        <v>681</v>
      </c>
      <c r="U685" s="12" t="s">
        <v>496</v>
      </c>
      <c r="Z685" s="2035">
        <f>C646</f>
        <v>0</v>
      </c>
      <c r="AA685" s="2035"/>
      <c r="AB685" s="2035"/>
      <c r="AC685" s="2035"/>
      <c r="AD685" s="2035"/>
      <c r="AE685" s="2035"/>
      <c r="AF685" s="2035"/>
      <c r="AG685" s="2035"/>
      <c r="AH685" s="2035"/>
      <c r="AI685" s="2035"/>
      <c r="AJ685" s="2035"/>
      <c r="AK685" s="2035"/>
      <c r="AZ685" s="58"/>
      <c r="BA685" s="447" t="str">
        <f t="shared" si="40"/>
        <v>N/A</v>
      </c>
      <c r="BB685" s="58"/>
      <c r="BC685" s="58"/>
      <c r="BD685" s="58"/>
      <c r="BE685" s="58"/>
      <c r="BF685" s="383"/>
      <c r="BG685" s="458">
        <f t="shared" si="41"/>
        <v>24</v>
      </c>
      <c r="BH685" s="461">
        <f t="shared" si="43"/>
        <v>0.125</v>
      </c>
      <c r="BI685" s="462">
        <f t="shared" si="42"/>
        <v>8.7499999999999994E-2</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2"/>
      <c r="H686" s="2022"/>
      <c r="I686" s="2022"/>
      <c r="J686" s="2022"/>
      <c r="K686" s="2022"/>
      <c r="L686" s="2022"/>
      <c r="M686" s="2022"/>
      <c r="N686" s="2022"/>
      <c r="O686" s="2022"/>
      <c r="P686" s="2022"/>
      <c r="Q686" s="2022"/>
      <c r="R686" s="2022"/>
      <c r="T686" s="35"/>
      <c r="U686" s="12" t="s">
        <v>90</v>
      </c>
      <c r="Z686" s="2022"/>
      <c r="AA686" s="2022"/>
      <c r="AB686" s="2022"/>
      <c r="AC686" s="2022"/>
      <c r="AD686" s="2022"/>
      <c r="AE686" s="2022"/>
      <c r="AF686" s="2022"/>
      <c r="AG686" s="2022"/>
      <c r="AH686" s="2022"/>
      <c r="AI686" s="2022"/>
      <c r="AJ686" s="2022"/>
      <c r="AK686" s="202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22"/>
      <c r="H687" s="2022"/>
      <c r="I687" s="2022"/>
      <c r="J687" s="2022"/>
      <c r="K687" s="2022"/>
      <c r="L687" s="2022"/>
      <c r="M687" s="2022"/>
      <c r="N687" s="2022"/>
      <c r="O687" s="2022"/>
      <c r="P687" s="2022"/>
      <c r="Q687" s="2022"/>
      <c r="R687" s="2022"/>
      <c r="T687" s="35"/>
      <c r="U687" s="12" t="s">
        <v>615</v>
      </c>
      <c r="Z687" s="2018"/>
      <c r="AA687" s="2018"/>
      <c r="AB687" s="2018"/>
      <c r="AC687" s="2018"/>
      <c r="AD687" s="2018"/>
      <c r="AE687" s="2018"/>
      <c r="AF687" s="2018"/>
      <c r="AG687" s="2018"/>
      <c r="AH687" s="2018"/>
      <c r="AI687" s="2018"/>
      <c r="AJ687" s="2018"/>
      <c r="AK687" s="201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2"/>
      <c r="H688" s="2022"/>
      <c r="I688" s="2022"/>
      <c r="J688" s="2022"/>
      <c r="K688" s="2022"/>
      <c r="L688" s="2022"/>
      <c r="M688" s="2022"/>
      <c r="N688" s="2022"/>
      <c r="O688" s="2022"/>
      <c r="P688" s="2022"/>
      <c r="Q688" s="2022"/>
      <c r="R688" s="2022"/>
      <c r="T688" s="35"/>
      <c r="U688" s="12" t="s">
        <v>17</v>
      </c>
      <c r="Z688" s="2018"/>
      <c r="AA688" s="2018"/>
      <c r="AB688" s="2018"/>
      <c r="AC688" s="2018"/>
      <c r="AD688" s="2018"/>
      <c r="AE688" s="2018"/>
      <c r="AF688" s="2018"/>
      <c r="AG688" s="2018"/>
      <c r="AH688" s="2018"/>
      <c r="AI688" s="2018"/>
      <c r="AJ688" s="2018"/>
      <c r="AK688" s="201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31"/>
      <c r="H689" s="2031"/>
      <c r="I689" s="2031"/>
      <c r="J689" s="2031"/>
      <c r="K689" s="2031"/>
      <c r="L689" s="2031"/>
      <c r="O689" s="137" t="s">
        <v>211</v>
      </c>
      <c r="P689" s="2024"/>
      <c r="Q689" s="2024"/>
      <c r="R689" s="2024"/>
      <c r="T689" s="35"/>
      <c r="U689" s="12" t="s">
        <v>326</v>
      </c>
      <c r="Z689" s="2031"/>
      <c r="AA689" s="2031"/>
      <c r="AB689" s="2031"/>
      <c r="AC689" s="2031"/>
      <c r="AD689" s="2031"/>
      <c r="AE689" s="2031"/>
      <c r="AH689" s="137" t="s">
        <v>211</v>
      </c>
      <c r="AI689" s="2024"/>
      <c r="AJ689" s="2024"/>
      <c r="AK689" s="2024"/>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2"/>
      <c r="I690" s="2022"/>
      <c r="J690" s="2022"/>
      <c r="K690" s="2022"/>
      <c r="L690" s="2022"/>
      <c r="M690" s="2022"/>
      <c r="N690" s="2022"/>
      <c r="O690" s="2022"/>
      <c r="P690" s="2022"/>
      <c r="Q690" s="2022"/>
      <c r="R690" s="2022"/>
      <c r="T690" s="35"/>
      <c r="U690" s="12" t="s">
        <v>18</v>
      </c>
      <c r="AA690" s="2022"/>
      <c r="AB690" s="2022"/>
      <c r="AC690" s="2022"/>
      <c r="AD690" s="2022"/>
      <c r="AE690" s="2022"/>
      <c r="AF690" s="2022"/>
      <c r="AG690" s="2022"/>
      <c r="AH690" s="2022"/>
      <c r="AI690" s="2022"/>
      <c r="AJ690" s="2022"/>
      <c r="AK690" s="202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3" t="s">
        <v>706</v>
      </c>
      <c r="O691" s="2023"/>
      <c r="T691" s="35"/>
      <c r="U691" s="12" t="s">
        <v>20</v>
      </c>
      <c r="AG691" s="2023" t="s">
        <v>706</v>
      </c>
      <c r="AH691" s="2023"/>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035">
        <f>C647</f>
        <v>0</v>
      </c>
      <c r="H693" s="2035"/>
      <c r="I693" s="2035"/>
      <c r="J693" s="2035"/>
      <c r="K693" s="2035"/>
      <c r="L693" s="2035"/>
      <c r="M693" s="2035"/>
      <c r="N693" s="2035"/>
      <c r="O693" s="2035"/>
      <c r="P693" s="2035"/>
      <c r="Q693" s="2035"/>
      <c r="R693" s="2035"/>
      <c r="T693" s="87" t="s">
        <v>374</v>
      </c>
      <c r="U693" s="12" t="s">
        <v>496</v>
      </c>
      <c r="Z693" s="2035">
        <f>C648</f>
        <v>0</v>
      </c>
      <c r="AA693" s="2035"/>
      <c r="AB693" s="2035"/>
      <c r="AC693" s="2035"/>
      <c r="AD693" s="2035"/>
      <c r="AE693" s="2035"/>
      <c r="AF693" s="2035"/>
      <c r="AG693" s="2035"/>
      <c r="AH693" s="2035"/>
      <c r="AI693" s="2035"/>
      <c r="AJ693" s="2035"/>
      <c r="AK693" s="203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2"/>
      <c r="H694" s="2022"/>
      <c r="I694" s="2022"/>
      <c r="J694" s="2022"/>
      <c r="K694" s="2022"/>
      <c r="L694" s="2022"/>
      <c r="M694" s="2022"/>
      <c r="N694" s="2022"/>
      <c r="O694" s="2022"/>
      <c r="P694" s="2022"/>
      <c r="Q694" s="2022"/>
      <c r="R694" s="2022"/>
      <c r="T694" s="35"/>
      <c r="U694" s="12" t="s">
        <v>90</v>
      </c>
      <c r="Z694" s="2022"/>
      <c r="AA694" s="2022"/>
      <c r="AB694" s="2022"/>
      <c r="AC694" s="2022"/>
      <c r="AD694" s="2022"/>
      <c r="AE694" s="2022"/>
      <c r="AF694" s="2022"/>
      <c r="AG694" s="2022"/>
      <c r="AH694" s="2022"/>
      <c r="AI694" s="2022"/>
      <c r="AJ694" s="2022"/>
      <c r="AK694" s="202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22"/>
      <c r="H695" s="2022"/>
      <c r="I695" s="2022"/>
      <c r="J695" s="2022"/>
      <c r="K695" s="2022"/>
      <c r="L695" s="2022"/>
      <c r="M695" s="2022"/>
      <c r="N695" s="2022"/>
      <c r="O695" s="2022"/>
      <c r="P695" s="2022"/>
      <c r="Q695" s="2022"/>
      <c r="R695" s="2022"/>
      <c r="U695" s="12" t="s">
        <v>615</v>
      </c>
      <c r="Z695" s="2018"/>
      <c r="AA695" s="2018"/>
      <c r="AB695" s="2018"/>
      <c r="AC695" s="2018"/>
      <c r="AD695" s="2018"/>
      <c r="AE695" s="2018"/>
      <c r="AF695" s="2018"/>
      <c r="AG695" s="2018"/>
      <c r="AH695" s="2018"/>
      <c r="AI695" s="2018"/>
      <c r="AJ695" s="2018"/>
      <c r="AK695" s="201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2"/>
      <c r="H696" s="2022"/>
      <c r="I696" s="2022"/>
      <c r="J696" s="2022"/>
      <c r="K696" s="2022"/>
      <c r="L696" s="2022"/>
      <c r="M696" s="2022"/>
      <c r="N696" s="2022"/>
      <c r="O696" s="2022"/>
      <c r="P696" s="2022"/>
      <c r="Q696" s="2022"/>
      <c r="R696" s="2022"/>
      <c r="U696" s="12" t="s">
        <v>17</v>
      </c>
      <c r="Z696" s="2018"/>
      <c r="AA696" s="2018"/>
      <c r="AB696" s="2018"/>
      <c r="AC696" s="2018"/>
      <c r="AD696" s="2018"/>
      <c r="AE696" s="2018"/>
      <c r="AF696" s="2018"/>
      <c r="AG696" s="2018"/>
      <c r="AH696" s="2018"/>
      <c r="AI696" s="2018"/>
      <c r="AJ696" s="2018"/>
      <c r="AK696" s="2018"/>
      <c r="AZ696" s="58"/>
      <c r="BA696" s="58"/>
      <c r="BB696" s="58"/>
      <c r="BC696" s="58"/>
      <c r="BD696" s="58"/>
      <c r="BF696" s="454" t="s">
        <v>970</v>
      </c>
      <c r="BG696" s="463">
        <f>SUM(BG671:BG695)</f>
        <v>192</v>
      </c>
      <c r="BH696" s="464">
        <f>SUM(BH671:BH695)</f>
        <v>0.99999999999999989</v>
      </c>
      <c r="BI696" s="464">
        <f>SUM(BI671:BI695)</f>
        <v>0.58958333333333335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31"/>
      <c r="H697" s="2031"/>
      <c r="I697" s="2031"/>
      <c r="J697" s="2031"/>
      <c r="K697" s="2031"/>
      <c r="L697" s="2031"/>
      <c r="O697" s="137" t="s">
        <v>211</v>
      </c>
      <c r="P697" s="2024"/>
      <c r="Q697" s="2024"/>
      <c r="R697" s="2024"/>
      <c r="U697" s="12" t="s">
        <v>326</v>
      </c>
      <c r="Z697" s="2031"/>
      <c r="AA697" s="2031"/>
      <c r="AB697" s="2031"/>
      <c r="AC697" s="2031"/>
      <c r="AD697" s="2031"/>
      <c r="AE697" s="2031"/>
      <c r="AH697" s="137" t="s">
        <v>211</v>
      </c>
      <c r="AI697" s="2024"/>
      <c r="AJ697" s="2024"/>
      <c r="AK697" s="202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2"/>
      <c r="I698" s="2022"/>
      <c r="J698" s="2022"/>
      <c r="K698" s="2022"/>
      <c r="L698" s="2022"/>
      <c r="M698" s="2022"/>
      <c r="N698" s="2022"/>
      <c r="O698" s="2022"/>
      <c r="P698" s="2022"/>
      <c r="Q698" s="2022"/>
      <c r="R698" s="2022"/>
      <c r="U698" s="12" t="s">
        <v>18</v>
      </c>
      <c r="AA698" s="2022"/>
      <c r="AB698" s="2022"/>
      <c r="AC698" s="2022"/>
      <c r="AD698" s="2022"/>
      <c r="AE698" s="2022"/>
      <c r="AF698" s="2022"/>
      <c r="AG698" s="2022"/>
      <c r="AH698" s="2022"/>
      <c r="AI698" s="2022"/>
      <c r="AJ698" s="2022"/>
      <c r="AK698" s="202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3" t="s">
        <v>706</v>
      </c>
      <c r="O699" s="2023"/>
      <c r="U699" s="12" t="s">
        <v>20</v>
      </c>
      <c r="AG699" s="2023" t="s">
        <v>706</v>
      </c>
      <c r="AH699" s="202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3" t="s">
        <v>578</v>
      </c>
      <c r="AF703" s="202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10</v>
      </c>
      <c r="BH703" s="461">
        <f>BG703/$BG$728</f>
        <v>5.2083333333333336E-2</v>
      </c>
      <c r="BI703" s="462">
        <f t="shared" ref="BI703:BI727" si="45">IF(BH703=0," ",BH703*AM728)</f>
        <v>1.5625E-2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3" t="s">
        <v>706</v>
      </c>
      <c r="AF704" s="202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10</v>
      </c>
      <c r="BH704" s="461">
        <f t="shared" ref="BH704:BH727" si="46">BG704/$BG$728</f>
        <v>5.2083333333333336E-2</v>
      </c>
      <c r="BI704" s="462">
        <f t="shared" si="45"/>
        <v>2.6041666666666668E-2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7">
        <v>44231</v>
      </c>
      <c r="AF705" s="2357"/>
      <c r="AG705" s="2357"/>
      <c r="AH705" s="2357"/>
      <c r="AI705" s="235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28</v>
      </c>
      <c r="BH705" s="461">
        <f t="shared" si="46"/>
        <v>0.14583333333333334</v>
      </c>
      <c r="BI705" s="462">
        <f t="shared" si="45"/>
        <v>8.7500000000000008E-2</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3">
        <v>44314</v>
      </c>
      <c r="AF706" s="2433"/>
      <c r="AG706" s="2433"/>
      <c r="AH706" s="2433"/>
      <c r="AI706" s="24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36</v>
      </c>
      <c r="BH706" s="461">
        <f t="shared" si="46"/>
        <v>0.1875</v>
      </c>
      <c r="BI706" s="462">
        <f t="shared" si="45"/>
        <v>0.11249999999999999</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12</v>
      </c>
      <c r="BH707" s="461">
        <f t="shared" si="46"/>
        <v>6.25E-2</v>
      </c>
      <c r="BI707" s="462">
        <f t="shared" si="45"/>
        <v>4.3749999999999997E-2</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7">
        <v>44497</v>
      </c>
      <c r="AF708" s="2357"/>
      <c r="AG708" s="2357"/>
      <c r="AH708" s="2357"/>
      <c r="AI708" s="235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5</v>
      </c>
      <c r="BH708" s="461">
        <f t="shared" si="46"/>
        <v>2.6041666666666668E-2</v>
      </c>
      <c r="BI708" s="462">
        <f t="shared" si="45"/>
        <v>7.8044541709577763E-3</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64">
        <v>0.52329999999999999</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5</v>
      </c>
      <c r="BH709" s="461">
        <f t="shared" si="46"/>
        <v>2.6041666666666668E-2</v>
      </c>
      <c r="BI709" s="462">
        <f t="shared" si="45"/>
        <v>1.3020833333333334E-2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35" t="str">
        <f>H334</f>
        <v>CalHFA</v>
      </c>
      <c r="X710" s="2035"/>
      <c r="Y710" s="2035"/>
      <c r="Z710" s="2035"/>
      <c r="AA710" s="2035"/>
      <c r="AB710" s="2035"/>
      <c r="AC710" s="2035"/>
      <c r="AD710" s="2035"/>
      <c r="AE710" s="2035"/>
      <c r="AF710" s="2035"/>
      <c r="AG710" s="2035"/>
      <c r="AH710" s="2035"/>
      <c r="AI710" s="2035"/>
      <c r="AJ710" s="2035"/>
      <c r="AK710" s="203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14</v>
      </c>
      <c r="BH710" s="461">
        <f t="shared" si="46"/>
        <v>7.2916666666666671E-2</v>
      </c>
      <c r="BI710" s="462">
        <f t="shared" si="45"/>
        <v>4.3742490559560594E-2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5.208333333333333E-3</v>
      </c>
      <c r="BI711" s="462">
        <f t="shared" si="45"/>
        <v>3.1244636113971847E-3</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3" t="s">
        <v>706</v>
      </c>
      <c r="AF712" s="202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23</v>
      </c>
      <c r="BH712" s="461">
        <f t="shared" si="46"/>
        <v>0.11979166666666667</v>
      </c>
      <c r="BI712" s="462">
        <f t="shared" si="45"/>
        <v>8.3829492790937182E-2</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2"/>
      <c r="X713" s="2022"/>
      <c r="Y713" s="2022"/>
      <c r="Z713" s="2022"/>
      <c r="AA713" s="2022"/>
      <c r="AB713" s="2022"/>
      <c r="AC713" s="2022"/>
      <c r="AD713" s="2022"/>
      <c r="AE713" s="2022"/>
      <c r="AF713" s="2022"/>
      <c r="AG713" s="2022"/>
      <c r="AH713" s="2022"/>
      <c r="AI713" s="2022"/>
      <c r="AJ713" s="2022"/>
      <c r="AK713" s="202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5</v>
      </c>
      <c r="BH713" s="461">
        <f t="shared" si="46"/>
        <v>2.6041666666666668E-2</v>
      </c>
      <c r="BI713" s="462">
        <f t="shared" si="45"/>
        <v>7.8101789958407615E-3</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2"/>
      <c r="K714" s="2022"/>
      <c r="L714" s="2022"/>
      <c r="M714" s="2022"/>
      <c r="N714" s="2022"/>
      <c r="O714" s="2022"/>
      <c r="P714" s="2022"/>
      <c r="Q714" s="2022"/>
      <c r="R714" s="2022"/>
      <c r="S714" s="2022"/>
      <c r="T714" s="2022"/>
      <c r="U714" s="2022"/>
      <c r="V714" s="2022"/>
      <c r="W714" s="2022"/>
      <c r="X714" s="202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5</v>
      </c>
      <c r="BH714" s="461">
        <f t="shared" si="46"/>
        <v>2.6041666666666668E-2</v>
      </c>
      <c r="BI714" s="462">
        <f t="shared" si="45"/>
        <v>1.3020833333333334E-2</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1"/>
      <c r="K715" s="2031"/>
      <c r="L715" s="2031"/>
      <c r="M715" s="2031"/>
      <c r="N715" s="2031"/>
      <c r="O715" s="2031"/>
      <c r="P715" s="7" t="s">
        <v>211</v>
      </c>
      <c r="Q715" s="7"/>
      <c r="R715" s="2024"/>
      <c r="S715" s="2024"/>
      <c r="T715" s="202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13</v>
      </c>
      <c r="BH715" s="461">
        <f t="shared" si="46"/>
        <v>6.7708333333333329E-2</v>
      </c>
      <c r="BI715" s="462">
        <f t="shared" si="45"/>
        <v>4.064310383244206E-2</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22" t="s">
        <v>317</v>
      </c>
      <c r="X716" s="2022"/>
      <c r="Y716" s="2022"/>
      <c r="Z716" s="2022"/>
      <c r="AA716" s="2022"/>
      <c r="AB716" s="2022"/>
      <c r="AC716" s="2022"/>
      <c r="AD716" s="2022"/>
      <c r="AE716" s="2022"/>
      <c r="AF716" s="2022"/>
      <c r="AG716" s="2022"/>
      <c r="AH716" s="2022"/>
      <c r="AI716" s="2022"/>
      <c r="AJ716" s="2022"/>
      <c r="AK716" s="202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1</v>
      </c>
      <c r="BH716" s="461">
        <f t="shared" si="46"/>
        <v>5.208333333333333E-3</v>
      </c>
      <c r="BI716" s="462">
        <f t="shared" si="45"/>
        <v>3.646297534165181E-3</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2" t="s">
        <v>344</v>
      </c>
      <c r="F717" s="2022"/>
      <c r="G717" s="2022"/>
      <c r="H717" s="2022"/>
      <c r="I717" s="2022"/>
      <c r="J717" s="2022"/>
      <c r="K717" s="2022"/>
      <c r="L717" s="2022"/>
      <c r="M717" s="2022"/>
      <c r="N717" s="2022"/>
      <c r="O717" s="2022"/>
      <c r="P717" s="2022"/>
      <c r="Q717" s="2022"/>
      <c r="R717" s="2022"/>
      <c r="S717" s="2022"/>
      <c r="T717" s="2022"/>
      <c r="U717" s="2022"/>
      <c r="V717" s="2022"/>
      <c r="W717" s="2022"/>
      <c r="X717" s="2022"/>
      <c r="Y717" s="2022"/>
      <c r="Z717" s="2022"/>
      <c r="AA717" s="2022"/>
      <c r="AB717" s="2022"/>
      <c r="AC717" s="2022"/>
      <c r="AD717" s="2022"/>
      <c r="AE717" s="2022"/>
      <c r="AF717" s="2022"/>
      <c r="AG717" s="2022"/>
      <c r="AH717" s="2022"/>
      <c r="AI717" s="2022"/>
      <c r="AJ717" s="2022"/>
      <c r="AK717" s="202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24</v>
      </c>
      <c r="BH717" s="461">
        <f t="shared" si="46"/>
        <v>0.125</v>
      </c>
      <c r="BI717" s="462">
        <f t="shared" si="45"/>
        <v>8.7511140819964348E-2</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5" t="s">
        <v>100</v>
      </c>
      <c r="B719" s="1865"/>
      <c r="C719" s="1865"/>
      <c r="D719" s="1865"/>
      <c r="E719" s="1865"/>
      <c r="F719" s="1865"/>
      <c r="G719" s="1865"/>
      <c r="H719" s="1865"/>
      <c r="I719" s="1865"/>
      <c r="J719" s="1865"/>
      <c r="K719" s="1865"/>
      <c r="L719" s="1865"/>
      <c r="M719" s="1865"/>
      <c r="N719" s="1865"/>
      <c r="O719" s="1865"/>
      <c r="P719" s="1865"/>
      <c r="Q719" s="1865"/>
      <c r="R719" s="1865"/>
      <c r="S719" s="1865"/>
      <c r="T719" s="1865"/>
      <c r="U719" s="1865"/>
      <c r="V719" s="1865"/>
      <c r="W719" s="1865"/>
      <c r="X719" s="1865"/>
      <c r="Y719" s="1865"/>
      <c r="Z719" s="1865"/>
      <c r="AA719" s="1865"/>
      <c r="AB719" s="1865"/>
      <c r="AC719" s="1865"/>
      <c r="AD719" s="1865"/>
      <c r="AE719" s="1865"/>
      <c r="AF719" s="1865"/>
      <c r="AG719" s="1865"/>
      <c r="AH719" s="1865"/>
      <c r="AI719" s="1865"/>
      <c r="AJ719" s="1865"/>
      <c r="AK719" s="1865"/>
      <c r="AL719" s="1865"/>
      <c r="AM719" s="1865"/>
      <c r="AN719" s="1865"/>
      <c r="AO719" s="1865"/>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5"/>
      <c r="B720" s="1865"/>
      <c r="C720" s="1865"/>
      <c r="D720" s="1865"/>
      <c r="E720" s="1865"/>
      <c r="F720" s="1865"/>
      <c r="G720" s="1865"/>
      <c r="H720" s="1865"/>
      <c r="I720" s="1865"/>
      <c r="J720" s="1865"/>
      <c r="K720" s="1865"/>
      <c r="L720" s="1865"/>
      <c r="M720" s="1865"/>
      <c r="N720" s="1865"/>
      <c r="O720" s="1865"/>
      <c r="P720" s="1865"/>
      <c r="Q720" s="1865"/>
      <c r="R720" s="1865"/>
      <c r="S720" s="1865"/>
      <c r="T720" s="1865"/>
      <c r="U720" s="1865"/>
      <c r="V720" s="1865"/>
      <c r="W720" s="1865"/>
      <c r="X720" s="1865"/>
      <c r="Y720" s="1865"/>
      <c r="Z720" s="1865"/>
      <c r="AA720" s="1865"/>
      <c r="AB720" s="1865"/>
      <c r="AC720" s="1865"/>
      <c r="AD720" s="1865"/>
      <c r="AE720" s="1865"/>
      <c r="AF720" s="1865"/>
      <c r="AG720" s="1865"/>
      <c r="AH720" s="1865"/>
      <c r="AI720" s="1865"/>
      <c r="AJ720" s="1865"/>
      <c r="AK720" s="1865"/>
      <c r="AL720" s="1865"/>
      <c r="AM720" s="1865"/>
      <c r="AN720" s="1865"/>
      <c r="AO720" s="1865"/>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5"/>
      <c r="B721" s="1865"/>
      <c r="C721" s="1865"/>
      <c r="D721" s="1865"/>
      <c r="E721" s="1865"/>
      <c r="F721" s="1865"/>
      <c r="G721" s="1865"/>
      <c r="H721" s="1865"/>
      <c r="I721" s="1865"/>
      <c r="J721" s="1865"/>
      <c r="K721" s="1865"/>
      <c r="L721" s="1865"/>
      <c r="M721" s="1865"/>
      <c r="N721" s="1865"/>
      <c r="O721" s="1865"/>
      <c r="P721" s="1865"/>
      <c r="Q721" s="1865"/>
      <c r="R721" s="1865"/>
      <c r="S721" s="1865"/>
      <c r="T721" s="1865"/>
      <c r="U721" s="1865"/>
      <c r="V721" s="1865"/>
      <c r="W721" s="1865"/>
      <c r="X721" s="1865"/>
      <c r="Y721" s="1865"/>
      <c r="Z721" s="1865"/>
      <c r="AA721" s="1865"/>
      <c r="AB721" s="1865"/>
      <c r="AC721" s="1865"/>
      <c r="AD721" s="1865"/>
      <c r="AE721" s="1865"/>
      <c r="AF721" s="1865"/>
      <c r="AG721" s="1865"/>
      <c r="AH721" s="1865"/>
      <c r="AI721" s="1865"/>
      <c r="AJ721" s="1865"/>
      <c r="AK721" s="1865"/>
      <c r="AL721" s="1865"/>
      <c r="AM721" s="1865"/>
      <c r="AN721" s="1865"/>
      <c r="AO721" s="1865"/>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9" t="s">
        <v>408</v>
      </c>
      <c r="C724" s="2250"/>
      <c r="D724" s="2250"/>
      <c r="E724" s="2250"/>
      <c r="F724" s="2251"/>
      <c r="G724" s="2319" t="s">
        <v>292</v>
      </c>
      <c r="H724" s="2250"/>
      <c r="I724" s="2250"/>
      <c r="J724" s="2251"/>
      <c r="K724" s="2358" t="s">
        <v>2168</v>
      </c>
      <c r="L724" s="2359"/>
      <c r="M724" s="2359"/>
      <c r="N724" s="2360"/>
      <c r="O724" s="2319" t="s">
        <v>478</v>
      </c>
      <c r="P724" s="2250"/>
      <c r="Q724" s="2250"/>
      <c r="R724" s="2250"/>
      <c r="S724" s="2251"/>
      <c r="T724" s="2319" t="s">
        <v>293</v>
      </c>
      <c r="U724" s="2250"/>
      <c r="V724" s="2250"/>
      <c r="W724" s="2250"/>
      <c r="X724" s="2251"/>
      <c r="Y724" s="2319" t="s">
        <v>294</v>
      </c>
      <c r="Z724" s="2250"/>
      <c r="AA724" s="2250"/>
      <c r="AB724" s="2251"/>
      <c r="AC724" s="2319" t="s">
        <v>295</v>
      </c>
      <c r="AD724" s="2250"/>
      <c r="AE724" s="2250"/>
      <c r="AF724" s="2250"/>
      <c r="AG724" s="2251"/>
      <c r="AH724" s="2319" t="s">
        <v>409</v>
      </c>
      <c r="AI724" s="2250"/>
      <c r="AJ724" s="2250"/>
      <c r="AK724" s="2250"/>
      <c r="AL724" s="2251"/>
      <c r="AM724" s="2319" t="s">
        <v>682</v>
      </c>
      <c r="AN724" s="2250"/>
      <c r="AO724" s="225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2"/>
      <c r="C725" s="2253"/>
      <c r="D725" s="2253"/>
      <c r="E725" s="2253"/>
      <c r="F725" s="2254"/>
      <c r="G725" s="2252"/>
      <c r="H725" s="2253"/>
      <c r="I725" s="2253"/>
      <c r="J725" s="2254"/>
      <c r="K725" s="2361"/>
      <c r="L725" s="2362"/>
      <c r="M725" s="2362"/>
      <c r="N725" s="2363"/>
      <c r="O725" s="2252"/>
      <c r="P725" s="2253"/>
      <c r="Q725" s="2253"/>
      <c r="R725" s="2253"/>
      <c r="S725" s="2254"/>
      <c r="T725" s="2252"/>
      <c r="U725" s="2253"/>
      <c r="V725" s="2253"/>
      <c r="W725" s="2253"/>
      <c r="X725" s="2254"/>
      <c r="Y725" s="2252"/>
      <c r="Z725" s="2253"/>
      <c r="AA725" s="2253"/>
      <c r="AB725" s="2254"/>
      <c r="AC725" s="2252"/>
      <c r="AD725" s="2253"/>
      <c r="AE725" s="2253"/>
      <c r="AF725" s="2253"/>
      <c r="AG725" s="2254"/>
      <c r="AH725" s="2252"/>
      <c r="AI725" s="2253"/>
      <c r="AJ725" s="2253"/>
      <c r="AK725" s="2253"/>
      <c r="AL725" s="2254"/>
      <c r="AM725" s="2252"/>
      <c r="AN725" s="2253"/>
      <c r="AO725" s="225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2"/>
      <c r="C726" s="2253"/>
      <c r="D726" s="2253"/>
      <c r="E726" s="2253"/>
      <c r="F726" s="2254"/>
      <c r="G726" s="2252"/>
      <c r="H726" s="2253"/>
      <c r="I726" s="2253"/>
      <c r="J726" s="2254"/>
      <c r="K726" s="2361"/>
      <c r="L726" s="2362"/>
      <c r="M726" s="2362"/>
      <c r="N726" s="2363"/>
      <c r="O726" s="2252"/>
      <c r="P726" s="2253"/>
      <c r="Q726" s="2253"/>
      <c r="R726" s="2253"/>
      <c r="S726" s="2254"/>
      <c r="T726" s="2252"/>
      <c r="U726" s="2253"/>
      <c r="V726" s="2253"/>
      <c r="W726" s="2253"/>
      <c r="X726" s="2254"/>
      <c r="Y726" s="2252"/>
      <c r="Z726" s="2253"/>
      <c r="AA726" s="2253"/>
      <c r="AB726" s="2254"/>
      <c r="AC726" s="2252"/>
      <c r="AD726" s="2253"/>
      <c r="AE726" s="2253"/>
      <c r="AF726" s="2253"/>
      <c r="AG726" s="2254"/>
      <c r="AH726" s="2252"/>
      <c r="AI726" s="2253"/>
      <c r="AJ726" s="2253"/>
      <c r="AK726" s="2253"/>
      <c r="AL726" s="2254"/>
      <c r="AM726" s="2252"/>
      <c r="AN726" s="2253"/>
      <c r="AO726" s="225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5"/>
      <c r="C727" s="2256"/>
      <c r="D727" s="2256"/>
      <c r="E727" s="2256"/>
      <c r="F727" s="2257"/>
      <c r="G727" s="2255"/>
      <c r="H727" s="2256"/>
      <c r="I727" s="2256"/>
      <c r="J727" s="2257"/>
      <c r="K727" s="2361"/>
      <c r="L727" s="2362"/>
      <c r="M727" s="2362"/>
      <c r="N727" s="2363"/>
      <c r="O727" s="2255"/>
      <c r="P727" s="2256"/>
      <c r="Q727" s="2256"/>
      <c r="R727" s="2256"/>
      <c r="S727" s="2257"/>
      <c r="T727" s="2255"/>
      <c r="U727" s="2256"/>
      <c r="V727" s="2256"/>
      <c r="W727" s="2256"/>
      <c r="X727" s="2257"/>
      <c r="Y727" s="2255"/>
      <c r="Z727" s="2256"/>
      <c r="AA727" s="2256"/>
      <c r="AB727" s="2257"/>
      <c r="AC727" s="2255"/>
      <c r="AD727" s="2256"/>
      <c r="AE727" s="2256"/>
      <c r="AF727" s="2256"/>
      <c r="AG727" s="2257"/>
      <c r="AH727" s="2255"/>
      <c r="AI727" s="2256"/>
      <c r="AJ727" s="2256"/>
      <c r="AK727" s="2256"/>
      <c r="AL727" s="2257"/>
      <c r="AM727" s="2255"/>
      <c r="AN727" s="2256"/>
      <c r="AO727" s="225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1" t="s">
        <v>335</v>
      </c>
      <c r="C728" s="2232"/>
      <c r="D728" s="2232"/>
      <c r="E728" s="2232"/>
      <c r="F728" s="2233"/>
      <c r="G728" s="2309">
        <v>10</v>
      </c>
      <c r="H728" s="2310"/>
      <c r="I728" s="2310"/>
      <c r="J728" s="2311"/>
      <c r="K728" s="2234">
        <v>588</v>
      </c>
      <c r="L728" s="2235"/>
      <c r="M728" s="2235"/>
      <c r="N728" s="2236"/>
      <c r="O728" s="2302">
        <v>447</v>
      </c>
      <c r="P728" s="2303"/>
      <c r="Q728" s="2303"/>
      <c r="R728" s="2303"/>
      <c r="S728" s="2304"/>
      <c r="T728" s="2242">
        <f t="shared" ref="T728:T752" si="47">G728*O728</f>
        <v>4470</v>
      </c>
      <c r="U728" s="2243"/>
      <c r="V728" s="2243"/>
      <c r="W728" s="2243"/>
      <c r="X728" s="2244"/>
      <c r="Y728" s="2302">
        <v>39</v>
      </c>
      <c r="Z728" s="2303"/>
      <c r="AA728" s="2303"/>
      <c r="AB728" s="2304"/>
      <c r="AC728" s="2242">
        <f t="shared" ref="AC728:AC752" si="48">O728+Y728</f>
        <v>486</v>
      </c>
      <c r="AD728" s="2243"/>
      <c r="AE728" s="2243"/>
      <c r="AF728" s="2243"/>
      <c r="AG728" s="2244"/>
      <c r="AH728" s="2122">
        <v>0.3</v>
      </c>
      <c r="AI728" s="2123"/>
      <c r="AJ728" s="2123"/>
      <c r="AK728" s="2123"/>
      <c r="AL728" s="2124"/>
      <c r="AM728" s="2116">
        <f t="shared" ref="AM728:AM752" si="49">IF($AH728&gt;0,($AC728/$BA670), " ")</f>
        <v>0.3</v>
      </c>
      <c r="AN728" s="2117"/>
      <c r="AO728" s="2118"/>
      <c r="AP728" s="239"/>
      <c r="AQ728" s="239"/>
      <c r="AR728" s="239"/>
      <c r="AS728" s="239"/>
      <c r="AT728" s="239"/>
      <c r="AU728" s="239"/>
      <c r="AV728" s="239"/>
      <c r="AW728" s="239"/>
      <c r="AX728" s="239"/>
      <c r="AY728" s="239"/>
      <c r="AZ728" s="58"/>
      <c r="BA728" s="58"/>
      <c r="BB728" s="58"/>
      <c r="BC728" s="58"/>
      <c r="BD728" s="58"/>
      <c r="BE728" s="58"/>
      <c r="BF728" s="58"/>
      <c r="BG728" s="1422">
        <f>SUM(BG703:BG727)</f>
        <v>192</v>
      </c>
      <c r="BH728" s="464">
        <f>SUM(BH703:BH727)</f>
        <v>0.99999999999999989</v>
      </c>
      <c r="BI728" s="464">
        <f>SUM(BI703:BI727)</f>
        <v>0.58956995564859838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1" t="s">
        <v>335</v>
      </c>
      <c r="C729" s="2232"/>
      <c r="D729" s="2232"/>
      <c r="E729" s="2232"/>
      <c r="F729" s="2233"/>
      <c r="G729" s="2309">
        <v>10</v>
      </c>
      <c r="H729" s="2310"/>
      <c r="I729" s="2310"/>
      <c r="J729" s="2311"/>
      <c r="K729" s="2234">
        <v>588</v>
      </c>
      <c r="L729" s="2235"/>
      <c r="M729" s="2235"/>
      <c r="N729" s="2236"/>
      <c r="O729" s="2302">
        <v>771</v>
      </c>
      <c r="P729" s="2303"/>
      <c r="Q729" s="2303"/>
      <c r="R729" s="2303"/>
      <c r="S729" s="2304"/>
      <c r="T729" s="2242">
        <f t="shared" si="47"/>
        <v>7710</v>
      </c>
      <c r="U729" s="2243"/>
      <c r="V729" s="2243"/>
      <c r="W729" s="2243"/>
      <c r="X729" s="2244"/>
      <c r="Y729" s="2302">
        <v>39</v>
      </c>
      <c r="Z729" s="2303"/>
      <c r="AA729" s="2303"/>
      <c r="AB729" s="2304"/>
      <c r="AC729" s="2242">
        <f t="shared" si="48"/>
        <v>810</v>
      </c>
      <c r="AD729" s="2243"/>
      <c r="AE729" s="2243"/>
      <c r="AF729" s="2243"/>
      <c r="AG729" s="2244"/>
      <c r="AH729" s="2122">
        <v>0.5</v>
      </c>
      <c r="AI729" s="2123"/>
      <c r="AJ729" s="2123"/>
      <c r="AK729" s="2123"/>
      <c r="AL729" s="2124"/>
      <c r="AM729" s="2116">
        <f t="shared" si="49"/>
        <v>0.5</v>
      </c>
      <c r="AN729" s="2117"/>
      <c r="AO729" s="211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1" t="s">
        <v>335</v>
      </c>
      <c r="C730" s="2232"/>
      <c r="D730" s="2232"/>
      <c r="E730" s="2232"/>
      <c r="F730" s="2233"/>
      <c r="G730" s="2309">
        <v>28</v>
      </c>
      <c r="H730" s="2310"/>
      <c r="I730" s="2310"/>
      <c r="J730" s="2311"/>
      <c r="K730" s="2234">
        <v>588</v>
      </c>
      <c r="L730" s="2235"/>
      <c r="M730" s="2235"/>
      <c r="N730" s="2236"/>
      <c r="O730" s="2302">
        <v>933</v>
      </c>
      <c r="P730" s="2303"/>
      <c r="Q730" s="2303"/>
      <c r="R730" s="2303"/>
      <c r="S730" s="2304"/>
      <c r="T730" s="2242">
        <f t="shared" si="47"/>
        <v>26124</v>
      </c>
      <c r="U730" s="2243"/>
      <c r="V730" s="2243"/>
      <c r="W730" s="2243"/>
      <c r="X730" s="2244"/>
      <c r="Y730" s="2302">
        <v>39</v>
      </c>
      <c r="Z730" s="2303"/>
      <c r="AA730" s="2303"/>
      <c r="AB730" s="2304"/>
      <c r="AC730" s="2242">
        <f t="shared" si="48"/>
        <v>972</v>
      </c>
      <c r="AD730" s="2243"/>
      <c r="AE730" s="2243"/>
      <c r="AF730" s="2243"/>
      <c r="AG730" s="2244"/>
      <c r="AH730" s="2122">
        <v>0.6</v>
      </c>
      <c r="AI730" s="2123"/>
      <c r="AJ730" s="2123"/>
      <c r="AK730" s="2123"/>
      <c r="AL730" s="2124"/>
      <c r="AM730" s="2116">
        <f t="shared" si="49"/>
        <v>0.6</v>
      </c>
      <c r="AN730" s="2117"/>
      <c r="AO730" s="211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1" t="s">
        <v>335</v>
      </c>
      <c r="C731" s="2232"/>
      <c r="D731" s="2232"/>
      <c r="E731" s="2232"/>
      <c r="F731" s="2233"/>
      <c r="G731" s="2309">
        <v>36</v>
      </c>
      <c r="H731" s="2310"/>
      <c r="I731" s="2310"/>
      <c r="J731" s="2311"/>
      <c r="K731" s="2234">
        <v>607</v>
      </c>
      <c r="L731" s="2235"/>
      <c r="M731" s="2235"/>
      <c r="N731" s="2236"/>
      <c r="O731" s="2302">
        <v>933</v>
      </c>
      <c r="P731" s="2303"/>
      <c r="Q731" s="2303"/>
      <c r="R731" s="2303"/>
      <c r="S731" s="2304"/>
      <c r="T731" s="2242">
        <f t="shared" si="47"/>
        <v>33588</v>
      </c>
      <c r="U731" s="2243"/>
      <c r="V731" s="2243"/>
      <c r="W731" s="2243"/>
      <c r="X731" s="2244"/>
      <c r="Y731" s="2302">
        <v>39</v>
      </c>
      <c r="Z731" s="2303"/>
      <c r="AA731" s="2303"/>
      <c r="AB731" s="2304"/>
      <c r="AC731" s="2242">
        <f t="shared" si="48"/>
        <v>972</v>
      </c>
      <c r="AD731" s="2243"/>
      <c r="AE731" s="2243"/>
      <c r="AF731" s="2243"/>
      <c r="AG731" s="2244"/>
      <c r="AH731" s="2122">
        <v>0.6</v>
      </c>
      <c r="AI731" s="2123"/>
      <c r="AJ731" s="2123"/>
      <c r="AK731" s="2123"/>
      <c r="AL731" s="2124"/>
      <c r="AM731" s="2116">
        <f t="shared" si="49"/>
        <v>0.6</v>
      </c>
      <c r="AN731" s="2117"/>
      <c r="AO731" s="211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1" t="s">
        <v>335</v>
      </c>
      <c r="C732" s="2232"/>
      <c r="D732" s="2232"/>
      <c r="E732" s="2232"/>
      <c r="F732" s="2233"/>
      <c r="G732" s="2309">
        <v>12</v>
      </c>
      <c r="H732" s="2310"/>
      <c r="I732" s="2310"/>
      <c r="J732" s="2311"/>
      <c r="K732" s="2234">
        <v>607</v>
      </c>
      <c r="L732" s="2235"/>
      <c r="M732" s="2235"/>
      <c r="N732" s="2236"/>
      <c r="O732" s="2302">
        <v>1095</v>
      </c>
      <c r="P732" s="2303"/>
      <c r="Q732" s="2303"/>
      <c r="R732" s="2303"/>
      <c r="S732" s="2304"/>
      <c r="T732" s="2242">
        <f t="shared" si="47"/>
        <v>13140</v>
      </c>
      <c r="U732" s="2243"/>
      <c r="V732" s="2243"/>
      <c r="W732" s="2243"/>
      <c r="X732" s="2244"/>
      <c r="Y732" s="2302">
        <v>39</v>
      </c>
      <c r="Z732" s="2303"/>
      <c r="AA732" s="2303"/>
      <c r="AB732" s="2304"/>
      <c r="AC732" s="2242">
        <f t="shared" si="48"/>
        <v>1134</v>
      </c>
      <c r="AD732" s="2243"/>
      <c r="AE732" s="2243"/>
      <c r="AF732" s="2243"/>
      <c r="AG732" s="2244"/>
      <c r="AH732" s="2122">
        <v>0.7</v>
      </c>
      <c r="AI732" s="2123"/>
      <c r="AJ732" s="2123"/>
      <c r="AK732" s="2123"/>
      <c r="AL732" s="2124"/>
      <c r="AM732" s="2116">
        <f t="shared" si="49"/>
        <v>0.7</v>
      </c>
      <c r="AN732" s="2117"/>
      <c r="AO732" s="211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1" t="s">
        <v>168</v>
      </c>
      <c r="C733" s="2232"/>
      <c r="D733" s="2232"/>
      <c r="E733" s="2232"/>
      <c r="F733" s="2233"/>
      <c r="G733" s="2309">
        <v>5</v>
      </c>
      <c r="H733" s="2310"/>
      <c r="I733" s="2310"/>
      <c r="J733" s="2311"/>
      <c r="K733" s="2234">
        <v>816</v>
      </c>
      <c r="L733" s="2235"/>
      <c r="M733" s="2235"/>
      <c r="N733" s="2236"/>
      <c r="O733" s="2302">
        <v>538</v>
      </c>
      <c r="P733" s="2303"/>
      <c r="Q733" s="2303"/>
      <c r="R733" s="2303"/>
      <c r="S733" s="2304"/>
      <c r="T733" s="2242">
        <f t="shared" si="47"/>
        <v>2690</v>
      </c>
      <c r="U733" s="2243"/>
      <c r="V733" s="2243"/>
      <c r="W733" s="2243"/>
      <c r="X733" s="2244"/>
      <c r="Y733" s="2302">
        <v>44</v>
      </c>
      <c r="Z733" s="2303"/>
      <c r="AA733" s="2303"/>
      <c r="AB733" s="2304"/>
      <c r="AC733" s="2242">
        <f t="shared" si="48"/>
        <v>582</v>
      </c>
      <c r="AD733" s="2243"/>
      <c r="AE733" s="2243"/>
      <c r="AF733" s="2243"/>
      <c r="AG733" s="2244"/>
      <c r="AH733" s="2122">
        <v>0.3</v>
      </c>
      <c r="AI733" s="2123"/>
      <c r="AJ733" s="2123"/>
      <c r="AK733" s="2123"/>
      <c r="AL733" s="2124"/>
      <c r="AM733" s="2116">
        <f t="shared" si="49"/>
        <v>0.2996910401647786</v>
      </c>
      <c r="AN733" s="2117"/>
      <c r="AO733" s="211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1" t="s">
        <v>168</v>
      </c>
      <c r="C734" s="2232"/>
      <c r="D734" s="2232"/>
      <c r="E734" s="2232"/>
      <c r="F734" s="2233"/>
      <c r="G734" s="2309">
        <v>5</v>
      </c>
      <c r="H734" s="2310"/>
      <c r="I734" s="2310"/>
      <c r="J734" s="2311"/>
      <c r="K734" s="2234">
        <v>816</v>
      </c>
      <c r="L734" s="2235"/>
      <c r="M734" s="2235"/>
      <c r="N734" s="2236"/>
      <c r="O734" s="2302">
        <v>927</v>
      </c>
      <c r="P734" s="2303"/>
      <c r="Q734" s="2303"/>
      <c r="R734" s="2303"/>
      <c r="S734" s="2304"/>
      <c r="T734" s="2242">
        <f t="shared" si="47"/>
        <v>4635</v>
      </c>
      <c r="U734" s="2243"/>
      <c r="V734" s="2243"/>
      <c r="W734" s="2243"/>
      <c r="X734" s="2244"/>
      <c r="Y734" s="2302">
        <v>44</v>
      </c>
      <c r="Z734" s="2303"/>
      <c r="AA734" s="2303"/>
      <c r="AB734" s="2304"/>
      <c r="AC734" s="2242">
        <f t="shared" si="48"/>
        <v>971</v>
      </c>
      <c r="AD734" s="2243"/>
      <c r="AE734" s="2243"/>
      <c r="AF734" s="2243"/>
      <c r="AG734" s="2244"/>
      <c r="AH734" s="2122">
        <v>0.5</v>
      </c>
      <c r="AI734" s="2123"/>
      <c r="AJ734" s="2123"/>
      <c r="AK734" s="2123"/>
      <c r="AL734" s="2124"/>
      <c r="AM734" s="2116">
        <f t="shared" si="49"/>
        <v>0.5</v>
      </c>
      <c r="AN734" s="2117"/>
      <c r="AO734" s="211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1" t="s">
        <v>168</v>
      </c>
      <c r="C735" s="2232"/>
      <c r="D735" s="2232"/>
      <c r="E735" s="2232"/>
      <c r="F735" s="2233"/>
      <c r="G735" s="2309">
        <v>14</v>
      </c>
      <c r="H735" s="2310"/>
      <c r="I735" s="2310"/>
      <c r="J735" s="2311"/>
      <c r="K735" s="2234">
        <v>816</v>
      </c>
      <c r="L735" s="2235"/>
      <c r="M735" s="2235"/>
      <c r="N735" s="2236"/>
      <c r="O735" s="2302">
        <v>1121</v>
      </c>
      <c r="P735" s="2303"/>
      <c r="Q735" s="2303"/>
      <c r="R735" s="2303"/>
      <c r="S735" s="2304"/>
      <c r="T735" s="2242">
        <f t="shared" si="47"/>
        <v>15694</v>
      </c>
      <c r="U735" s="2243"/>
      <c r="V735" s="2243"/>
      <c r="W735" s="2243"/>
      <c r="X735" s="2244"/>
      <c r="Y735" s="2302">
        <v>44</v>
      </c>
      <c r="Z735" s="2303"/>
      <c r="AA735" s="2303"/>
      <c r="AB735" s="2304"/>
      <c r="AC735" s="2242">
        <f t="shared" si="48"/>
        <v>1165</v>
      </c>
      <c r="AD735" s="2243"/>
      <c r="AE735" s="2243"/>
      <c r="AF735" s="2243"/>
      <c r="AG735" s="2244"/>
      <c r="AH735" s="2122">
        <v>0.6</v>
      </c>
      <c r="AI735" s="2123"/>
      <c r="AJ735" s="2123"/>
      <c r="AK735" s="2123"/>
      <c r="AL735" s="2124"/>
      <c r="AM735" s="2116">
        <f t="shared" si="49"/>
        <v>0.59989701338825951</v>
      </c>
      <c r="AN735" s="2117"/>
      <c r="AO735" s="211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1" t="s">
        <v>168</v>
      </c>
      <c r="C736" s="2232"/>
      <c r="D736" s="2232"/>
      <c r="E736" s="2232"/>
      <c r="F736" s="2233"/>
      <c r="G736" s="2309">
        <v>1</v>
      </c>
      <c r="H736" s="2310"/>
      <c r="I736" s="2310"/>
      <c r="J736" s="2311"/>
      <c r="K736" s="2234">
        <v>824</v>
      </c>
      <c r="L736" s="2235"/>
      <c r="M736" s="2235"/>
      <c r="N736" s="2236"/>
      <c r="O736" s="2302">
        <v>1121</v>
      </c>
      <c r="P736" s="2303"/>
      <c r="Q736" s="2303"/>
      <c r="R736" s="2303"/>
      <c r="S736" s="2304"/>
      <c r="T736" s="2242">
        <f t="shared" si="47"/>
        <v>1121</v>
      </c>
      <c r="U736" s="2243"/>
      <c r="V736" s="2243"/>
      <c r="W736" s="2243"/>
      <c r="X736" s="2244"/>
      <c r="Y736" s="2302">
        <v>44</v>
      </c>
      <c r="Z736" s="2303"/>
      <c r="AA736" s="2303"/>
      <c r="AB736" s="2304"/>
      <c r="AC736" s="2242">
        <f t="shared" si="48"/>
        <v>1165</v>
      </c>
      <c r="AD736" s="2243"/>
      <c r="AE736" s="2243"/>
      <c r="AF736" s="2243"/>
      <c r="AG736" s="2244"/>
      <c r="AH736" s="2122">
        <v>0.6</v>
      </c>
      <c r="AI736" s="2123"/>
      <c r="AJ736" s="2123"/>
      <c r="AK736" s="2123"/>
      <c r="AL736" s="2124"/>
      <c r="AM736" s="2116">
        <f t="shared" si="49"/>
        <v>0.59989701338825951</v>
      </c>
      <c r="AN736" s="2117"/>
      <c r="AO736" s="211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1" t="s">
        <v>168</v>
      </c>
      <c r="C737" s="2232"/>
      <c r="D737" s="2232"/>
      <c r="E737" s="2232"/>
      <c r="F737" s="2233"/>
      <c r="G737" s="2309">
        <v>23</v>
      </c>
      <c r="H737" s="2310"/>
      <c r="I737" s="2310"/>
      <c r="J737" s="2311"/>
      <c r="K737" s="2234">
        <v>824</v>
      </c>
      <c r="L737" s="2235"/>
      <c r="M737" s="2235"/>
      <c r="N737" s="2236"/>
      <c r="O737" s="2302">
        <v>1315</v>
      </c>
      <c r="P737" s="2303"/>
      <c r="Q737" s="2303"/>
      <c r="R737" s="2303"/>
      <c r="S737" s="2304"/>
      <c r="T737" s="2242">
        <f t="shared" si="47"/>
        <v>30245</v>
      </c>
      <c r="U737" s="2243"/>
      <c r="V737" s="2243"/>
      <c r="W737" s="2243"/>
      <c r="X737" s="2244"/>
      <c r="Y737" s="2302">
        <v>44</v>
      </c>
      <c r="Z737" s="2303"/>
      <c r="AA737" s="2303"/>
      <c r="AB737" s="2304"/>
      <c r="AC737" s="2242">
        <f t="shared" si="48"/>
        <v>1359</v>
      </c>
      <c r="AD737" s="2243"/>
      <c r="AE737" s="2243"/>
      <c r="AF737" s="2243"/>
      <c r="AG737" s="2244"/>
      <c r="AH737" s="2122">
        <v>0.7</v>
      </c>
      <c r="AI737" s="2123"/>
      <c r="AJ737" s="2123"/>
      <c r="AK737" s="2123"/>
      <c r="AL737" s="2124"/>
      <c r="AM737" s="2116">
        <f t="shared" si="49"/>
        <v>0.69979402677651903</v>
      </c>
      <c r="AN737" s="2117"/>
      <c r="AO737" s="211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1" t="s">
        <v>169</v>
      </c>
      <c r="C738" s="2232"/>
      <c r="D738" s="2232"/>
      <c r="E738" s="2232"/>
      <c r="F738" s="2233"/>
      <c r="G738" s="2309">
        <v>5</v>
      </c>
      <c r="H738" s="2310"/>
      <c r="I738" s="2310"/>
      <c r="J738" s="2311"/>
      <c r="K738" s="2234">
        <v>1049</v>
      </c>
      <c r="L738" s="2235"/>
      <c r="M738" s="2235"/>
      <c r="N738" s="2236"/>
      <c r="O738" s="2302">
        <v>625</v>
      </c>
      <c r="P738" s="2303"/>
      <c r="Q738" s="2303"/>
      <c r="R738" s="2303"/>
      <c r="S738" s="2304"/>
      <c r="T738" s="2242">
        <f t="shared" si="47"/>
        <v>3125</v>
      </c>
      <c r="U738" s="2243"/>
      <c r="V738" s="2243"/>
      <c r="W738" s="2243"/>
      <c r="X738" s="2244"/>
      <c r="Y738" s="2302">
        <v>48</v>
      </c>
      <c r="Z738" s="2303"/>
      <c r="AA738" s="2303"/>
      <c r="AB738" s="2304"/>
      <c r="AC738" s="2242">
        <f t="shared" si="48"/>
        <v>673</v>
      </c>
      <c r="AD738" s="2243"/>
      <c r="AE738" s="2243"/>
      <c r="AF738" s="2243"/>
      <c r="AG738" s="2244"/>
      <c r="AH738" s="2122">
        <v>0.3</v>
      </c>
      <c r="AI738" s="2123"/>
      <c r="AJ738" s="2123"/>
      <c r="AK738" s="2123"/>
      <c r="AL738" s="2124"/>
      <c r="AM738" s="2116">
        <f t="shared" si="49"/>
        <v>0.29991087344028522</v>
      </c>
      <c r="AN738" s="2117"/>
      <c r="AO738" s="211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1" t="s">
        <v>169</v>
      </c>
      <c r="C739" s="2232"/>
      <c r="D739" s="2232"/>
      <c r="E739" s="2232"/>
      <c r="F739" s="2233"/>
      <c r="G739" s="2309">
        <v>5</v>
      </c>
      <c r="H739" s="2310"/>
      <c r="I739" s="2310"/>
      <c r="J739" s="2311"/>
      <c r="K739" s="2234">
        <v>1049</v>
      </c>
      <c r="L739" s="2235"/>
      <c r="M739" s="2235"/>
      <c r="N739" s="2236"/>
      <c r="O739" s="2302">
        <v>1074</v>
      </c>
      <c r="P739" s="2303"/>
      <c r="Q739" s="2303"/>
      <c r="R739" s="2303"/>
      <c r="S739" s="2304"/>
      <c r="T739" s="2242">
        <f t="shared" si="47"/>
        <v>5370</v>
      </c>
      <c r="U739" s="2243"/>
      <c r="V739" s="2243"/>
      <c r="W739" s="2243"/>
      <c r="X739" s="2244"/>
      <c r="Y739" s="2302">
        <v>48</v>
      </c>
      <c r="Z739" s="2303"/>
      <c r="AA739" s="2303"/>
      <c r="AB739" s="2304"/>
      <c r="AC739" s="2242">
        <f t="shared" si="48"/>
        <v>1122</v>
      </c>
      <c r="AD739" s="2243"/>
      <c r="AE739" s="2243"/>
      <c r="AF739" s="2243"/>
      <c r="AG739" s="2244"/>
      <c r="AH739" s="2122">
        <v>0.5</v>
      </c>
      <c r="AI739" s="2123"/>
      <c r="AJ739" s="2123"/>
      <c r="AK739" s="2123"/>
      <c r="AL739" s="2124"/>
      <c r="AM739" s="2116">
        <f t="shared" si="49"/>
        <v>0.5</v>
      </c>
      <c r="AN739" s="2117"/>
      <c r="AO739" s="211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1" t="s">
        <v>169</v>
      </c>
      <c r="C740" s="2232"/>
      <c r="D740" s="2232"/>
      <c r="E740" s="2232"/>
      <c r="F740" s="2233"/>
      <c r="G740" s="2309">
        <v>13</v>
      </c>
      <c r="H740" s="2310"/>
      <c r="I740" s="2310"/>
      <c r="J740" s="2311"/>
      <c r="K740" s="2234">
        <v>1049</v>
      </c>
      <c r="L740" s="2235"/>
      <c r="M740" s="2235"/>
      <c r="N740" s="2236"/>
      <c r="O740" s="2302">
        <v>1299</v>
      </c>
      <c r="P740" s="2303"/>
      <c r="Q740" s="2303"/>
      <c r="R740" s="2303"/>
      <c r="S740" s="2304"/>
      <c r="T740" s="2242">
        <f t="shared" si="47"/>
        <v>16887</v>
      </c>
      <c r="U740" s="2243"/>
      <c r="V740" s="2243"/>
      <c r="W740" s="2243"/>
      <c r="X740" s="2244"/>
      <c r="Y740" s="2302">
        <v>48</v>
      </c>
      <c r="Z740" s="2303"/>
      <c r="AA740" s="2303"/>
      <c r="AB740" s="2304"/>
      <c r="AC740" s="2242">
        <f t="shared" si="48"/>
        <v>1347</v>
      </c>
      <c r="AD740" s="2243"/>
      <c r="AE740" s="2243"/>
      <c r="AF740" s="2243"/>
      <c r="AG740" s="2244"/>
      <c r="AH740" s="2122">
        <v>0.6</v>
      </c>
      <c r="AI740" s="2123"/>
      <c r="AJ740" s="2123"/>
      <c r="AK740" s="2123"/>
      <c r="AL740" s="2124"/>
      <c r="AM740" s="2116">
        <f t="shared" si="49"/>
        <v>0.60026737967914434</v>
      </c>
      <c r="AN740" s="2117"/>
      <c r="AO740" s="211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1" t="s">
        <v>169</v>
      </c>
      <c r="C741" s="2232"/>
      <c r="D741" s="2232"/>
      <c r="E741" s="2232"/>
      <c r="F741" s="2233"/>
      <c r="G741" s="2309">
        <v>1</v>
      </c>
      <c r="H741" s="2310"/>
      <c r="I741" s="2310"/>
      <c r="J741" s="2311"/>
      <c r="K741" s="2234">
        <v>1049</v>
      </c>
      <c r="L741" s="2235"/>
      <c r="M741" s="2235"/>
      <c r="N741" s="2236"/>
      <c r="O741" s="2302">
        <v>1523</v>
      </c>
      <c r="P741" s="2303"/>
      <c r="Q741" s="2303"/>
      <c r="R741" s="2303"/>
      <c r="S741" s="2304"/>
      <c r="T741" s="2242">
        <f t="shared" si="47"/>
        <v>1523</v>
      </c>
      <c r="U741" s="2243"/>
      <c r="V741" s="2243"/>
      <c r="W741" s="2243"/>
      <c r="X741" s="2244"/>
      <c r="Y741" s="2302">
        <v>48</v>
      </c>
      <c r="Z741" s="2303"/>
      <c r="AA741" s="2303"/>
      <c r="AB741" s="2304"/>
      <c r="AC741" s="2242">
        <f t="shared" si="48"/>
        <v>1571</v>
      </c>
      <c r="AD741" s="2243"/>
      <c r="AE741" s="2243"/>
      <c r="AF741" s="2243"/>
      <c r="AG741" s="2244"/>
      <c r="AH741" s="2122">
        <v>0.7</v>
      </c>
      <c r="AI741" s="2123"/>
      <c r="AJ741" s="2123"/>
      <c r="AK741" s="2123"/>
      <c r="AL741" s="2124"/>
      <c r="AM741" s="2116">
        <f t="shared" si="49"/>
        <v>0.70008912655971478</v>
      </c>
      <c r="AN741" s="2117"/>
      <c r="AO741" s="211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1" t="s">
        <v>169</v>
      </c>
      <c r="C742" s="2232"/>
      <c r="D742" s="2232"/>
      <c r="E742" s="2232"/>
      <c r="F742" s="2233"/>
      <c r="G742" s="2309">
        <v>24</v>
      </c>
      <c r="H742" s="2310"/>
      <c r="I742" s="2310"/>
      <c r="J742" s="2311"/>
      <c r="K742" s="2234">
        <v>1065</v>
      </c>
      <c r="L742" s="2235"/>
      <c r="M742" s="2235"/>
      <c r="N742" s="2236"/>
      <c r="O742" s="2302">
        <v>1523</v>
      </c>
      <c r="P742" s="2303"/>
      <c r="Q742" s="2303"/>
      <c r="R742" s="2303"/>
      <c r="S742" s="2304"/>
      <c r="T742" s="2242">
        <f t="shared" si="47"/>
        <v>36552</v>
      </c>
      <c r="U742" s="2243"/>
      <c r="V742" s="2243"/>
      <c r="W742" s="2243"/>
      <c r="X742" s="2244"/>
      <c r="Y742" s="2302">
        <v>48</v>
      </c>
      <c r="Z742" s="2303"/>
      <c r="AA742" s="2303"/>
      <c r="AB742" s="2304"/>
      <c r="AC742" s="2242">
        <f t="shared" si="48"/>
        <v>1571</v>
      </c>
      <c r="AD742" s="2243"/>
      <c r="AE742" s="2243"/>
      <c r="AF742" s="2243"/>
      <c r="AG742" s="2244"/>
      <c r="AH742" s="2122">
        <v>0.7</v>
      </c>
      <c r="AI742" s="2123"/>
      <c r="AJ742" s="2123"/>
      <c r="AK742" s="2123"/>
      <c r="AL742" s="2124"/>
      <c r="AM742" s="2116">
        <f t="shared" si="49"/>
        <v>0.70008912655971478</v>
      </c>
      <c r="AN742" s="2117"/>
      <c r="AO742" s="211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1"/>
      <c r="C743" s="2232"/>
      <c r="D743" s="2232"/>
      <c r="E743" s="2232"/>
      <c r="F743" s="2233"/>
      <c r="G743" s="2309"/>
      <c r="H743" s="2310"/>
      <c r="I743" s="2310"/>
      <c r="J743" s="2311"/>
      <c r="K743" s="2234"/>
      <c r="L743" s="2235"/>
      <c r="M743" s="2235"/>
      <c r="N743" s="2236"/>
      <c r="O743" s="2302"/>
      <c r="P743" s="2303"/>
      <c r="Q743" s="2303"/>
      <c r="R743" s="2303"/>
      <c r="S743" s="2304"/>
      <c r="T743" s="2242">
        <f t="shared" si="47"/>
        <v>0</v>
      </c>
      <c r="U743" s="2243"/>
      <c r="V743" s="2243"/>
      <c r="W743" s="2243"/>
      <c r="X743" s="2244"/>
      <c r="Y743" s="2302">
        <v>0</v>
      </c>
      <c r="Z743" s="2303"/>
      <c r="AA743" s="2303"/>
      <c r="AB743" s="2304"/>
      <c r="AC743" s="2242">
        <f t="shared" si="48"/>
        <v>0</v>
      </c>
      <c r="AD743" s="2243"/>
      <c r="AE743" s="2243"/>
      <c r="AF743" s="2243"/>
      <c r="AG743" s="2244"/>
      <c r="AH743" s="2122">
        <v>0</v>
      </c>
      <c r="AI743" s="2123"/>
      <c r="AJ743" s="2123"/>
      <c r="AK743" s="2123"/>
      <c r="AL743" s="2124"/>
      <c r="AM743" s="2116" t="str">
        <f t="shared" si="49"/>
        <v xml:space="preserve"> </v>
      </c>
      <c r="AN743" s="2117"/>
      <c r="AO743" s="211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1"/>
      <c r="C744" s="2232"/>
      <c r="D744" s="2232"/>
      <c r="E744" s="2232"/>
      <c r="F744" s="2233"/>
      <c r="G744" s="2309"/>
      <c r="H744" s="2310"/>
      <c r="I744" s="2310"/>
      <c r="J744" s="2311"/>
      <c r="K744" s="2234"/>
      <c r="L744" s="2235"/>
      <c r="M744" s="2235"/>
      <c r="N744" s="2236"/>
      <c r="O744" s="2302"/>
      <c r="P744" s="2303"/>
      <c r="Q744" s="2303"/>
      <c r="R744" s="2303"/>
      <c r="S744" s="2304"/>
      <c r="T744" s="2242">
        <f t="shared" si="47"/>
        <v>0</v>
      </c>
      <c r="U744" s="2243"/>
      <c r="V744" s="2243"/>
      <c r="W744" s="2243"/>
      <c r="X744" s="2244"/>
      <c r="Y744" s="2302">
        <v>0</v>
      </c>
      <c r="Z744" s="2303"/>
      <c r="AA744" s="2303"/>
      <c r="AB744" s="2304"/>
      <c r="AC744" s="2242">
        <f t="shared" si="48"/>
        <v>0</v>
      </c>
      <c r="AD744" s="2243"/>
      <c r="AE744" s="2243"/>
      <c r="AF744" s="2243"/>
      <c r="AG744" s="2244"/>
      <c r="AH744" s="2122">
        <v>0</v>
      </c>
      <c r="AI744" s="2123"/>
      <c r="AJ744" s="2123"/>
      <c r="AK744" s="2123"/>
      <c r="AL744" s="2124"/>
      <c r="AM744" s="2116" t="str">
        <f t="shared" si="49"/>
        <v xml:space="preserve"> </v>
      </c>
      <c r="AN744" s="2117"/>
      <c r="AO744" s="211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1"/>
      <c r="C745" s="2232"/>
      <c r="D745" s="2232"/>
      <c r="E745" s="2232"/>
      <c r="F745" s="2233"/>
      <c r="G745" s="2309"/>
      <c r="H745" s="2310"/>
      <c r="I745" s="2310"/>
      <c r="J745" s="2311"/>
      <c r="K745" s="2234"/>
      <c r="L745" s="2235"/>
      <c r="M745" s="2235"/>
      <c r="N745" s="2236"/>
      <c r="O745" s="2302"/>
      <c r="P745" s="2303"/>
      <c r="Q745" s="2303"/>
      <c r="R745" s="2303"/>
      <c r="S745" s="2304"/>
      <c r="T745" s="2242">
        <f t="shared" si="47"/>
        <v>0</v>
      </c>
      <c r="U745" s="2243"/>
      <c r="V745" s="2243"/>
      <c r="W745" s="2243"/>
      <c r="X745" s="2244"/>
      <c r="Y745" s="2302">
        <v>0</v>
      </c>
      <c r="Z745" s="2303"/>
      <c r="AA745" s="2303"/>
      <c r="AB745" s="2304"/>
      <c r="AC745" s="2242">
        <f t="shared" si="48"/>
        <v>0</v>
      </c>
      <c r="AD745" s="2243"/>
      <c r="AE745" s="2243"/>
      <c r="AF745" s="2243"/>
      <c r="AG745" s="2244"/>
      <c r="AH745" s="2122">
        <v>0</v>
      </c>
      <c r="AI745" s="2123"/>
      <c r="AJ745" s="2123"/>
      <c r="AK745" s="2123"/>
      <c r="AL745" s="2124"/>
      <c r="AM745" s="2116" t="str">
        <f t="shared" si="49"/>
        <v xml:space="preserve"> </v>
      </c>
      <c r="AN745" s="2117"/>
      <c r="AO745" s="211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1"/>
      <c r="C746" s="2232"/>
      <c r="D746" s="2232"/>
      <c r="E746" s="2232"/>
      <c r="F746" s="2233"/>
      <c r="G746" s="2309"/>
      <c r="H746" s="2310"/>
      <c r="I746" s="2310"/>
      <c r="J746" s="2311"/>
      <c r="K746" s="2234"/>
      <c r="L746" s="2235"/>
      <c r="M746" s="2235"/>
      <c r="N746" s="2236"/>
      <c r="O746" s="2302"/>
      <c r="P746" s="2303"/>
      <c r="Q746" s="2303"/>
      <c r="R746" s="2303"/>
      <c r="S746" s="2304"/>
      <c r="T746" s="2242">
        <f t="shared" si="47"/>
        <v>0</v>
      </c>
      <c r="U746" s="2243"/>
      <c r="V746" s="2243"/>
      <c r="W746" s="2243"/>
      <c r="X746" s="2244"/>
      <c r="Y746" s="2302">
        <v>0</v>
      </c>
      <c r="Z746" s="2303"/>
      <c r="AA746" s="2303"/>
      <c r="AB746" s="2304"/>
      <c r="AC746" s="2242">
        <f t="shared" si="48"/>
        <v>0</v>
      </c>
      <c r="AD746" s="2243"/>
      <c r="AE746" s="2243"/>
      <c r="AF746" s="2243"/>
      <c r="AG746" s="2244"/>
      <c r="AH746" s="2122">
        <v>0</v>
      </c>
      <c r="AI746" s="2123"/>
      <c r="AJ746" s="2123"/>
      <c r="AK746" s="2123"/>
      <c r="AL746" s="2124"/>
      <c r="AM746" s="2116" t="str">
        <f t="shared" si="49"/>
        <v xml:space="preserve"> </v>
      </c>
      <c r="AN746" s="2117"/>
      <c r="AO746" s="211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1"/>
      <c r="C747" s="2232"/>
      <c r="D747" s="2232"/>
      <c r="E747" s="2232"/>
      <c r="F747" s="2233"/>
      <c r="G747" s="2309"/>
      <c r="H747" s="2310"/>
      <c r="I747" s="2310"/>
      <c r="J747" s="2311"/>
      <c r="K747" s="2234"/>
      <c r="L747" s="2235"/>
      <c r="M747" s="2235"/>
      <c r="N747" s="2236"/>
      <c r="O747" s="2302"/>
      <c r="P747" s="2303"/>
      <c r="Q747" s="2303"/>
      <c r="R747" s="2303"/>
      <c r="S747" s="2304"/>
      <c r="T747" s="2242">
        <f t="shared" si="47"/>
        <v>0</v>
      </c>
      <c r="U747" s="2243"/>
      <c r="V747" s="2243"/>
      <c r="W747" s="2243"/>
      <c r="X747" s="2244"/>
      <c r="Y747" s="2302">
        <v>0</v>
      </c>
      <c r="Z747" s="2303"/>
      <c r="AA747" s="2303"/>
      <c r="AB747" s="2304"/>
      <c r="AC747" s="2242">
        <f t="shared" si="48"/>
        <v>0</v>
      </c>
      <c r="AD747" s="2243"/>
      <c r="AE747" s="2243"/>
      <c r="AF747" s="2243"/>
      <c r="AG747" s="2244"/>
      <c r="AH747" s="2122">
        <v>0</v>
      </c>
      <c r="AI747" s="2123"/>
      <c r="AJ747" s="2123"/>
      <c r="AK747" s="2123"/>
      <c r="AL747" s="2124"/>
      <c r="AM747" s="2116" t="str">
        <f t="shared" si="49"/>
        <v xml:space="preserve"> </v>
      </c>
      <c r="AN747" s="2117"/>
      <c r="AO747" s="211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1"/>
      <c r="C748" s="2232"/>
      <c r="D748" s="2232"/>
      <c r="E748" s="2232"/>
      <c r="F748" s="2233"/>
      <c r="G748" s="2309"/>
      <c r="H748" s="2310"/>
      <c r="I748" s="2310"/>
      <c r="J748" s="2311"/>
      <c r="K748" s="2234"/>
      <c r="L748" s="2235"/>
      <c r="M748" s="2235"/>
      <c r="N748" s="2236"/>
      <c r="O748" s="2302"/>
      <c r="P748" s="2303"/>
      <c r="Q748" s="2303"/>
      <c r="R748" s="2303"/>
      <c r="S748" s="2304"/>
      <c r="T748" s="2242">
        <f t="shared" si="47"/>
        <v>0</v>
      </c>
      <c r="U748" s="2243"/>
      <c r="V748" s="2243"/>
      <c r="W748" s="2243"/>
      <c r="X748" s="2244"/>
      <c r="Y748" s="2302">
        <v>0</v>
      </c>
      <c r="Z748" s="2303"/>
      <c r="AA748" s="2303"/>
      <c r="AB748" s="2304"/>
      <c r="AC748" s="2242">
        <f t="shared" si="48"/>
        <v>0</v>
      </c>
      <c r="AD748" s="2243"/>
      <c r="AE748" s="2243"/>
      <c r="AF748" s="2243"/>
      <c r="AG748" s="2244"/>
      <c r="AH748" s="2122">
        <v>0</v>
      </c>
      <c r="AI748" s="2123"/>
      <c r="AJ748" s="2123"/>
      <c r="AK748" s="2123"/>
      <c r="AL748" s="2124"/>
      <c r="AM748" s="2116" t="str">
        <f t="shared" si="49"/>
        <v xml:space="preserve"> </v>
      </c>
      <c r="AN748" s="2117"/>
      <c r="AO748" s="211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1"/>
      <c r="C749" s="2232"/>
      <c r="D749" s="2232"/>
      <c r="E749" s="2232"/>
      <c r="F749" s="2233"/>
      <c r="G749" s="2309"/>
      <c r="H749" s="2310"/>
      <c r="I749" s="2310"/>
      <c r="J749" s="2311"/>
      <c r="K749" s="2234"/>
      <c r="L749" s="2235"/>
      <c r="M749" s="2235"/>
      <c r="N749" s="2236"/>
      <c r="O749" s="2302"/>
      <c r="P749" s="2303"/>
      <c r="Q749" s="2303"/>
      <c r="R749" s="2303"/>
      <c r="S749" s="2304"/>
      <c r="T749" s="2242">
        <f t="shared" si="47"/>
        <v>0</v>
      </c>
      <c r="U749" s="2243"/>
      <c r="V749" s="2243"/>
      <c r="W749" s="2243"/>
      <c r="X749" s="2244"/>
      <c r="Y749" s="2302">
        <v>0</v>
      </c>
      <c r="Z749" s="2303"/>
      <c r="AA749" s="2303"/>
      <c r="AB749" s="2304"/>
      <c r="AC749" s="2242">
        <f t="shared" si="48"/>
        <v>0</v>
      </c>
      <c r="AD749" s="2243"/>
      <c r="AE749" s="2243"/>
      <c r="AF749" s="2243"/>
      <c r="AG749" s="2244"/>
      <c r="AH749" s="2122">
        <v>0</v>
      </c>
      <c r="AI749" s="2123"/>
      <c r="AJ749" s="2123"/>
      <c r="AK749" s="2123"/>
      <c r="AL749" s="2124"/>
      <c r="AM749" s="2116" t="str">
        <f t="shared" si="49"/>
        <v xml:space="preserve"> </v>
      </c>
      <c r="AN749" s="2117"/>
      <c r="AO749" s="211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1"/>
      <c r="C750" s="2232"/>
      <c r="D750" s="2232"/>
      <c r="E750" s="2232"/>
      <c r="F750" s="2233"/>
      <c r="G750" s="2309"/>
      <c r="H750" s="2310"/>
      <c r="I750" s="2310"/>
      <c r="J750" s="2311"/>
      <c r="K750" s="2234"/>
      <c r="L750" s="2235"/>
      <c r="M750" s="2235"/>
      <c r="N750" s="2236"/>
      <c r="O750" s="2302"/>
      <c r="P750" s="2303"/>
      <c r="Q750" s="2303"/>
      <c r="R750" s="2303"/>
      <c r="S750" s="2304"/>
      <c r="T750" s="2242">
        <f t="shared" si="47"/>
        <v>0</v>
      </c>
      <c r="U750" s="2243"/>
      <c r="V750" s="2243"/>
      <c r="W750" s="2243"/>
      <c r="X750" s="2244"/>
      <c r="Y750" s="2302">
        <v>0</v>
      </c>
      <c r="Z750" s="2303"/>
      <c r="AA750" s="2303"/>
      <c r="AB750" s="2304"/>
      <c r="AC750" s="2242">
        <f t="shared" si="48"/>
        <v>0</v>
      </c>
      <c r="AD750" s="2243"/>
      <c r="AE750" s="2243"/>
      <c r="AF750" s="2243"/>
      <c r="AG750" s="2244"/>
      <c r="AH750" s="2122">
        <v>0</v>
      </c>
      <c r="AI750" s="2123"/>
      <c r="AJ750" s="2123"/>
      <c r="AK750" s="2123"/>
      <c r="AL750" s="2124"/>
      <c r="AM750" s="2116" t="str">
        <f t="shared" si="49"/>
        <v xml:space="preserve"> </v>
      </c>
      <c r="AN750" s="2117"/>
      <c r="AO750" s="211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1"/>
      <c r="C751" s="2232"/>
      <c r="D751" s="2232"/>
      <c r="E751" s="2232"/>
      <c r="F751" s="2233"/>
      <c r="G751" s="2309"/>
      <c r="H751" s="2310"/>
      <c r="I751" s="2310"/>
      <c r="J751" s="2311"/>
      <c r="K751" s="2234"/>
      <c r="L751" s="2235"/>
      <c r="M751" s="2235"/>
      <c r="N751" s="2236"/>
      <c r="O751" s="2302"/>
      <c r="P751" s="2303"/>
      <c r="Q751" s="2303"/>
      <c r="R751" s="2303"/>
      <c r="S751" s="2304"/>
      <c r="T751" s="2242">
        <f t="shared" si="47"/>
        <v>0</v>
      </c>
      <c r="U751" s="2243"/>
      <c r="V751" s="2243"/>
      <c r="W751" s="2243"/>
      <c r="X751" s="2244"/>
      <c r="Y751" s="2302">
        <v>0</v>
      </c>
      <c r="Z751" s="2303"/>
      <c r="AA751" s="2303"/>
      <c r="AB751" s="2304"/>
      <c r="AC751" s="2242">
        <f t="shared" si="48"/>
        <v>0</v>
      </c>
      <c r="AD751" s="2243"/>
      <c r="AE751" s="2243"/>
      <c r="AF751" s="2243"/>
      <c r="AG751" s="2244"/>
      <c r="AH751" s="2122">
        <v>0</v>
      </c>
      <c r="AI751" s="2123"/>
      <c r="AJ751" s="2123"/>
      <c r="AK751" s="2123"/>
      <c r="AL751" s="2124"/>
      <c r="AM751" s="2116" t="str">
        <f t="shared" si="49"/>
        <v xml:space="preserve"> </v>
      </c>
      <c r="AN751" s="2117"/>
      <c r="AO751" s="211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1"/>
      <c r="C752" s="2232"/>
      <c r="D752" s="2232"/>
      <c r="E752" s="2232"/>
      <c r="F752" s="2233"/>
      <c r="G752" s="2309"/>
      <c r="H752" s="2310"/>
      <c r="I752" s="2310"/>
      <c r="J752" s="2311"/>
      <c r="K752" s="2234"/>
      <c r="L752" s="2235"/>
      <c r="M752" s="2235"/>
      <c r="N752" s="2236"/>
      <c r="O752" s="2302"/>
      <c r="P752" s="2303"/>
      <c r="Q752" s="2303"/>
      <c r="R752" s="2303"/>
      <c r="S752" s="2304"/>
      <c r="T752" s="2242">
        <f t="shared" si="47"/>
        <v>0</v>
      </c>
      <c r="U752" s="2243"/>
      <c r="V752" s="2243"/>
      <c r="W752" s="2243"/>
      <c r="X752" s="2244"/>
      <c r="Y752" s="2302">
        <v>0</v>
      </c>
      <c r="Z752" s="2303"/>
      <c r="AA752" s="2303"/>
      <c r="AB752" s="2304"/>
      <c r="AC752" s="2242">
        <f t="shared" si="48"/>
        <v>0</v>
      </c>
      <c r="AD752" s="2243"/>
      <c r="AE752" s="2243"/>
      <c r="AF752" s="2243"/>
      <c r="AG752" s="2244"/>
      <c r="AH752" s="2122">
        <v>0</v>
      </c>
      <c r="AI752" s="2123"/>
      <c r="AJ752" s="2123"/>
      <c r="AK752" s="2123"/>
      <c r="AL752" s="2124"/>
      <c r="AM752" s="2116" t="str">
        <f t="shared" si="49"/>
        <v xml:space="preserve"> </v>
      </c>
      <c r="AN752" s="2117"/>
      <c r="AO752" s="211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46" t="s">
        <v>130</v>
      </c>
      <c r="C753" s="2247"/>
      <c r="D753" s="2247"/>
      <c r="E753" s="2247"/>
      <c r="F753" s="2248"/>
      <c r="G753" s="2429">
        <f>SUM(G728:J752)</f>
        <v>192</v>
      </c>
      <c r="H753" s="2430"/>
      <c r="I753" s="2430"/>
      <c r="J753" s="2431"/>
      <c r="O753" s="1587" t="s">
        <v>129</v>
      </c>
      <c r="P753" s="1588"/>
      <c r="Q753" s="1588"/>
      <c r="R753" s="1588"/>
      <c r="S753" s="1589"/>
      <c r="T753" s="2242">
        <f>SUM(T728:X752)</f>
        <v>202874</v>
      </c>
      <c r="U753" s="2243"/>
      <c r="V753" s="2243"/>
      <c r="W753" s="2243"/>
      <c r="X753" s="2244"/>
      <c r="AC753" s="1591" t="s">
        <v>971</v>
      </c>
      <c r="AD753" s="1590"/>
      <c r="AE753" s="1590"/>
      <c r="AF753" s="1590"/>
      <c r="AG753" s="1592"/>
      <c r="AH753" s="2119">
        <f>BI696</f>
        <v>0.58958333333333335</v>
      </c>
      <c r="AI753" s="2120"/>
      <c r="AJ753" s="2120"/>
      <c r="AK753" s="2120"/>
      <c r="AL753" s="2121"/>
      <c r="AM753" s="2119">
        <f>BI728</f>
        <v>0.58956995564859838</v>
      </c>
      <c r="AN753" s="2120"/>
      <c r="AO753" s="2121"/>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3" t="s">
        <v>706</v>
      </c>
      <c r="AG755" s="2423"/>
      <c r="AH755" s="242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2179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19" t="s">
        <v>408</v>
      </c>
      <c r="K768" s="2250"/>
      <c r="L768" s="2250"/>
      <c r="M768" s="2250"/>
      <c r="N768" s="2251"/>
      <c r="O768" s="2370" t="s">
        <v>292</v>
      </c>
      <c r="P768" s="2370"/>
      <c r="Q768" s="2370"/>
      <c r="R768" s="2370"/>
      <c r="S768" s="2370"/>
      <c r="T768" s="2358" t="s">
        <v>2168</v>
      </c>
      <c r="U768" s="2359"/>
      <c r="V768" s="2359"/>
      <c r="W768" s="2360"/>
      <c r="X768" s="2319" t="s">
        <v>478</v>
      </c>
      <c r="Y768" s="2250"/>
      <c r="Z768" s="2250"/>
      <c r="AA768" s="2250"/>
      <c r="AB768" s="2251"/>
      <c r="AC768" s="2319" t="s">
        <v>293</v>
      </c>
      <c r="AD768" s="2250"/>
      <c r="AE768" s="2250"/>
      <c r="AF768" s="2250"/>
      <c r="AG768" s="225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2"/>
      <c r="K769" s="2253"/>
      <c r="L769" s="2253"/>
      <c r="M769" s="2253"/>
      <c r="N769" s="2254"/>
      <c r="O769" s="2370"/>
      <c r="P769" s="2370"/>
      <c r="Q769" s="2370"/>
      <c r="R769" s="2370"/>
      <c r="S769" s="2370"/>
      <c r="T769" s="2361"/>
      <c r="U769" s="2362"/>
      <c r="V769" s="2362"/>
      <c r="W769" s="2363"/>
      <c r="X769" s="2252"/>
      <c r="Y769" s="2253"/>
      <c r="Z769" s="2253"/>
      <c r="AA769" s="2253"/>
      <c r="AB769" s="2254"/>
      <c r="AC769" s="2252"/>
      <c r="AD769" s="2253"/>
      <c r="AE769" s="2253"/>
      <c r="AF769" s="2253"/>
      <c r="AG769" s="225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2"/>
      <c r="K770" s="2253"/>
      <c r="L770" s="2253"/>
      <c r="M770" s="2253"/>
      <c r="N770" s="2254"/>
      <c r="O770" s="2370"/>
      <c r="P770" s="2370"/>
      <c r="Q770" s="2370"/>
      <c r="R770" s="2370"/>
      <c r="S770" s="2370"/>
      <c r="T770" s="2361"/>
      <c r="U770" s="2362"/>
      <c r="V770" s="2362"/>
      <c r="W770" s="2363"/>
      <c r="X770" s="2252"/>
      <c r="Y770" s="2253"/>
      <c r="Z770" s="2253"/>
      <c r="AA770" s="2253"/>
      <c r="AB770" s="2254"/>
      <c r="AC770" s="2252"/>
      <c r="AD770" s="2253"/>
      <c r="AE770" s="2253"/>
      <c r="AF770" s="2253"/>
      <c r="AG770" s="225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5"/>
      <c r="K771" s="2256"/>
      <c r="L771" s="2256"/>
      <c r="M771" s="2256"/>
      <c r="N771" s="2257"/>
      <c r="O771" s="2370"/>
      <c r="P771" s="2370"/>
      <c r="Q771" s="2370"/>
      <c r="R771" s="2370"/>
      <c r="S771" s="2370"/>
      <c r="T771" s="2425"/>
      <c r="U771" s="2426"/>
      <c r="V771" s="2426"/>
      <c r="W771" s="2427"/>
      <c r="X771" s="2255"/>
      <c r="Y771" s="2256"/>
      <c r="Z771" s="2256"/>
      <c r="AA771" s="2256"/>
      <c r="AB771" s="2257"/>
      <c r="AC771" s="2255"/>
      <c r="AD771" s="2256"/>
      <c r="AE771" s="2256"/>
      <c r="AF771" s="2256"/>
      <c r="AG771" s="225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1" t="s">
        <v>169</v>
      </c>
      <c r="K772" s="2232"/>
      <c r="L772" s="2232"/>
      <c r="M772" s="2232"/>
      <c r="N772" s="2233"/>
      <c r="O772" s="2245">
        <v>1</v>
      </c>
      <c r="P772" s="2245"/>
      <c r="Q772" s="2245"/>
      <c r="R772" s="2245"/>
      <c r="S772" s="2245"/>
      <c r="T772" s="2234">
        <v>1084</v>
      </c>
      <c r="U772" s="2235"/>
      <c r="V772" s="2235"/>
      <c r="W772" s="2236"/>
      <c r="X772" s="2302">
        <v>0</v>
      </c>
      <c r="Y772" s="2303"/>
      <c r="Z772" s="2303"/>
      <c r="AA772" s="2303"/>
      <c r="AB772" s="2304"/>
      <c r="AC772" s="2242">
        <f>X772*O772</f>
        <v>0</v>
      </c>
      <c r="AD772" s="2243"/>
      <c r="AE772" s="2243"/>
      <c r="AF772" s="2243"/>
      <c r="AG772" s="2244"/>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1" t="s">
        <v>169</v>
      </c>
      <c r="K773" s="2232"/>
      <c r="L773" s="2232"/>
      <c r="M773" s="2232"/>
      <c r="N773" s="2233"/>
      <c r="O773" s="2245">
        <v>1</v>
      </c>
      <c r="P773" s="2245"/>
      <c r="Q773" s="2245"/>
      <c r="R773" s="2245"/>
      <c r="S773" s="2245"/>
      <c r="T773" s="2234">
        <v>1123</v>
      </c>
      <c r="U773" s="2235"/>
      <c r="V773" s="2235"/>
      <c r="W773" s="2236"/>
      <c r="X773" s="2302">
        <v>0</v>
      </c>
      <c r="Y773" s="2303"/>
      <c r="Z773" s="2303"/>
      <c r="AA773" s="2303"/>
      <c r="AB773" s="2304"/>
      <c r="AC773" s="2242">
        <f>X773*O773</f>
        <v>0</v>
      </c>
      <c r="AD773" s="2243"/>
      <c r="AE773" s="2243"/>
      <c r="AF773" s="2243"/>
      <c r="AG773" s="2244"/>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1"/>
      <c r="K774" s="2232"/>
      <c r="L774" s="2232"/>
      <c r="M774" s="2232"/>
      <c r="N774" s="2233"/>
      <c r="O774" s="2245"/>
      <c r="P774" s="2245"/>
      <c r="Q774" s="2245"/>
      <c r="R774" s="2245"/>
      <c r="S774" s="2245"/>
      <c r="T774" s="2234"/>
      <c r="U774" s="2235"/>
      <c r="V774" s="2235"/>
      <c r="W774" s="2236"/>
      <c r="X774" s="2302"/>
      <c r="Y774" s="2303"/>
      <c r="Z774" s="2303"/>
      <c r="AA774" s="2303"/>
      <c r="AB774" s="2304"/>
      <c r="AC774" s="2242">
        <f>X774*O774</f>
        <v>0</v>
      </c>
      <c r="AD774" s="2243"/>
      <c r="AE774" s="2243"/>
      <c r="AF774" s="2243"/>
      <c r="AG774" s="2244"/>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1"/>
      <c r="K775" s="2232"/>
      <c r="L775" s="2232"/>
      <c r="M775" s="2232"/>
      <c r="N775" s="2233"/>
      <c r="O775" s="2245"/>
      <c r="P775" s="2245"/>
      <c r="Q775" s="2245"/>
      <c r="R775" s="2245"/>
      <c r="S775" s="2245"/>
      <c r="T775" s="2234"/>
      <c r="U775" s="2235"/>
      <c r="V775" s="2235"/>
      <c r="W775" s="2236"/>
      <c r="X775" s="2302"/>
      <c r="Y775" s="2303"/>
      <c r="Z775" s="2303"/>
      <c r="AA775" s="2303"/>
      <c r="AB775" s="2304"/>
      <c r="AC775" s="2242">
        <f>X775*O775</f>
        <v>0</v>
      </c>
      <c r="AD775" s="2243"/>
      <c r="AE775" s="2243"/>
      <c r="AF775" s="2243"/>
      <c r="AG775" s="2244"/>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46" t="s">
        <v>130</v>
      </c>
      <c r="K776" s="2247"/>
      <c r="L776" s="2247"/>
      <c r="M776" s="2247"/>
      <c r="N776" s="2248"/>
      <c r="O776" s="2316">
        <f>SUM(O772:S775)</f>
        <v>2</v>
      </c>
      <c r="P776" s="2317"/>
      <c r="Q776" s="2317"/>
      <c r="R776" s="2317"/>
      <c r="S776" s="2318"/>
      <c r="X776" s="2371" t="s">
        <v>129</v>
      </c>
      <c r="Y776" s="2372"/>
      <c r="Z776" s="2372"/>
      <c r="AA776" s="2372"/>
      <c r="AB776" s="2373"/>
      <c r="AC776" s="2242">
        <f>SUM(AC772:AG775)</f>
        <v>0</v>
      </c>
      <c r="AD776" s="2243"/>
      <c r="AE776" s="2243"/>
      <c r="AF776" s="2243"/>
      <c r="AG776" s="2244"/>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8" t="s">
        <v>706</v>
      </c>
      <c r="K778" s="2028"/>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9" t="s">
        <v>408</v>
      </c>
      <c r="K782" s="2250"/>
      <c r="L782" s="2250"/>
      <c r="M782" s="2250"/>
      <c r="N782" s="2251"/>
      <c r="O782" s="2370" t="s">
        <v>292</v>
      </c>
      <c r="P782" s="2370"/>
      <c r="Q782" s="2370"/>
      <c r="R782" s="2370"/>
      <c r="S782" s="2370"/>
      <c r="T782" s="2358" t="s">
        <v>2168</v>
      </c>
      <c r="U782" s="2359"/>
      <c r="V782" s="2359"/>
      <c r="W782" s="2360"/>
      <c r="X782" s="2319" t="s">
        <v>478</v>
      </c>
      <c r="Y782" s="2250"/>
      <c r="Z782" s="2250"/>
      <c r="AA782" s="2250"/>
      <c r="AB782" s="2251"/>
      <c r="AC782" s="2319" t="s">
        <v>293</v>
      </c>
      <c r="AD782" s="2250"/>
      <c r="AE782" s="2250"/>
      <c r="AF782" s="2250"/>
      <c r="AG782" s="2251"/>
      <c r="AH782" s="2249" t="s">
        <v>2460</v>
      </c>
      <c r="AI782" s="2250"/>
      <c r="AJ782" s="2250"/>
      <c r="AK782" s="2250"/>
      <c r="AL782" s="225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2"/>
      <c r="K783" s="2253"/>
      <c r="L783" s="2253"/>
      <c r="M783" s="2253"/>
      <c r="N783" s="2254"/>
      <c r="O783" s="2370"/>
      <c r="P783" s="2370"/>
      <c r="Q783" s="2370"/>
      <c r="R783" s="2370"/>
      <c r="S783" s="2370"/>
      <c r="T783" s="2361"/>
      <c r="U783" s="2362"/>
      <c r="V783" s="2362"/>
      <c r="W783" s="2363"/>
      <c r="X783" s="2252"/>
      <c r="Y783" s="2253"/>
      <c r="Z783" s="2253"/>
      <c r="AA783" s="2253"/>
      <c r="AB783" s="2254"/>
      <c r="AC783" s="2252"/>
      <c r="AD783" s="2253"/>
      <c r="AE783" s="2253"/>
      <c r="AF783" s="2253"/>
      <c r="AG783" s="2254"/>
      <c r="AH783" s="2252"/>
      <c r="AI783" s="2253"/>
      <c r="AJ783" s="2253"/>
      <c r="AK783" s="2253"/>
      <c r="AL783" s="225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2"/>
      <c r="K784" s="2253"/>
      <c r="L784" s="2253"/>
      <c r="M784" s="2253"/>
      <c r="N784" s="2254"/>
      <c r="O784" s="2370"/>
      <c r="P784" s="2370"/>
      <c r="Q784" s="2370"/>
      <c r="R784" s="2370"/>
      <c r="S784" s="2370"/>
      <c r="T784" s="2361"/>
      <c r="U784" s="2362"/>
      <c r="V784" s="2362"/>
      <c r="W784" s="2363"/>
      <c r="X784" s="2252"/>
      <c r="Y784" s="2253"/>
      <c r="Z784" s="2253"/>
      <c r="AA784" s="2253"/>
      <c r="AB784" s="2254"/>
      <c r="AC784" s="2252"/>
      <c r="AD784" s="2253"/>
      <c r="AE784" s="2253"/>
      <c r="AF784" s="2253"/>
      <c r="AG784" s="2254"/>
      <c r="AH784" s="2252"/>
      <c r="AI784" s="2253"/>
      <c r="AJ784" s="2253"/>
      <c r="AK784" s="2253"/>
      <c r="AL784" s="225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5"/>
      <c r="K785" s="2256"/>
      <c r="L785" s="2256"/>
      <c r="M785" s="2256"/>
      <c r="N785" s="2257"/>
      <c r="O785" s="2370"/>
      <c r="P785" s="2370"/>
      <c r="Q785" s="2370"/>
      <c r="R785" s="2370"/>
      <c r="S785" s="2370"/>
      <c r="T785" s="2425"/>
      <c r="U785" s="2426"/>
      <c r="V785" s="2426"/>
      <c r="W785" s="2427"/>
      <c r="X785" s="2255"/>
      <c r="Y785" s="2256"/>
      <c r="Z785" s="2256"/>
      <c r="AA785" s="2256"/>
      <c r="AB785" s="2257"/>
      <c r="AC785" s="2255"/>
      <c r="AD785" s="2256"/>
      <c r="AE785" s="2256"/>
      <c r="AF785" s="2256"/>
      <c r="AG785" s="2257"/>
      <c r="AH785" s="2255"/>
      <c r="AI785" s="2256"/>
      <c r="AJ785" s="2256"/>
      <c r="AK785" s="2256"/>
      <c r="AL785" s="22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1"/>
      <c r="K786" s="2232"/>
      <c r="L786" s="2232"/>
      <c r="M786" s="2232"/>
      <c r="N786" s="2233"/>
      <c r="O786" s="2245"/>
      <c r="P786" s="2245"/>
      <c r="Q786" s="2245"/>
      <c r="R786" s="2245"/>
      <c r="S786" s="2245"/>
      <c r="T786" s="2234"/>
      <c r="U786" s="2235"/>
      <c r="V786" s="2235"/>
      <c r="W786" s="2236"/>
      <c r="X786" s="2302"/>
      <c r="Y786" s="2303"/>
      <c r="Z786" s="2303"/>
      <c r="AA786" s="2303"/>
      <c r="AB786" s="2304"/>
      <c r="AC786" s="2242">
        <f t="shared" ref="AC786:AC795" si="50">X786*O786</f>
        <v>0</v>
      </c>
      <c r="AD786" s="2243"/>
      <c r="AE786" s="2243"/>
      <c r="AF786" s="2243"/>
      <c r="AG786" s="2244"/>
      <c r="AH786" s="2122"/>
      <c r="AI786" s="2123"/>
      <c r="AJ786" s="2123"/>
      <c r="AK786" s="2123"/>
      <c r="AL786" s="212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1"/>
      <c r="K787" s="2232"/>
      <c r="L787" s="2232"/>
      <c r="M787" s="2232"/>
      <c r="N787" s="2233"/>
      <c r="O787" s="2245"/>
      <c r="P787" s="2245"/>
      <c r="Q787" s="2245"/>
      <c r="R787" s="2245"/>
      <c r="S787" s="2245"/>
      <c r="T787" s="2234"/>
      <c r="U787" s="2235"/>
      <c r="V787" s="2235"/>
      <c r="W787" s="2236"/>
      <c r="X787" s="2302"/>
      <c r="Y787" s="2303"/>
      <c r="Z787" s="2303"/>
      <c r="AA787" s="2303"/>
      <c r="AB787" s="2304"/>
      <c r="AC787" s="2242">
        <f t="shared" si="50"/>
        <v>0</v>
      </c>
      <c r="AD787" s="2243"/>
      <c r="AE787" s="2243"/>
      <c r="AF787" s="2243"/>
      <c r="AG787" s="2244"/>
      <c r="AH787" s="2122"/>
      <c r="AI787" s="2123"/>
      <c r="AJ787" s="2123"/>
      <c r="AK787" s="2123"/>
      <c r="AL787" s="212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1"/>
      <c r="K788" s="2232"/>
      <c r="L788" s="2232"/>
      <c r="M788" s="2232"/>
      <c r="N788" s="2233"/>
      <c r="O788" s="2245"/>
      <c r="P788" s="2245"/>
      <c r="Q788" s="2245"/>
      <c r="R788" s="2245"/>
      <c r="S788" s="2245"/>
      <c r="T788" s="2234"/>
      <c r="U788" s="2235"/>
      <c r="V788" s="2235"/>
      <c r="W788" s="2236"/>
      <c r="X788" s="2302"/>
      <c r="Y788" s="2303"/>
      <c r="Z788" s="2303"/>
      <c r="AA788" s="2303"/>
      <c r="AB788" s="2304"/>
      <c r="AC788" s="2242">
        <f t="shared" si="50"/>
        <v>0</v>
      </c>
      <c r="AD788" s="2243"/>
      <c r="AE788" s="2243"/>
      <c r="AF788" s="2243"/>
      <c r="AG788" s="2244"/>
      <c r="AH788" s="2122"/>
      <c r="AI788" s="2123"/>
      <c r="AJ788" s="2123"/>
      <c r="AK788" s="2123"/>
      <c r="AL788" s="212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1"/>
      <c r="K789" s="2232"/>
      <c r="L789" s="2232"/>
      <c r="M789" s="2232"/>
      <c r="N789" s="2233"/>
      <c r="O789" s="2245"/>
      <c r="P789" s="2245"/>
      <c r="Q789" s="2245"/>
      <c r="R789" s="2245"/>
      <c r="S789" s="2245"/>
      <c r="T789" s="2234"/>
      <c r="U789" s="2235"/>
      <c r="V789" s="2235"/>
      <c r="W789" s="2236"/>
      <c r="X789" s="2302"/>
      <c r="Y789" s="2303"/>
      <c r="Z789" s="2303"/>
      <c r="AA789" s="2303"/>
      <c r="AB789" s="2304"/>
      <c r="AC789" s="2242">
        <f t="shared" si="50"/>
        <v>0</v>
      </c>
      <c r="AD789" s="2243"/>
      <c r="AE789" s="2243"/>
      <c r="AF789" s="2243"/>
      <c r="AG789" s="2244"/>
      <c r="AH789" s="2122"/>
      <c r="AI789" s="2123"/>
      <c r="AJ789" s="2123"/>
      <c r="AK789" s="2123"/>
      <c r="AL789" s="212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1"/>
      <c r="K790" s="2232"/>
      <c r="L790" s="2232"/>
      <c r="M790" s="2232"/>
      <c r="N790" s="2233"/>
      <c r="O790" s="2245"/>
      <c r="P790" s="2245"/>
      <c r="Q790" s="2245"/>
      <c r="R790" s="2245"/>
      <c r="S790" s="2245"/>
      <c r="T790" s="2234"/>
      <c r="U790" s="2235"/>
      <c r="V790" s="2235"/>
      <c r="W790" s="2236"/>
      <c r="X790" s="2302"/>
      <c r="Y790" s="2303"/>
      <c r="Z790" s="2303"/>
      <c r="AA790" s="2303"/>
      <c r="AB790" s="2304"/>
      <c r="AC790" s="2242">
        <f t="shared" si="50"/>
        <v>0</v>
      </c>
      <c r="AD790" s="2243"/>
      <c r="AE790" s="2243"/>
      <c r="AF790" s="2243"/>
      <c r="AG790" s="2244"/>
      <c r="AH790" s="2122"/>
      <c r="AI790" s="2123"/>
      <c r="AJ790" s="2123"/>
      <c r="AK790" s="2123"/>
      <c r="AL790" s="212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1"/>
      <c r="K791" s="2232"/>
      <c r="L791" s="2232"/>
      <c r="M791" s="2232"/>
      <c r="N791" s="2233"/>
      <c r="O791" s="2245"/>
      <c r="P791" s="2245"/>
      <c r="Q791" s="2245"/>
      <c r="R791" s="2245"/>
      <c r="S791" s="2245"/>
      <c r="T791" s="2234"/>
      <c r="U791" s="2235"/>
      <c r="V791" s="2235"/>
      <c r="W791" s="2236"/>
      <c r="X791" s="2302"/>
      <c r="Y791" s="2303"/>
      <c r="Z791" s="2303"/>
      <c r="AA791" s="2303"/>
      <c r="AB791" s="2304"/>
      <c r="AC791" s="2242">
        <f t="shared" si="50"/>
        <v>0</v>
      </c>
      <c r="AD791" s="2243"/>
      <c r="AE791" s="2243"/>
      <c r="AF791" s="2243"/>
      <c r="AG791" s="2244"/>
      <c r="AH791" s="2122"/>
      <c r="AI791" s="2123"/>
      <c r="AJ791" s="2123"/>
      <c r="AK791" s="2123"/>
      <c r="AL791" s="212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1"/>
      <c r="K792" s="2232"/>
      <c r="L792" s="2232"/>
      <c r="M792" s="2232"/>
      <c r="N792" s="2233"/>
      <c r="O792" s="2245"/>
      <c r="P792" s="2245"/>
      <c r="Q792" s="2245"/>
      <c r="R792" s="2245"/>
      <c r="S792" s="2245"/>
      <c r="T792" s="2234"/>
      <c r="U792" s="2235"/>
      <c r="V792" s="2235"/>
      <c r="W792" s="2236"/>
      <c r="X792" s="2302"/>
      <c r="Y792" s="2303"/>
      <c r="Z792" s="2303"/>
      <c r="AA792" s="2303"/>
      <c r="AB792" s="2304"/>
      <c r="AC792" s="2242">
        <f t="shared" si="50"/>
        <v>0</v>
      </c>
      <c r="AD792" s="2243"/>
      <c r="AE792" s="2243"/>
      <c r="AF792" s="2243"/>
      <c r="AG792" s="2244"/>
      <c r="AH792" s="2122"/>
      <c r="AI792" s="2123"/>
      <c r="AJ792" s="2123"/>
      <c r="AK792" s="2123"/>
      <c r="AL792" s="212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1"/>
      <c r="K793" s="2232"/>
      <c r="L793" s="2232"/>
      <c r="M793" s="2232"/>
      <c r="N793" s="2233"/>
      <c r="O793" s="2245"/>
      <c r="P793" s="2245"/>
      <c r="Q793" s="2245"/>
      <c r="R793" s="2245"/>
      <c r="S793" s="2245"/>
      <c r="T793" s="2234"/>
      <c r="U793" s="2235"/>
      <c r="V793" s="2235"/>
      <c r="W793" s="2236"/>
      <c r="X793" s="2302"/>
      <c r="Y793" s="2303"/>
      <c r="Z793" s="2303"/>
      <c r="AA793" s="2303"/>
      <c r="AB793" s="2304"/>
      <c r="AC793" s="2242">
        <f t="shared" si="50"/>
        <v>0</v>
      </c>
      <c r="AD793" s="2243"/>
      <c r="AE793" s="2243"/>
      <c r="AF793" s="2243"/>
      <c r="AG793" s="2244"/>
      <c r="AH793" s="2122"/>
      <c r="AI793" s="2123"/>
      <c r="AJ793" s="2123"/>
      <c r="AK793" s="2123"/>
      <c r="AL793" s="212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1"/>
      <c r="K794" s="2232"/>
      <c r="L794" s="2232"/>
      <c r="M794" s="2232"/>
      <c r="N794" s="2233"/>
      <c r="O794" s="2245"/>
      <c r="P794" s="2245"/>
      <c r="Q794" s="2245"/>
      <c r="R794" s="2245"/>
      <c r="S794" s="2245"/>
      <c r="T794" s="2234"/>
      <c r="U794" s="2235"/>
      <c r="V794" s="2235"/>
      <c r="W794" s="2236"/>
      <c r="X794" s="2302"/>
      <c r="Y794" s="2303"/>
      <c r="Z794" s="2303"/>
      <c r="AA794" s="2303"/>
      <c r="AB794" s="2304"/>
      <c r="AC794" s="2242">
        <f t="shared" si="50"/>
        <v>0</v>
      </c>
      <c r="AD794" s="2243"/>
      <c r="AE794" s="2243"/>
      <c r="AF794" s="2243"/>
      <c r="AG794" s="2244"/>
      <c r="AH794" s="2122"/>
      <c r="AI794" s="2123"/>
      <c r="AJ794" s="2123"/>
      <c r="AK794" s="2123"/>
      <c r="AL794" s="212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1"/>
      <c r="K795" s="2232"/>
      <c r="L795" s="2232"/>
      <c r="M795" s="2232"/>
      <c r="N795" s="2233"/>
      <c r="O795" s="2245"/>
      <c r="P795" s="2245"/>
      <c r="Q795" s="2245"/>
      <c r="R795" s="2245"/>
      <c r="S795" s="2245"/>
      <c r="T795" s="2234"/>
      <c r="U795" s="2235"/>
      <c r="V795" s="2235"/>
      <c r="W795" s="2236"/>
      <c r="X795" s="2302"/>
      <c r="Y795" s="2303"/>
      <c r="Z795" s="2303"/>
      <c r="AA795" s="2303"/>
      <c r="AB795" s="2304"/>
      <c r="AC795" s="2242">
        <f t="shared" si="50"/>
        <v>0</v>
      </c>
      <c r="AD795" s="2243"/>
      <c r="AE795" s="2243"/>
      <c r="AF795" s="2243"/>
      <c r="AG795" s="2244"/>
      <c r="AH795" s="2122"/>
      <c r="AI795" s="2123"/>
      <c r="AJ795" s="2123"/>
      <c r="AK795" s="2123"/>
      <c r="AL795" s="212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46" t="s">
        <v>130</v>
      </c>
      <c r="K796" s="2247"/>
      <c r="L796" s="2247"/>
      <c r="M796" s="2247"/>
      <c r="N796" s="2248"/>
      <c r="O796" s="2432">
        <f>SUM(O786:S795)</f>
        <v>0</v>
      </c>
      <c r="P796" s="2432"/>
      <c r="Q796" s="2432"/>
      <c r="R796" s="2432"/>
      <c r="S796" s="2432"/>
      <c r="X796" s="1604" t="s">
        <v>129</v>
      </c>
      <c r="Y796" s="1605"/>
      <c r="Z796" s="1605"/>
      <c r="AA796" s="1605"/>
      <c r="AB796" s="1606"/>
      <c r="AC796" s="2242">
        <f>SUM(AC786:AG795)</f>
        <v>0</v>
      </c>
      <c r="AD796" s="2243"/>
      <c r="AE796" s="2243"/>
      <c r="AF796" s="2243"/>
      <c r="AG796" s="22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1">
        <f>T753+AC776+AC796</f>
        <v>202874</v>
      </c>
      <c r="Z798" s="2341"/>
      <c r="AA798" s="2341"/>
      <c r="AB798" s="2341"/>
      <c r="AC798" s="23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1">
        <f>(T753+AC776+AC796)*12</f>
        <v>2434488</v>
      </c>
      <c r="Z799" s="2341"/>
      <c r="AA799" s="2341"/>
      <c r="AB799" s="2341"/>
      <c r="AC799" s="2341"/>
      <c r="AZ799" s="58"/>
      <c r="BA799" s="51" t="s">
        <v>667</v>
      </c>
      <c r="BB799" s="51"/>
      <c r="BC799" s="51"/>
      <c r="BD799" s="51"/>
      <c r="BE799" s="51"/>
      <c r="BF799" s="51"/>
      <c r="BG799" s="51"/>
      <c r="BH799" s="51"/>
      <c r="BI799" s="51"/>
      <c r="BJ799" s="51"/>
      <c r="BK799" s="51"/>
      <c r="BL799" s="51"/>
      <c r="BM799" s="51"/>
      <c r="BN799" s="2368" t="s">
        <v>502</v>
      </c>
      <c r="BO799" s="2369"/>
      <c r="BP799" s="58"/>
      <c r="BQ799" s="58"/>
      <c r="BR799" s="58"/>
      <c r="BS799" s="51" t="s">
        <v>669</v>
      </c>
      <c r="BT799" s="51"/>
      <c r="BU799" s="51"/>
      <c r="BV799" s="51"/>
      <c r="BW799" s="51"/>
      <c r="BX799" s="51"/>
      <c r="BY799" s="51"/>
      <c r="BZ799" s="51"/>
      <c r="CA799" s="51"/>
      <c r="CB799" s="2365" t="str">
        <f>T189</f>
        <v>Sacramento</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12"/>
      <c r="AA804" s="2313"/>
      <c r="AB804" s="2313"/>
      <c r="AC804" s="2313"/>
      <c r="AD804" s="2313"/>
      <c r="AE804" s="231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315"/>
      <c r="AA805" s="2313"/>
      <c r="AB805" s="2313"/>
      <c r="AC805" s="2313"/>
      <c r="AD805" s="2313"/>
      <c r="AE805" s="231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4">
        <v>0</v>
      </c>
      <c r="AA806" s="2348"/>
      <c r="AB806" s="2348"/>
      <c r="AC806" s="2348"/>
      <c r="AD806" s="2348"/>
      <c r="AE806" s="23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35">
        <v>37680</v>
      </c>
      <c r="AA811" s="2136"/>
      <c r="AB811" s="2136"/>
      <c r="AC811" s="2136"/>
      <c r="AD811" s="2136"/>
      <c r="AE811" s="21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35"/>
      <c r="AA812" s="2136"/>
      <c r="AB812" s="2136"/>
      <c r="AC812" s="2136"/>
      <c r="AD812" s="2136"/>
      <c r="AE812" s="21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35"/>
      <c r="AA813" s="2136"/>
      <c r="AB813" s="2136"/>
      <c r="AC813" s="2136"/>
      <c r="AD813" s="2136"/>
      <c r="AE813" s="21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0" t="s">
        <v>2517</v>
      </c>
      <c r="Q814" s="2381"/>
      <c r="R814" s="2381"/>
      <c r="S814" s="2381"/>
      <c r="T814" s="2381"/>
      <c r="U814" s="2381"/>
      <c r="V814" s="2381"/>
      <c r="W814" s="2381"/>
      <c r="X814" s="2381"/>
      <c r="Y814" s="2382"/>
      <c r="Z814" s="2135">
        <f>2328+5184+5184+14400</f>
        <v>27096</v>
      </c>
      <c r="AA814" s="2136"/>
      <c r="AB814" s="2136"/>
      <c r="AC814" s="2136"/>
      <c r="AD814" s="2136"/>
      <c r="AE814" s="21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64776</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8">
        <f>Z815+Y799+Z807</f>
        <v>2499264</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4" t="s">
        <v>131</v>
      </c>
      <c r="N821" s="2374"/>
      <c r="O821" s="2374"/>
      <c r="P821" s="2375"/>
      <c r="Q821" s="2329" t="s">
        <v>299</v>
      </c>
      <c r="R821" s="2329"/>
      <c r="S821" s="2329"/>
      <c r="T821" s="2329"/>
      <c r="U821" s="2329" t="s">
        <v>300</v>
      </c>
      <c r="V821" s="2329"/>
      <c r="W821" s="2329"/>
      <c r="X821" s="2329"/>
      <c r="Y821" s="2329" t="s">
        <v>301</v>
      </c>
      <c r="Z821" s="2329"/>
      <c r="AA821" s="2329"/>
      <c r="AB821" s="2329"/>
      <c r="AC821" s="2329" t="s">
        <v>372</v>
      </c>
      <c r="AD821" s="2329"/>
      <c r="AE821" s="2329"/>
      <c r="AF821" s="2329"/>
      <c r="AG821" s="2343" t="s">
        <v>345</v>
      </c>
      <c r="AH821" s="2343"/>
      <c r="AI821" s="2343"/>
      <c r="AJ821" s="234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6"/>
      <c r="N822" s="2376"/>
      <c r="O822" s="2376"/>
      <c r="P822" s="2377"/>
      <c r="Q822" s="2329"/>
      <c r="R822" s="2329"/>
      <c r="S822" s="2329"/>
      <c r="T822" s="2329"/>
      <c r="U822" s="2329"/>
      <c r="V822" s="2329"/>
      <c r="W822" s="2329"/>
      <c r="X822" s="2329"/>
      <c r="Y822" s="2329"/>
      <c r="Z822" s="2329"/>
      <c r="AA822" s="2329"/>
      <c r="AB822" s="2329"/>
      <c r="AC822" s="2329"/>
      <c r="AD822" s="2329"/>
      <c r="AE822" s="2329"/>
      <c r="AF822" s="2329"/>
      <c r="AG822" s="2343"/>
      <c r="AH822" s="2343"/>
      <c r="AI822" s="2343"/>
      <c r="AJ822" s="234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8" t="s">
        <v>43</v>
      </c>
      <c r="D823" s="2379"/>
      <c r="E823" s="2379"/>
      <c r="F823" s="2379"/>
      <c r="G823" s="2379"/>
      <c r="H823" s="2379"/>
      <c r="I823" s="80"/>
      <c r="J823" s="80"/>
      <c r="K823" s="80"/>
      <c r="L823" s="81"/>
      <c r="M823" s="2308"/>
      <c r="N823" s="2308"/>
      <c r="O823" s="2308"/>
      <c r="P823" s="2308"/>
      <c r="Q823" s="2308">
        <v>4.03</v>
      </c>
      <c r="R823" s="2308"/>
      <c r="S823" s="2308"/>
      <c r="T823" s="2308"/>
      <c r="U823" s="2308">
        <v>7.63</v>
      </c>
      <c r="V823" s="2308"/>
      <c r="W823" s="2308"/>
      <c r="X823" s="2308"/>
      <c r="Y823" s="2308">
        <v>8.75</v>
      </c>
      <c r="Z823" s="2308"/>
      <c r="AA823" s="2308"/>
      <c r="AB823" s="2308"/>
      <c r="AC823" s="2098"/>
      <c r="AD823" s="2099"/>
      <c r="AE823" s="2099"/>
      <c r="AF823" s="2100"/>
      <c r="AG823" s="2098"/>
      <c r="AH823" s="2099"/>
      <c r="AI823" s="2099"/>
      <c r="AJ823" s="210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333" t="s">
        <v>44</v>
      </c>
      <c r="D824" s="2334"/>
      <c r="E824" s="2334"/>
      <c r="F824" s="2334"/>
      <c r="G824" s="2334"/>
      <c r="H824" s="2334"/>
      <c r="I824" s="77"/>
      <c r="J824" s="77"/>
      <c r="K824" s="77"/>
      <c r="L824" s="78"/>
      <c r="M824" s="2308"/>
      <c r="N824" s="2308"/>
      <c r="O824" s="2308"/>
      <c r="P824" s="2308"/>
      <c r="Q824" s="2308"/>
      <c r="R824" s="2308"/>
      <c r="S824" s="2308"/>
      <c r="T824" s="2308"/>
      <c r="U824" s="2308"/>
      <c r="V824" s="2308"/>
      <c r="W824" s="2308"/>
      <c r="X824" s="2308"/>
      <c r="Y824" s="2308"/>
      <c r="Z824" s="2308"/>
      <c r="AA824" s="2308"/>
      <c r="AB824" s="2308"/>
      <c r="AC824" s="2098"/>
      <c r="AD824" s="2099"/>
      <c r="AE824" s="2099"/>
      <c r="AF824" s="2100"/>
      <c r="AG824" s="2098"/>
      <c r="AH824" s="2099"/>
      <c r="AI824" s="2099"/>
      <c r="AJ824" s="210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333" t="s">
        <v>45</v>
      </c>
      <c r="D825" s="2334"/>
      <c r="E825" s="2334"/>
      <c r="F825" s="2334"/>
      <c r="G825" s="2334"/>
      <c r="H825" s="2334"/>
      <c r="I825" s="96"/>
      <c r="J825" s="96"/>
      <c r="K825" s="96"/>
      <c r="L825" s="97"/>
      <c r="M825" s="2308"/>
      <c r="N825" s="2308"/>
      <c r="O825" s="2308"/>
      <c r="P825" s="2308"/>
      <c r="Q825" s="2308">
        <v>7.55</v>
      </c>
      <c r="R825" s="2308"/>
      <c r="S825" s="2308"/>
      <c r="T825" s="2308"/>
      <c r="U825" s="2308">
        <v>8.0399999999999991</v>
      </c>
      <c r="V825" s="2308"/>
      <c r="W825" s="2308"/>
      <c r="X825" s="2308"/>
      <c r="Y825" s="2308">
        <v>8.5500000000000007</v>
      </c>
      <c r="Z825" s="2308"/>
      <c r="AA825" s="2308"/>
      <c r="AB825" s="2308"/>
      <c r="AC825" s="2098"/>
      <c r="AD825" s="2099"/>
      <c r="AE825" s="2099"/>
      <c r="AF825" s="2100"/>
      <c r="AG825" s="2098"/>
      <c r="AH825" s="2099"/>
      <c r="AI825" s="2099"/>
      <c r="AJ825" s="210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333" t="s">
        <v>822</v>
      </c>
      <c r="D826" s="2334"/>
      <c r="E826" s="2334"/>
      <c r="F826" s="2334"/>
      <c r="G826" s="2334"/>
      <c r="H826" s="2334"/>
      <c r="I826" s="96"/>
      <c r="J826" s="96"/>
      <c r="K826" s="96"/>
      <c r="L826" s="97"/>
      <c r="M826" s="2308"/>
      <c r="N826" s="2308"/>
      <c r="O826" s="2308"/>
      <c r="P826" s="2308"/>
      <c r="Q826" s="2308">
        <v>4.79</v>
      </c>
      <c r="R826" s="2308"/>
      <c r="S826" s="2308"/>
      <c r="T826" s="2308"/>
      <c r="U826" s="2308">
        <v>5.3</v>
      </c>
      <c r="V826" s="2308"/>
      <c r="W826" s="2308"/>
      <c r="X826" s="2308"/>
      <c r="Y826" s="2308">
        <v>6.15</v>
      </c>
      <c r="Z826" s="2308"/>
      <c r="AA826" s="2308"/>
      <c r="AB826" s="2308"/>
      <c r="AC826" s="2098"/>
      <c r="AD826" s="2099"/>
      <c r="AE826" s="2099"/>
      <c r="AF826" s="2100"/>
      <c r="AG826" s="2098"/>
      <c r="AH826" s="2099"/>
      <c r="AI826" s="2099"/>
      <c r="AJ826" s="210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333" t="s">
        <v>492</v>
      </c>
      <c r="D827" s="2334"/>
      <c r="E827" s="2334"/>
      <c r="F827" s="2334"/>
      <c r="G827" s="2334"/>
      <c r="H827" s="2334"/>
      <c r="I827" s="96"/>
      <c r="J827" s="96"/>
      <c r="K827" s="96"/>
      <c r="L827" s="97"/>
      <c r="M827" s="2308"/>
      <c r="N827" s="2308"/>
      <c r="O827" s="2308"/>
      <c r="P827" s="2308"/>
      <c r="Q827" s="2308">
        <v>19.3</v>
      </c>
      <c r="R827" s="2308"/>
      <c r="S827" s="2308"/>
      <c r="T827" s="2308"/>
      <c r="U827" s="2308">
        <v>20.62</v>
      </c>
      <c r="V827" s="2308"/>
      <c r="W827" s="2308"/>
      <c r="X827" s="2308"/>
      <c r="Y827" s="2308">
        <v>22.39</v>
      </c>
      <c r="Z827" s="2308"/>
      <c r="AA827" s="2308"/>
      <c r="AB827" s="2308"/>
      <c r="AC827" s="2098"/>
      <c r="AD827" s="2099"/>
      <c r="AE827" s="2099"/>
      <c r="AF827" s="2100"/>
      <c r="AG827" s="2098"/>
      <c r="AH827" s="2099"/>
      <c r="AI827" s="2099"/>
      <c r="AJ827" s="210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8" t="s">
        <v>843</v>
      </c>
      <c r="D828" s="2334"/>
      <c r="E828" s="2334"/>
      <c r="F828" s="2334"/>
      <c r="G828" s="2334"/>
      <c r="H828" s="2334"/>
      <c r="I828" s="96"/>
      <c r="J828" s="96"/>
      <c r="K828" s="96"/>
      <c r="L828" s="97"/>
      <c r="M828" s="2308"/>
      <c r="N828" s="2308"/>
      <c r="O828" s="2308"/>
      <c r="P828" s="2308"/>
      <c r="Q828" s="2308"/>
      <c r="R828" s="2308"/>
      <c r="S828" s="2308"/>
      <c r="T828" s="2308"/>
      <c r="U828" s="2308"/>
      <c r="V828" s="2308"/>
      <c r="W828" s="2308"/>
      <c r="X828" s="2308"/>
      <c r="Y828" s="2308"/>
      <c r="Z828" s="2308"/>
      <c r="AA828" s="2308"/>
      <c r="AB828" s="2308"/>
      <c r="AC828" s="2098"/>
      <c r="AD828" s="2099"/>
      <c r="AE828" s="2099"/>
      <c r="AF828" s="2100"/>
      <c r="AG828" s="2098"/>
      <c r="AH828" s="2099"/>
      <c r="AI828" s="2099"/>
      <c r="AJ828" s="210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085" t="s">
        <v>2518</v>
      </c>
      <c r="G829" s="2335"/>
      <c r="H829" s="2335"/>
      <c r="I829" s="2335"/>
      <c r="J829" s="2335"/>
      <c r="K829" s="2335"/>
      <c r="L829" s="2336"/>
      <c r="M829" s="2308"/>
      <c r="N829" s="2308"/>
      <c r="O829" s="2308"/>
      <c r="P829" s="2308"/>
      <c r="Q829" s="2308">
        <v>2.9</v>
      </c>
      <c r="R829" s="2308"/>
      <c r="S829" s="2308"/>
      <c r="T829" s="2308"/>
      <c r="U829" s="2308">
        <v>2.59</v>
      </c>
      <c r="V829" s="2308"/>
      <c r="W829" s="2308"/>
      <c r="X829" s="2308"/>
      <c r="Y829" s="2308">
        <v>2.08</v>
      </c>
      <c r="Z829" s="2308"/>
      <c r="AA829" s="2308"/>
      <c r="AB829" s="2308"/>
      <c r="AC829" s="2098"/>
      <c r="AD829" s="2099"/>
      <c r="AE829" s="2099"/>
      <c r="AF829" s="2100"/>
      <c r="AG829" s="2098"/>
      <c r="AH829" s="2099"/>
      <c r="AI829" s="2099"/>
      <c r="AJ829" s="210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46" t="s">
        <v>129</v>
      </c>
      <c r="D830" s="2247"/>
      <c r="E830" s="2247"/>
      <c r="F830" s="2247"/>
      <c r="G830" s="2247"/>
      <c r="H830" s="2247"/>
      <c r="I830" s="2247"/>
      <c r="J830" s="2247"/>
      <c r="K830" s="2247"/>
      <c r="L830" s="2248"/>
      <c r="M830" s="2331">
        <f>SUM(M823:P829)</f>
        <v>0</v>
      </c>
      <c r="N830" s="2331"/>
      <c r="O830" s="2331"/>
      <c r="P830" s="2331"/>
      <c r="Q830" s="2331">
        <f>SUM(Q823:T829)</f>
        <v>38.57</v>
      </c>
      <c r="R830" s="2331"/>
      <c r="S830" s="2331"/>
      <c r="T830" s="2331"/>
      <c r="U830" s="2331">
        <f>SUM(U823:X829)</f>
        <v>44.180000000000007</v>
      </c>
      <c r="V830" s="2331"/>
      <c r="W830" s="2331"/>
      <c r="X830" s="2331"/>
      <c r="Y830" s="2331">
        <f>SUM(Y823:AB829)</f>
        <v>47.92</v>
      </c>
      <c r="Z830" s="2331"/>
      <c r="AA830" s="2331"/>
      <c r="AB830" s="2331"/>
      <c r="AC830" s="2331">
        <f>SUM(AC823:AF829)</f>
        <v>0</v>
      </c>
      <c r="AD830" s="2331"/>
      <c r="AE830" s="2331"/>
      <c r="AF830" s="2331"/>
      <c r="AG830" s="2331">
        <f>SUM(AG823:AJ829)</f>
        <v>0</v>
      </c>
      <c r="AH830" s="2331"/>
      <c r="AI830" s="2331"/>
      <c r="AJ830" s="233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7" t="s">
        <v>2519</v>
      </c>
      <c r="D835" s="2238"/>
      <c r="E835" s="2238"/>
      <c r="F835" s="2238"/>
      <c r="G835" s="2238"/>
      <c r="H835" s="2238"/>
      <c r="I835" s="2238"/>
      <c r="J835" s="2238"/>
      <c r="K835" s="2238"/>
      <c r="L835" s="2238"/>
      <c r="M835" s="2238"/>
      <c r="N835" s="2238"/>
      <c r="O835" s="2238"/>
      <c r="P835" s="2238"/>
      <c r="Q835" s="2238"/>
      <c r="R835" s="2238"/>
      <c r="S835" s="2238"/>
      <c r="T835" s="2238"/>
      <c r="U835" s="2238"/>
      <c r="V835" s="2238"/>
      <c r="W835" s="2238"/>
      <c r="X835" s="2238"/>
      <c r="Y835" s="2238"/>
      <c r="Z835" s="2238"/>
      <c r="AA835" s="2238"/>
      <c r="AB835" s="2238"/>
      <c r="AC835" s="2238"/>
      <c r="AD835" s="2238"/>
      <c r="AE835" s="2238"/>
      <c r="AF835" s="2238"/>
      <c r="AG835" s="2238"/>
      <c r="AH835" s="2238"/>
      <c r="AI835" s="2238"/>
      <c r="AJ835" s="223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34">
        <v>25500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34"/>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34"/>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34"/>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5" t="s">
        <v>2521</v>
      </c>
      <c r="N844" s="2335"/>
      <c r="O844" s="2335"/>
      <c r="P844" s="2335"/>
      <c r="Q844" s="2335"/>
      <c r="R844" s="2335"/>
      <c r="S844" s="2335"/>
      <c r="T844" s="2335"/>
      <c r="U844" s="2335"/>
      <c r="V844" s="2336"/>
      <c r="W844" s="2134">
        <v>37828</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8">
        <f>ROUNDDOWN(BC932*2,2)</f>
        <v>0</v>
      </c>
      <c r="BJ844" s="2328"/>
      <c r="BK844" s="2328"/>
      <c r="BL844" s="2328"/>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8">
        <f>SUM(W840:AC844)</f>
        <v>63328</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46" t="s">
        <v>356</v>
      </c>
      <c r="K847" s="2247"/>
      <c r="L847" s="2247"/>
      <c r="M847" s="2247"/>
      <c r="N847" s="2247"/>
      <c r="O847" s="2247"/>
      <c r="P847" s="2247"/>
      <c r="Q847" s="2247"/>
      <c r="R847" s="2247"/>
      <c r="S847" s="2247"/>
      <c r="T847" s="2247"/>
      <c r="U847" s="2247"/>
      <c r="V847" s="2248"/>
      <c r="W847" s="2135">
        <v>125021</v>
      </c>
      <c r="X847" s="2136"/>
      <c r="Y847" s="2136"/>
      <c r="Z847" s="2136"/>
      <c r="AA847" s="2136"/>
      <c r="AB847" s="2136"/>
      <c r="AC847" s="213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44"/>
      <c r="X849" s="2344"/>
      <c r="Y849" s="2344"/>
      <c r="Z849" s="2344"/>
      <c r="AA849" s="2344"/>
      <c r="AB849" s="2344"/>
      <c r="AC849" s="234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44">
        <v>20000</v>
      </c>
      <c r="X850" s="2344"/>
      <c r="Y850" s="2344"/>
      <c r="Z850" s="2344"/>
      <c r="AA850" s="2344"/>
      <c r="AB850" s="2344"/>
      <c r="AC850" s="234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44">
        <v>40000</v>
      </c>
      <c r="X851" s="2344"/>
      <c r="Y851" s="2344"/>
      <c r="Z851" s="2344"/>
      <c r="AA851" s="2344"/>
      <c r="AB851" s="2344"/>
      <c r="AC851" s="234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44">
        <v>185830</v>
      </c>
      <c r="X852" s="2344"/>
      <c r="Y852" s="2344"/>
      <c r="Z852" s="2344"/>
      <c r="AA852" s="2344"/>
      <c r="AB852" s="2344"/>
      <c r="AC852" s="234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421">
        <f>SUM(W849:AC852)</f>
        <v>245830</v>
      </c>
      <c r="X853" s="2421"/>
      <c r="Y853" s="2421"/>
      <c r="Z853" s="2421"/>
      <c r="AA853" s="2421"/>
      <c r="AB853" s="2421"/>
      <c r="AC853" s="242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0">
        <f>SUM(AZ821:AZ849)</f>
        <v>0</v>
      </c>
      <c r="BA854" s="2420"/>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413">
        <v>80000</v>
      </c>
      <c r="X855" s="2414"/>
      <c r="Y855" s="2414"/>
      <c r="Z855" s="2414"/>
      <c r="AA855" s="2414"/>
      <c r="AB855" s="2414"/>
      <c r="AC855" s="241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410">
        <v>2</v>
      </c>
      <c r="U856" s="2054"/>
      <c r="V856" s="241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413">
        <v>77219</v>
      </c>
      <c r="X857" s="2414"/>
      <c r="Y857" s="2414"/>
      <c r="Z857" s="2414"/>
      <c r="AA857" s="2414"/>
      <c r="AB857" s="2414"/>
      <c r="AC857" s="241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410">
        <v>2</v>
      </c>
      <c r="U858" s="2054"/>
      <c r="V858" s="241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5" t="s">
        <v>2577</v>
      </c>
      <c r="N859" s="2335"/>
      <c r="O859" s="2335"/>
      <c r="P859" s="2335"/>
      <c r="Q859" s="2335"/>
      <c r="R859" s="2335"/>
      <c r="S859" s="2335"/>
      <c r="T859" s="2335"/>
      <c r="U859" s="2335"/>
      <c r="V859" s="2336"/>
      <c r="W859" s="2413">
        <v>90000</v>
      </c>
      <c r="X859" s="2414"/>
      <c r="Y859" s="2414"/>
      <c r="Z859" s="2414"/>
      <c r="AA859" s="2414"/>
      <c r="AB859" s="2414"/>
      <c r="AC859" s="241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45">
        <f>SUM(W855:AC859)</f>
        <v>247219</v>
      </c>
      <c r="X860" s="2346"/>
      <c r="Y860" s="2346"/>
      <c r="Z860" s="2346"/>
      <c r="AA860" s="2346"/>
      <c r="AB860" s="2346"/>
      <c r="AC860" s="234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413"/>
      <c r="X861" s="2414"/>
      <c r="Y861" s="2414"/>
      <c r="Z861" s="2414"/>
      <c r="AA861" s="2414"/>
      <c r="AB861" s="2414"/>
      <c r="AC861" s="241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134"/>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4">
        <v>38005</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4"/>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4"/>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4">
        <v>26292</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4"/>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5" t="s">
        <v>2520</v>
      </c>
      <c r="N869" s="2335"/>
      <c r="O869" s="2335"/>
      <c r="P869" s="2335"/>
      <c r="Q869" s="2335"/>
      <c r="R869" s="2335"/>
      <c r="S869" s="2335"/>
      <c r="T869" s="2335"/>
      <c r="U869" s="2335"/>
      <c r="V869" s="2336"/>
      <c r="W869" s="2134">
        <v>27354</v>
      </c>
      <c r="X869" s="2134"/>
      <c r="Y869" s="2134"/>
      <c r="Z869" s="2134"/>
      <c r="AA869" s="2134"/>
      <c r="AB869" s="2134"/>
      <c r="AC869" s="213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41">
        <f>SUM(W863:AC869)</f>
        <v>91651</v>
      </c>
      <c r="X870" s="2341"/>
      <c r="Y870" s="2341"/>
      <c r="Z870" s="2341"/>
      <c r="AA870" s="2341"/>
      <c r="AB870" s="2341"/>
      <c r="AC870" s="23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085" t="s">
        <v>160</v>
      </c>
      <c r="N872" s="2335"/>
      <c r="O872" s="2335"/>
      <c r="P872" s="2335"/>
      <c r="Q872" s="2335"/>
      <c r="R872" s="2335"/>
      <c r="S872" s="2335"/>
      <c r="T872" s="2335"/>
      <c r="U872" s="2335"/>
      <c r="V872" s="2336"/>
      <c r="W872" s="2135">
        <v>64990</v>
      </c>
      <c r="X872" s="2136"/>
      <c r="Y872" s="2136"/>
      <c r="Z872" s="2136"/>
      <c r="AA872" s="2136"/>
      <c r="AB872" s="2136"/>
      <c r="AC872" s="213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085" t="s">
        <v>2522</v>
      </c>
      <c r="N873" s="2335"/>
      <c r="O873" s="2335"/>
      <c r="P873" s="2335"/>
      <c r="Q873" s="2335"/>
      <c r="R873" s="2335"/>
      <c r="S873" s="2335"/>
      <c r="T873" s="2335"/>
      <c r="U873" s="2335"/>
      <c r="V873" s="2336"/>
      <c r="W873" s="2135">
        <v>36447</v>
      </c>
      <c r="X873" s="2136"/>
      <c r="Y873" s="2136"/>
      <c r="Z873" s="2136"/>
      <c r="AA873" s="2136"/>
      <c r="AB873" s="2136"/>
      <c r="AC873" s="213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85" t="s">
        <v>2603</v>
      </c>
      <c r="N874" s="2335"/>
      <c r="O874" s="2335"/>
      <c r="P874" s="2335"/>
      <c r="Q874" s="2335"/>
      <c r="R874" s="2335"/>
      <c r="S874" s="2335"/>
      <c r="T874" s="2335"/>
      <c r="U874" s="2335"/>
      <c r="V874" s="2336"/>
      <c r="W874" s="2135">
        <v>26000</v>
      </c>
      <c r="X874" s="2136"/>
      <c r="Y874" s="2136"/>
      <c r="Z874" s="2136"/>
      <c r="AA874" s="2136"/>
      <c r="AB874" s="2136"/>
      <c r="AC874" s="21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085"/>
      <c r="N875" s="2335"/>
      <c r="O875" s="2335"/>
      <c r="P875" s="2335"/>
      <c r="Q875" s="2335"/>
      <c r="R875" s="2335"/>
      <c r="S875" s="2335"/>
      <c r="T875" s="2335"/>
      <c r="U875" s="2335"/>
      <c r="V875" s="2336"/>
      <c r="W875" s="2135"/>
      <c r="X875" s="2136"/>
      <c r="Y875" s="2136"/>
      <c r="Z875" s="2136"/>
      <c r="AA875" s="2136"/>
      <c r="AB875" s="2136"/>
      <c r="AC875" s="21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88" t="s">
        <v>344</v>
      </c>
      <c r="N876" s="2335"/>
      <c r="O876" s="2335"/>
      <c r="P876" s="2335"/>
      <c r="Q876" s="2335"/>
      <c r="R876" s="2335"/>
      <c r="S876" s="2335"/>
      <c r="T876" s="2335"/>
      <c r="U876" s="2335"/>
      <c r="V876" s="2336"/>
      <c r="W876" s="2135"/>
      <c r="X876" s="2136"/>
      <c r="Y876" s="2136"/>
      <c r="Z876" s="2136"/>
      <c r="AA876" s="2136"/>
      <c r="AB876" s="2136"/>
      <c r="AC876" s="21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38">
        <f>SUM(W872:AC876)</f>
        <v>127437</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39">
        <f>W845+W853+W860+W861+W870+W877+W847</f>
        <v>900486</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405">
        <f>O796+O776+G753</f>
        <v>194</v>
      </c>
      <c r="AD882" s="2405"/>
      <c r="AE882" s="2405"/>
      <c r="AF882" s="2405"/>
      <c r="AG882" s="2405"/>
      <c r="AH882" s="24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40" t="s">
        <v>33</v>
      </c>
      <c r="F883" s="2240"/>
      <c r="G883" s="2240"/>
      <c r="H883" s="2240"/>
      <c r="I883" s="2240"/>
      <c r="J883" s="2240"/>
      <c r="K883" s="2240"/>
      <c r="L883" s="2240"/>
      <c r="M883" s="2240"/>
      <c r="N883" s="2240"/>
      <c r="O883" s="2240"/>
      <c r="P883" s="2240"/>
      <c r="Q883" s="2240"/>
      <c r="R883" s="2240"/>
      <c r="S883" s="2240"/>
      <c r="T883" s="2240"/>
      <c r="U883" s="2240"/>
      <c r="V883" s="2240"/>
      <c r="W883" s="2240"/>
      <c r="X883" s="2240"/>
      <c r="Y883" s="2240"/>
      <c r="Z883" s="2240"/>
      <c r="AA883" s="2240"/>
      <c r="AB883" s="2241"/>
      <c r="AC883" s="2341">
        <f>IF(ISERROR((ROUNDDOWN(AC881/AC882,0))),0,(ROUNDDOWN(AC881/AC882,0)))</f>
        <v>4641</v>
      </c>
      <c r="AD883" s="2341"/>
      <c r="AE883" s="2341"/>
      <c r="AF883" s="2341"/>
      <c r="AG883" s="2341"/>
      <c r="AH883" s="23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416"/>
      <c r="AD884" s="2417"/>
      <c r="AE884" s="2417"/>
      <c r="AF884" s="2417"/>
      <c r="AG884" s="2417"/>
      <c r="AH884" s="24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137"/>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136">
        <v>20016</v>
      </c>
      <c r="AD886" s="2136"/>
      <c r="AE886" s="2136"/>
      <c r="AF886" s="2136"/>
      <c r="AG886" s="2136"/>
      <c r="AH886" s="21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36">
        <v>48500</v>
      </c>
      <c r="AD887" s="2136"/>
      <c r="AE887" s="2136"/>
      <c r="AF887" s="2136"/>
      <c r="AG887" s="2136"/>
      <c r="AH887" s="21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2167</v>
      </c>
      <c r="AC888" s="2098">
        <v>12725</v>
      </c>
      <c r="AD888" s="2099"/>
      <c r="AE888" s="2099"/>
      <c r="AF888" s="2099"/>
      <c r="AG888" s="2099"/>
      <c r="AH888" s="210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36"/>
      <c r="AD889" s="2136"/>
      <c r="AE889" s="2136"/>
      <c r="AF889" s="2136"/>
      <c r="AG889" s="2136"/>
      <c r="AH889" s="213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136">
        <v>148985</v>
      </c>
      <c r="AD890" s="2136"/>
      <c r="AE890" s="2136"/>
      <c r="AF890" s="2136"/>
      <c r="AG890" s="2136"/>
      <c r="AH890" s="21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9" t="s">
        <v>1037</v>
      </c>
      <c r="D891" s="2550"/>
      <c r="E891" s="2550"/>
      <c r="F891" s="2550"/>
      <c r="G891" s="2550"/>
      <c r="H891" s="2550"/>
      <c r="I891" s="2550"/>
      <c r="J891" s="2550"/>
      <c r="K891" s="2550"/>
      <c r="L891" s="2550"/>
      <c r="M891" s="2550"/>
      <c r="N891" s="2550"/>
      <c r="O891" s="2550"/>
      <c r="P891" s="2550"/>
      <c r="Q891" s="2550"/>
      <c r="R891" s="2550"/>
      <c r="S891" s="2550"/>
      <c r="T891" s="2550"/>
      <c r="U891" s="2550"/>
      <c r="V891" s="2550"/>
      <c r="W891" s="2550"/>
      <c r="X891" s="2550"/>
      <c r="Y891" s="2550"/>
      <c r="Z891" s="2550"/>
      <c r="AA891" s="2550"/>
      <c r="AB891" s="2551"/>
      <c r="AC891" s="2134"/>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49" t="s">
        <v>1037</v>
      </c>
      <c r="D892" s="2550"/>
      <c r="E892" s="2550"/>
      <c r="F892" s="2550"/>
      <c r="G892" s="2550"/>
      <c r="H892" s="2550"/>
      <c r="I892" s="2550"/>
      <c r="J892" s="2550"/>
      <c r="K892" s="2550"/>
      <c r="L892" s="2550"/>
      <c r="M892" s="2550"/>
      <c r="N892" s="2550"/>
      <c r="O892" s="2550"/>
      <c r="P892" s="2550"/>
      <c r="Q892" s="2550"/>
      <c r="R892" s="2550"/>
      <c r="S892" s="2550"/>
      <c r="T892" s="2550"/>
      <c r="U892" s="2550"/>
      <c r="V892" s="2550"/>
      <c r="W892" s="2550"/>
      <c r="X892" s="2550"/>
      <c r="Y892" s="2550"/>
      <c r="Z892" s="2550"/>
      <c r="AA892" s="2550"/>
      <c r="AB892" s="2551"/>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35"/>
      <c r="AA896" s="2136"/>
      <c r="AB896" s="2136"/>
      <c r="AC896" s="2136"/>
      <c r="AD896" s="2136"/>
      <c r="AE896" s="213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35"/>
      <c r="AA897" s="2136"/>
      <c r="AB897" s="2136"/>
      <c r="AC897" s="2136"/>
      <c r="AD897" s="2136"/>
      <c r="AE897" s="21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35"/>
      <c r="AA898" s="2136"/>
      <c r="AB898" s="2136"/>
      <c r="AC898" s="2136"/>
      <c r="AD898" s="2136"/>
      <c r="AE898" s="21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97"/>
      <c r="BE901" s="239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18"/>
      <c r="BE902" s="241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30"/>
      <c r="BE903" s="233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30"/>
      <c r="BE904" s="233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30"/>
      <c r="BE905" s="233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97"/>
      <c r="BE906" s="233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9"/>
      <c r="BD907" s="2422"/>
      <c r="BE907" s="2422"/>
      <c r="BF907" s="242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9"/>
      <c r="BD908" s="2419"/>
      <c r="BE908" s="2419"/>
      <c r="BF908" s="241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30"/>
      <c r="BE909" s="233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97"/>
      <c r="BE910" s="233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852</v>
      </c>
      <c r="G912" s="2103"/>
      <c r="H912" s="2103"/>
      <c r="I912" s="2103"/>
      <c r="J912" s="2103"/>
      <c r="K912" s="2103"/>
      <c r="L912" s="2103"/>
      <c r="M912" s="2103"/>
      <c r="N912" s="2103"/>
      <c r="O912" s="2103"/>
      <c r="P912" s="2103"/>
      <c r="Q912" s="2103"/>
      <c r="R912" s="2103"/>
      <c r="S912" s="2103"/>
      <c r="T912" s="2104"/>
      <c r="U912" s="2059" t="s">
        <v>32</v>
      </c>
      <c r="V912" s="2060"/>
      <c r="W912" s="2060"/>
      <c r="X912" s="2060"/>
      <c r="Y912" s="2060"/>
      <c r="Z912" s="2060"/>
      <c r="AA912" s="73"/>
      <c r="AB912" s="161"/>
      <c r="AC912" s="161"/>
      <c r="AD912" s="161"/>
      <c r="AE912" s="161"/>
      <c r="AF912" s="162"/>
      <c r="AZ912" s="61"/>
      <c r="BA912" s="1608"/>
      <c r="BB912" s="127"/>
      <c r="BC912" s="127"/>
      <c r="BD912" s="2397"/>
      <c r="BE912" s="233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2" t="s">
        <v>881</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4"/>
      <c r="AB914" s="2404" t="s">
        <v>411</v>
      </c>
      <c r="AC914" s="2404"/>
      <c r="AD914" s="2404"/>
      <c r="AE914" s="2404"/>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42" t="s">
        <v>578</v>
      </c>
      <c r="V915" s="2029"/>
      <c r="W915" s="2029"/>
      <c r="X915" s="2029"/>
      <c r="Y915" s="2029"/>
      <c r="Z915" s="2030"/>
      <c r="AA915" s="2261">
        <f>30936033+5500000</f>
        <v>36436033</v>
      </c>
      <c r="AB915" s="2262"/>
      <c r="AC915" s="2262"/>
      <c r="AD915" s="2262"/>
      <c r="AE915" s="2262"/>
      <c r="AF915" s="226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42" t="s">
        <v>578</v>
      </c>
      <c r="V916" s="2029"/>
      <c r="W916" s="2029"/>
      <c r="X916" s="2029"/>
      <c r="Y916" s="2029"/>
      <c r="Z916" s="2030"/>
      <c r="AA916" s="2261">
        <v>5109996</v>
      </c>
      <c r="AB916" s="2262"/>
      <c r="AC916" s="2262"/>
      <c r="AD916" s="2262"/>
      <c r="AE916" s="2262"/>
      <c r="AF916" s="226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42" t="s">
        <v>626</v>
      </c>
      <c r="V917" s="2029"/>
      <c r="W917" s="2029"/>
      <c r="X917" s="2029"/>
      <c r="Y917" s="2029"/>
      <c r="Z917" s="2030"/>
      <c r="AA917" s="2261"/>
      <c r="AB917" s="2262"/>
      <c r="AC917" s="2262"/>
      <c r="AD917" s="2262"/>
      <c r="AE917" s="2262"/>
      <c r="AF917" s="226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42" t="s">
        <v>626</v>
      </c>
      <c r="V918" s="2029"/>
      <c r="W918" s="2029"/>
      <c r="X918" s="2029"/>
      <c r="Y918" s="2029"/>
      <c r="Z918" s="2030"/>
      <c r="AA918" s="2261"/>
      <c r="AB918" s="2262"/>
      <c r="AC918" s="2262"/>
      <c r="AD918" s="2262"/>
      <c r="AE918" s="2262"/>
      <c r="AF918" s="226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42" t="s">
        <v>626</v>
      </c>
      <c r="V919" s="2029"/>
      <c r="W919" s="2029"/>
      <c r="X919" s="2029"/>
      <c r="Y919" s="2029"/>
      <c r="Z919" s="2030"/>
      <c r="AA919" s="2261"/>
      <c r="AB919" s="2262"/>
      <c r="AC919" s="2262"/>
      <c r="AD919" s="2262"/>
      <c r="AE919" s="2262"/>
      <c r="AF919" s="226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42" t="s">
        <v>626</v>
      </c>
      <c r="V920" s="2029"/>
      <c r="W920" s="2029"/>
      <c r="X920" s="2029"/>
      <c r="Y920" s="2029"/>
      <c r="Z920" s="2030"/>
      <c r="AA920" s="2261"/>
      <c r="AB920" s="2262"/>
      <c r="AC920" s="2262"/>
      <c r="AD920" s="2262"/>
      <c r="AE920" s="2262"/>
      <c r="AF920" s="226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42" t="s">
        <v>626</v>
      </c>
      <c r="V921" s="2029"/>
      <c r="W921" s="2029"/>
      <c r="X921" s="2029"/>
      <c r="Y921" s="2029"/>
      <c r="Z921" s="2030"/>
      <c r="AA921" s="2261"/>
      <c r="AB921" s="2262"/>
      <c r="AC921" s="2262"/>
      <c r="AD921" s="2262"/>
      <c r="AE921" s="2262"/>
      <c r="AF921" s="226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42" t="s">
        <v>626</v>
      </c>
      <c r="V922" s="2029"/>
      <c r="W922" s="2029"/>
      <c r="X922" s="2029"/>
      <c r="Y922" s="2029"/>
      <c r="Z922" s="2030"/>
      <c r="AA922" s="2261"/>
      <c r="AB922" s="2262"/>
      <c r="AC922" s="2262"/>
      <c r="AD922" s="2262"/>
      <c r="AE922" s="2262"/>
      <c r="AF922" s="226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42" t="s">
        <v>626</v>
      </c>
      <c r="V923" s="2029"/>
      <c r="W923" s="2029"/>
      <c r="X923" s="2029"/>
      <c r="Y923" s="2029"/>
      <c r="Z923" s="2030"/>
      <c r="AA923" s="2261"/>
      <c r="AB923" s="2262"/>
      <c r="AC923" s="2262"/>
      <c r="AD923" s="2262"/>
      <c r="AE923" s="2262"/>
      <c r="AF923" s="226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42" t="s">
        <v>626</v>
      </c>
      <c r="V924" s="2029"/>
      <c r="W924" s="2029"/>
      <c r="X924" s="2029"/>
      <c r="Y924" s="2029"/>
      <c r="Z924" s="2030"/>
      <c r="AA924" s="2261"/>
      <c r="AB924" s="2262"/>
      <c r="AC924" s="2262"/>
      <c r="AD924" s="2262"/>
      <c r="AE924" s="2262"/>
      <c r="AF924" s="226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42" t="s">
        <v>626</v>
      </c>
      <c r="V925" s="2029"/>
      <c r="W925" s="2029"/>
      <c r="X925" s="2029"/>
      <c r="Y925" s="2029"/>
      <c r="Z925" s="2030"/>
      <c r="AA925" s="2261"/>
      <c r="AB925" s="2262"/>
      <c r="AC925" s="2262"/>
      <c r="AD925" s="2262"/>
      <c r="AE925" s="2262"/>
      <c r="AF925" s="226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42" t="s">
        <v>626</v>
      </c>
      <c r="V926" s="2029"/>
      <c r="W926" s="2029"/>
      <c r="X926" s="2029"/>
      <c r="Y926" s="2029"/>
      <c r="Z926" s="2030"/>
      <c r="AA926" s="2261"/>
      <c r="AB926" s="2262"/>
      <c r="AC926" s="2262"/>
      <c r="AD926" s="2262"/>
      <c r="AE926" s="2262"/>
      <c r="AF926" s="226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42" t="s">
        <v>626</v>
      </c>
      <c r="V927" s="2029"/>
      <c r="W927" s="2029"/>
      <c r="X927" s="2029"/>
      <c r="Y927" s="2029"/>
      <c r="Z927" s="2030"/>
      <c r="AA927" s="2261"/>
      <c r="AB927" s="2262"/>
      <c r="AC927" s="2262"/>
      <c r="AD927" s="2262"/>
      <c r="AE927" s="2262"/>
      <c r="AF927" s="226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42" t="s">
        <v>626</v>
      </c>
      <c r="V928" s="2029"/>
      <c r="W928" s="2029"/>
      <c r="X928" s="2029"/>
      <c r="Y928" s="2029"/>
      <c r="Z928" s="2030"/>
      <c r="AA928" s="2261"/>
      <c r="AB928" s="2262"/>
      <c r="AC928" s="2262"/>
      <c r="AD928" s="2262"/>
      <c r="AE928" s="2262"/>
      <c r="AF928" s="226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42" t="s">
        <v>626</v>
      </c>
      <c r="V929" s="2029"/>
      <c r="W929" s="2029"/>
      <c r="X929" s="2029"/>
      <c r="Y929" s="2029"/>
      <c r="Z929" s="2030"/>
      <c r="AA929" s="2261"/>
      <c r="AB929" s="2262"/>
      <c r="AC929" s="2262"/>
      <c r="AD929" s="2262"/>
      <c r="AE929" s="2262"/>
      <c r="AF929" s="226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42" t="s">
        <v>706</v>
      </c>
      <c r="Q930" s="2029"/>
      <c r="R930" s="2029"/>
      <c r="S930" s="2029"/>
      <c r="T930" s="2030"/>
      <c r="U930" s="2342" t="s">
        <v>626</v>
      </c>
      <c r="V930" s="2029"/>
      <c r="W930" s="2029"/>
      <c r="X930" s="2029"/>
      <c r="Y930" s="2029"/>
      <c r="Z930" s="2030"/>
      <c r="AA930" s="2261"/>
      <c r="AB930" s="2262"/>
      <c r="AC930" s="2262"/>
      <c r="AD930" s="2262"/>
      <c r="AE930" s="2262"/>
      <c r="AF930" s="226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0" t="s">
        <v>344</v>
      </c>
      <c r="J931" s="2392"/>
      <c r="K931" s="2392"/>
      <c r="L931" s="2392"/>
      <c r="M931" s="2392"/>
      <c r="N931" s="2392"/>
      <c r="O931" s="2392"/>
      <c r="P931" s="2392"/>
      <c r="Q931" s="2392"/>
      <c r="R931" s="2392"/>
      <c r="S931" s="2392"/>
      <c r="T931" s="2393"/>
      <c r="U931" s="2342" t="s">
        <v>626</v>
      </c>
      <c r="V931" s="2029"/>
      <c r="W931" s="2029"/>
      <c r="X931" s="2029"/>
      <c r="Y931" s="2029"/>
      <c r="Z931" s="2030"/>
      <c r="AA931" s="2261"/>
      <c r="AB931" s="2262"/>
      <c r="AC931" s="2262"/>
      <c r="AD931" s="2262"/>
      <c r="AE931" s="2262"/>
      <c r="AF931" s="226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4" t="s">
        <v>344</v>
      </c>
      <c r="J932" s="2381"/>
      <c r="K932" s="2381"/>
      <c r="L932" s="2381"/>
      <c r="M932" s="2381"/>
      <c r="N932" s="2381"/>
      <c r="O932" s="2381"/>
      <c r="P932" s="2381"/>
      <c r="Q932" s="2381"/>
      <c r="R932" s="2381"/>
      <c r="S932" s="2381"/>
      <c r="T932" s="2382"/>
      <c r="U932" s="2342" t="s">
        <v>626</v>
      </c>
      <c r="V932" s="2029"/>
      <c r="W932" s="2029"/>
      <c r="X932" s="2029"/>
      <c r="Y932" s="2029"/>
      <c r="Z932" s="2030"/>
      <c r="AA932" s="2261"/>
      <c r="AB932" s="2262"/>
      <c r="AC932" s="2262"/>
      <c r="AD932" s="2262"/>
      <c r="AE932" s="2262"/>
      <c r="AF932" s="226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80"/>
      <c r="J933" s="2381"/>
      <c r="K933" s="2381"/>
      <c r="L933" s="2381"/>
      <c r="M933" s="2381"/>
      <c r="N933" s="2381"/>
      <c r="O933" s="2381"/>
      <c r="P933" s="2381"/>
      <c r="Q933" s="2381"/>
      <c r="R933" s="2381"/>
      <c r="S933" s="2381"/>
      <c r="T933" s="2382"/>
      <c r="U933" s="2342" t="s">
        <v>626</v>
      </c>
      <c r="V933" s="2029"/>
      <c r="W933" s="2029"/>
      <c r="X933" s="2029"/>
      <c r="Y933" s="2029"/>
      <c r="Z933" s="2030"/>
      <c r="AA933" s="2261"/>
      <c r="AB933" s="2262"/>
      <c r="AC933" s="2262"/>
      <c r="AD933" s="2262"/>
      <c r="AE933" s="2262"/>
      <c r="AF933" s="226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84" t="s">
        <v>344</v>
      </c>
      <c r="J934" s="2381"/>
      <c r="K934" s="2381"/>
      <c r="L934" s="2381"/>
      <c r="M934" s="2381"/>
      <c r="N934" s="2381"/>
      <c r="O934" s="2381"/>
      <c r="P934" s="2381"/>
      <c r="Q934" s="2381"/>
      <c r="R934" s="2381"/>
      <c r="S934" s="2381"/>
      <c r="T934" s="2382"/>
      <c r="U934" s="2342" t="s">
        <v>626</v>
      </c>
      <c r="V934" s="2029"/>
      <c r="W934" s="2029"/>
      <c r="X934" s="2029"/>
      <c r="Y934" s="2029"/>
      <c r="Z934" s="2030"/>
      <c r="AA934" s="2261"/>
      <c r="AB934" s="2262"/>
      <c r="AC934" s="2262"/>
      <c r="AD934" s="2262"/>
      <c r="AE934" s="2262"/>
      <c r="AF934" s="226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85"/>
      <c r="N939" s="2348"/>
      <c r="O939" s="2348"/>
      <c r="P939" s="2348"/>
      <c r="Q939" s="2348"/>
      <c r="R939" s="2348"/>
      <c r="S939" s="2386"/>
      <c r="U939" s="103" t="s">
        <v>11</v>
      </c>
      <c r="V939" s="77"/>
      <c r="W939" s="77"/>
      <c r="X939" s="77"/>
      <c r="Y939" s="77"/>
      <c r="Z939" s="77"/>
      <c r="AA939" s="77"/>
      <c r="AB939" s="77"/>
      <c r="AC939" s="77"/>
      <c r="AD939" s="78"/>
      <c r="AE939" s="2385"/>
      <c r="AF939" s="2348"/>
      <c r="AG939" s="2348"/>
      <c r="AH939" s="2348"/>
      <c r="AI939" s="2348"/>
      <c r="AJ939" s="2348"/>
      <c r="AK939" s="23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94"/>
      <c r="N940" s="2395"/>
      <c r="O940" s="2395"/>
      <c r="P940" s="2395"/>
      <c r="Q940" s="2395"/>
      <c r="R940" s="2395"/>
      <c r="S940" s="2396"/>
      <c r="U940" s="103" t="s">
        <v>12</v>
      </c>
      <c r="V940" s="77"/>
      <c r="W940" s="77"/>
      <c r="X940" s="77"/>
      <c r="Y940" s="77"/>
      <c r="Z940" s="77"/>
      <c r="AA940" s="77"/>
      <c r="AB940" s="77"/>
      <c r="AC940" s="77"/>
      <c r="AD940" s="78"/>
      <c r="AE940" s="2394"/>
      <c r="AF940" s="2395"/>
      <c r="AG940" s="2395"/>
      <c r="AH940" s="2395"/>
      <c r="AI940" s="2395"/>
      <c r="AJ940" s="2395"/>
      <c r="AK940" s="239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98" t="s">
        <v>317</v>
      </c>
      <c r="K941" s="2399"/>
      <c r="L941" s="2399"/>
      <c r="M941" s="2399"/>
      <c r="N941" s="2399"/>
      <c r="O941" s="2399"/>
      <c r="P941" s="2399"/>
      <c r="Q941" s="2399"/>
      <c r="R941" s="2399"/>
      <c r="S941" s="2400"/>
      <c r="U941" s="103" t="s">
        <v>947</v>
      </c>
      <c r="V941" s="77"/>
      <c r="W941" s="77"/>
      <c r="AB941" s="2398" t="s">
        <v>317</v>
      </c>
      <c r="AC941" s="2399"/>
      <c r="AD941" s="2399"/>
      <c r="AE941" s="2399"/>
      <c r="AF941" s="2399"/>
      <c r="AG941" s="2399"/>
      <c r="AH941" s="2399"/>
      <c r="AI941" s="2399"/>
      <c r="AJ941" s="2399"/>
      <c r="AK941" s="240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2"/>
      <c r="N942" s="2408"/>
      <c r="O942" s="2408"/>
      <c r="P942" s="2408"/>
      <c r="Q942" s="2408"/>
      <c r="R942" s="2408"/>
      <c r="S942" s="2409"/>
      <c r="U942" s="103" t="s">
        <v>13</v>
      </c>
      <c r="V942" s="77"/>
      <c r="W942" s="77"/>
      <c r="X942" s="77"/>
      <c r="Y942" s="77"/>
      <c r="Z942" s="77"/>
      <c r="AA942" s="77"/>
      <c r="AB942" s="77"/>
      <c r="AC942" s="77"/>
      <c r="AD942" s="78"/>
      <c r="AE942" s="2407"/>
      <c r="AF942" s="2408"/>
      <c r="AG942" s="2408"/>
      <c r="AH942" s="2408"/>
      <c r="AI942" s="2408"/>
      <c r="AJ942" s="2408"/>
      <c r="AK942" s="24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2"/>
      <c r="N943" s="2313"/>
      <c r="O943" s="2313"/>
      <c r="P943" s="2313"/>
      <c r="Q943" s="2313"/>
      <c r="R943" s="2313"/>
      <c r="S943" s="2314"/>
      <c r="U943" s="103" t="s">
        <v>14</v>
      </c>
      <c r="V943" s="77"/>
      <c r="W943" s="77"/>
      <c r="X943" s="77"/>
      <c r="Y943" s="77"/>
      <c r="Z943" s="77"/>
      <c r="AA943" s="77"/>
      <c r="AB943" s="77"/>
      <c r="AC943" s="77"/>
      <c r="AD943" s="78"/>
      <c r="AE943" s="2312"/>
      <c r="AF943" s="2313"/>
      <c r="AG943" s="2313"/>
      <c r="AH943" s="2313"/>
      <c r="AI943" s="2313"/>
      <c r="AJ943" s="2313"/>
      <c r="AK943" s="231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61"/>
      <c r="N944" s="2262"/>
      <c r="O944" s="2262"/>
      <c r="P944" s="2262"/>
      <c r="Q944" s="2262"/>
      <c r="R944" s="2262"/>
      <c r="S944" s="2263"/>
      <c r="U944" s="103" t="s">
        <v>15</v>
      </c>
      <c r="V944" s="77"/>
      <c r="W944" s="77"/>
      <c r="X944" s="77"/>
      <c r="Y944" s="77"/>
      <c r="Z944" s="77"/>
      <c r="AA944" s="77"/>
      <c r="AB944" s="77"/>
      <c r="AC944" s="77"/>
      <c r="AD944" s="78"/>
      <c r="AE944" s="2261"/>
      <c r="AF944" s="2262"/>
      <c r="AG944" s="2262"/>
      <c r="AH944" s="2262"/>
      <c r="AI944" s="2262"/>
      <c r="AJ944" s="2262"/>
      <c r="AK944" s="226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61"/>
      <c r="N945" s="2262"/>
      <c r="O945" s="2262"/>
      <c r="P945" s="2262"/>
      <c r="Q945" s="2262"/>
      <c r="R945" s="2262"/>
      <c r="S945" s="2263"/>
      <c r="U945" s="103" t="s">
        <v>16</v>
      </c>
      <c r="V945" s="77"/>
      <c r="W945" s="77"/>
      <c r="X945" s="77"/>
      <c r="Y945" s="77"/>
      <c r="Z945" s="77"/>
      <c r="AA945" s="77"/>
      <c r="AB945" s="77"/>
      <c r="AC945" s="77"/>
      <c r="AD945" s="78"/>
      <c r="AE945" s="2261"/>
      <c r="AF945" s="2262"/>
      <c r="AG945" s="2262"/>
      <c r="AH945" s="2262"/>
      <c r="AI945" s="2262"/>
      <c r="AJ945" s="2262"/>
      <c r="AK945" s="226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85"/>
      <c r="N946" s="2186"/>
      <c r="O946" s="2186"/>
      <c r="P946" s="2186"/>
      <c r="Q946" s="2186"/>
      <c r="R946" s="2186"/>
      <c r="S946" s="2187"/>
      <c r="U946" s="103" t="s">
        <v>605</v>
      </c>
      <c r="V946" s="77"/>
      <c r="W946" s="77"/>
      <c r="X946" s="77"/>
      <c r="Y946" s="77"/>
      <c r="Z946" s="77"/>
      <c r="AA946" s="77"/>
      <c r="AB946" s="77"/>
      <c r="AC946" s="77"/>
      <c r="AD946" s="78"/>
      <c r="AE946" s="2185"/>
      <c r="AF946" s="2186"/>
      <c r="AG946" s="2186"/>
      <c r="AH946" s="2186"/>
      <c r="AI946" s="2186"/>
      <c r="AJ946" s="2186"/>
      <c r="AK946" s="21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64"/>
      <c r="N951" s="2265"/>
      <c r="O951" s="2265"/>
      <c r="P951" s="2265"/>
      <c r="Q951" s="2265"/>
      <c r="R951" s="2265"/>
      <c r="S951" s="2266"/>
      <c r="T951" s="103" t="s">
        <v>850</v>
      </c>
      <c r="U951" s="77"/>
      <c r="V951" s="77"/>
      <c r="W951" s="77"/>
      <c r="X951" s="77"/>
      <c r="Y951" s="77"/>
      <c r="Z951" s="78"/>
      <c r="AA951" s="2264"/>
      <c r="AB951" s="2265"/>
      <c r="AC951" s="2265"/>
      <c r="AD951" s="2265"/>
      <c r="AE951" s="2265"/>
      <c r="AF951" s="2265"/>
      <c r="AG951" s="226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64"/>
      <c r="N952" s="2265"/>
      <c r="O952" s="2265"/>
      <c r="P952" s="2265"/>
      <c r="Q952" s="2265"/>
      <c r="R952" s="2265"/>
      <c r="S952" s="2266"/>
      <c r="T952" s="103" t="s">
        <v>849</v>
      </c>
      <c r="U952" s="77"/>
      <c r="V952" s="77"/>
      <c r="W952" s="77"/>
      <c r="X952" s="77"/>
      <c r="Y952" s="77"/>
      <c r="Z952" s="78"/>
      <c r="AA952" s="2264"/>
      <c r="AB952" s="2265"/>
      <c r="AC952" s="2265"/>
      <c r="AD952" s="2265"/>
      <c r="AE952" s="2265"/>
      <c r="AF952" s="2265"/>
      <c r="AG952" s="226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267" t="s">
        <v>626</v>
      </c>
      <c r="N953" s="2268"/>
      <c r="O953" s="2268"/>
      <c r="P953" s="2268"/>
      <c r="Q953" s="2268"/>
      <c r="R953" s="2268"/>
      <c r="S953" s="2269"/>
      <c r="T953" s="76" t="s">
        <v>347</v>
      </c>
      <c r="U953" s="77"/>
      <c r="V953" s="77"/>
      <c r="W953" s="77"/>
      <c r="X953" s="77"/>
      <c r="Y953" s="77"/>
      <c r="Z953" s="78"/>
      <c r="AA953" s="2264"/>
      <c r="AB953" s="2265"/>
      <c r="AC953" s="2265"/>
      <c r="AD953" s="2265"/>
      <c r="AE953" s="2265"/>
      <c r="AF953" s="2265"/>
      <c r="AG953" s="226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64"/>
      <c r="N954" s="2265"/>
      <c r="O954" s="2265"/>
      <c r="P954" s="2265"/>
      <c r="Q954" s="2265"/>
      <c r="R954" s="2265"/>
      <c r="S954" s="2266"/>
      <c r="T954" s="76" t="s">
        <v>348</v>
      </c>
      <c r="U954" s="77"/>
      <c r="V954" s="77"/>
      <c r="W954" s="77"/>
      <c r="X954" s="77"/>
      <c r="Y954" s="77"/>
      <c r="Z954" s="78"/>
      <c r="AA954" s="2264"/>
      <c r="AB954" s="2265"/>
      <c r="AC954" s="2265"/>
      <c r="AD954" s="2265"/>
      <c r="AE954" s="2265"/>
      <c r="AF954" s="2265"/>
      <c r="AG954" s="226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64"/>
      <c r="N955" s="2265"/>
      <c r="O955" s="2265"/>
      <c r="P955" s="2265"/>
      <c r="Q955" s="2265"/>
      <c r="R955" s="2265"/>
      <c r="S955" s="2266"/>
      <c r="T955" s="76" t="s">
        <v>395</v>
      </c>
      <c r="U955" s="77"/>
      <c r="V955" s="77"/>
      <c r="W955" s="77"/>
      <c r="X955" s="77"/>
      <c r="Y955" s="77"/>
      <c r="Z955" s="78"/>
      <c r="AA955" s="2264"/>
      <c r="AB955" s="2265"/>
      <c r="AC955" s="2265"/>
      <c r="AD955" s="2265"/>
      <c r="AE955" s="2265"/>
      <c r="AF955" s="2265"/>
      <c r="AG955" s="226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258" t="s">
        <v>317</v>
      </c>
      <c r="N956" s="2259"/>
      <c r="O956" s="2259"/>
      <c r="P956" s="2259"/>
      <c r="Q956" s="2259"/>
      <c r="R956" s="2259"/>
      <c r="S956" s="2260"/>
      <c r="T956" s="2389"/>
      <c r="U956" s="2390"/>
      <c r="V956" s="2390"/>
      <c r="W956" s="2390"/>
      <c r="X956" s="2390"/>
      <c r="Y956" s="2390"/>
      <c r="Z956" s="2391"/>
      <c r="AA956" s="2264"/>
      <c r="AB956" s="2265"/>
      <c r="AC956" s="2265"/>
      <c r="AD956" s="2265"/>
      <c r="AE956" s="2265"/>
      <c r="AF956" s="2265"/>
      <c r="AG956" s="226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64"/>
      <c r="N957" s="2265"/>
      <c r="O957" s="2265"/>
      <c r="P957" s="2265"/>
      <c r="Q957" s="2265"/>
      <c r="R957" s="2265"/>
      <c r="S957" s="2266"/>
      <c r="T957" s="2389"/>
      <c r="U957" s="2390"/>
      <c r="V957" s="2390"/>
      <c r="W957" s="2390"/>
      <c r="X957" s="2390"/>
      <c r="Y957" s="2390"/>
      <c r="Z957" s="2391"/>
      <c r="AA957" s="2264"/>
      <c r="AB957" s="2265"/>
      <c r="AC957" s="2265"/>
      <c r="AD957" s="2265"/>
      <c r="AE957" s="2265"/>
      <c r="AF957" s="2265"/>
      <c r="AG957" s="226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87" t="s">
        <v>706</v>
      </c>
      <c r="P958" s="2078"/>
      <c r="Q958" s="139"/>
      <c r="R958" s="139"/>
      <c r="S958" s="140"/>
      <c r="T958" s="71" t="s">
        <v>174</v>
      </c>
      <c r="U958" s="72"/>
      <c r="V958" s="72"/>
      <c r="W958" s="2388" t="s">
        <v>344</v>
      </c>
      <c r="X958" s="2335"/>
      <c r="Y958" s="2335"/>
      <c r="Z958" s="2335"/>
      <c r="AA958" s="2335"/>
      <c r="AB958" s="2335"/>
      <c r="AC958" s="2335"/>
      <c r="AD958" s="2335"/>
      <c r="AE958" s="2335"/>
      <c r="AF958" s="2335"/>
      <c r="AG958" s="233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78" t="s">
        <v>34</v>
      </c>
      <c r="G959" s="2379"/>
      <c r="H959" s="2379"/>
      <c r="I959" s="2379"/>
      <c r="J959" s="2379"/>
      <c r="K959" s="2379"/>
      <c r="L959" s="2379"/>
      <c r="M959" s="2264"/>
      <c r="N959" s="2265"/>
      <c r="O959" s="2265"/>
      <c r="P959" s="2265"/>
      <c r="Q959" s="2265"/>
      <c r="R959" s="2265"/>
      <c r="S959" s="2266"/>
      <c r="T959" s="79"/>
      <c r="U959" s="80"/>
      <c r="V959" s="80"/>
      <c r="W959" s="80"/>
      <c r="X959" s="80"/>
      <c r="Y959" s="80"/>
      <c r="Z959" s="188" t="s">
        <v>139</v>
      </c>
      <c r="AA959" s="2401"/>
      <c r="AB959" s="2402"/>
      <c r="AC959" s="2402"/>
      <c r="AD959" s="2402"/>
      <c r="AE959" s="2402"/>
      <c r="AF959" s="2402"/>
      <c r="AG959" s="240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301" t="s">
        <v>581</v>
      </c>
      <c r="B963" s="2301"/>
      <c r="C963" s="2301"/>
      <c r="D963" s="2301"/>
      <c r="E963" s="2301"/>
      <c r="F963" s="2301"/>
      <c r="G963" s="2301"/>
      <c r="H963" s="2301"/>
      <c r="I963" s="2301"/>
      <c r="J963" s="2301"/>
      <c r="K963" s="2301"/>
      <c r="L963" s="2301"/>
      <c r="M963" s="2301"/>
      <c r="N963" s="2301"/>
      <c r="O963" s="2301"/>
      <c r="P963" s="2301"/>
      <c r="Q963" s="2301"/>
      <c r="R963" s="2301"/>
      <c r="S963" s="2301"/>
      <c r="T963" s="2301"/>
      <c r="U963" s="2301"/>
      <c r="V963" s="2301"/>
      <c r="W963" s="2301"/>
      <c r="X963" s="2301"/>
      <c r="Y963" s="2301"/>
      <c r="Z963" s="2301"/>
      <c r="AA963" s="2301"/>
      <c r="AB963" s="2301"/>
      <c r="AC963" s="2301"/>
      <c r="AD963" s="2301"/>
      <c r="AE963" s="2301"/>
      <c r="AF963" s="2301"/>
      <c r="AG963" s="2301"/>
      <c r="AH963" s="2301"/>
      <c r="AI963" s="2301"/>
      <c r="AJ963" s="2301"/>
      <c r="AK963" s="2301"/>
      <c r="AL963" s="2301"/>
      <c r="AM963" s="2301"/>
      <c r="AN963" s="2301"/>
      <c r="AO963" s="2301"/>
      <c r="AP963" s="2301"/>
      <c r="AQ963" s="2301"/>
      <c r="AR963" s="2301"/>
      <c r="AS963" s="23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301"/>
      <c r="B964" s="2301"/>
      <c r="C964" s="2301"/>
      <c r="D964" s="2301"/>
      <c r="E964" s="2301"/>
      <c r="F964" s="2301"/>
      <c r="G964" s="2301"/>
      <c r="H964" s="2301"/>
      <c r="I964" s="2301"/>
      <c r="J964" s="2301"/>
      <c r="K964" s="2301"/>
      <c r="L964" s="2301"/>
      <c r="M964" s="2301"/>
      <c r="N964" s="2301"/>
      <c r="O964" s="2301"/>
      <c r="P964" s="2301"/>
      <c r="Q964" s="2301"/>
      <c r="R964" s="2301"/>
      <c r="S964" s="2301"/>
      <c r="T964" s="2301"/>
      <c r="U964" s="2301"/>
      <c r="V964" s="2301"/>
      <c r="W964" s="2301"/>
      <c r="X964" s="2301"/>
      <c r="Y964" s="2301"/>
      <c r="Z964" s="2301"/>
      <c r="AA964" s="2301"/>
      <c r="AB964" s="2301"/>
      <c r="AC964" s="2301"/>
      <c r="AD964" s="2301"/>
      <c r="AE964" s="2301"/>
      <c r="AF964" s="2301"/>
      <c r="AG964" s="2301"/>
      <c r="AH964" s="2301"/>
      <c r="AI964" s="2301"/>
      <c r="AJ964" s="2301"/>
      <c r="AK964" s="2301"/>
      <c r="AL964" s="2301"/>
      <c r="AM964" s="2301"/>
      <c r="AN964" s="2301"/>
      <c r="AO964" s="2301"/>
      <c r="AP964" s="2301"/>
      <c r="AQ964" s="2301"/>
      <c r="AR964" s="2301"/>
      <c r="AS964" s="23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79" t="s">
        <v>673</v>
      </c>
      <c r="E968" s="2180"/>
      <c r="F968" s="2180"/>
      <c r="G968" s="2180"/>
      <c r="H968" s="2180"/>
      <c r="I968" s="2180"/>
      <c r="J968" s="2180"/>
      <c r="K968" s="2180"/>
      <c r="L968" s="2180"/>
      <c r="M968" s="2180"/>
      <c r="N968" s="2180"/>
      <c r="O968" s="2180"/>
      <c r="P968" s="2180"/>
      <c r="Q968" s="2181"/>
      <c r="R968" s="2179" t="s">
        <v>674</v>
      </c>
      <c r="S968" s="2180"/>
      <c r="T968" s="2180"/>
      <c r="U968" s="2180"/>
      <c r="V968" s="2180"/>
      <c r="W968" s="2180"/>
      <c r="X968" s="2180"/>
      <c r="Y968" s="2180"/>
      <c r="Z968" s="2180"/>
      <c r="AA968" s="2181"/>
      <c r="AB968" s="2179" t="s">
        <v>675</v>
      </c>
      <c r="AC968" s="2180"/>
      <c r="AD968" s="2180"/>
      <c r="AE968" s="2180"/>
      <c r="AF968" s="2180"/>
      <c r="AG968" s="2180"/>
      <c r="AH968" s="2180"/>
      <c r="AI968" s="2181"/>
      <c r="AJ968" s="2179" t="s">
        <v>676</v>
      </c>
      <c r="AK968" s="2180"/>
      <c r="AL968" s="2180"/>
      <c r="AM968" s="2180"/>
      <c r="AN968" s="2180"/>
      <c r="AO968" s="2180"/>
      <c r="AP968" s="2180"/>
      <c r="AQ968" s="218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270" t="s">
        <v>668</v>
      </c>
      <c r="E969" s="2271"/>
      <c r="F969" s="2271"/>
      <c r="G969" s="2271"/>
      <c r="H969" s="2271"/>
      <c r="I969" s="2271"/>
      <c r="J969" s="2271"/>
      <c r="K969" s="2271"/>
      <c r="L969" s="2271"/>
      <c r="M969" s="2271"/>
      <c r="N969" s="2271"/>
      <c r="O969" s="2271"/>
      <c r="P969" s="2271"/>
      <c r="Q969" s="2272"/>
      <c r="R969" s="2230">
        <f>IF(ISNA(IF($BN$799="4%",(INDEX($BP$809:$BT$866,MATCH($CB$799,$BO$809:$BO$866,0),MATCH(D969,$BP$808:$BT$808,0))),(INDEX($BW$809:$CA$866,MATCH($CB$799,$BV$809:$BV$866,0),MATCH(D969,$BW$808:$CA$808,0))))),0,IF($BN$799="4%",(INDEX($BP$809:$BT$866,MATCH($CB$799,$BO$809:$BO$866,0),MATCH(D969,$BP$808:$BT$808,0))),(INDEX($BW$809:$CA$866,MATCH($CB$799,$BV$809:$BV$866,0),MATCH(D969,$BW$808:$CA$808,0)))))</f>
        <v>278397</v>
      </c>
      <c r="S969" s="2230"/>
      <c r="T969" s="2230"/>
      <c r="U969" s="2230"/>
      <c r="V969" s="2230"/>
      <c r="W969" s="2230"/>
      <c r="X969" s="2230"/>
      <c r="Y969" s="2230"/>
      <c r="Z969" s="2230"/>
      <c r="AA969" s="2230"/>
      <c r="AB969" s="2182">
        <f>BN663</f>
        <v>0</v>
      </c>
      <c r="AC969" s="2183"/>
      <c r="AD969" s="2183"/>
      <c r="AE969" s="2183"/>
      <c r="AF969" s="2183"/>
      <c r="AG969" s="2183"/>
      <c r="AH969" s="2183"/>
      <c r="AI969" s="2184"/>
      <c r="AJ969" s="2305">
        <f>IF(ISERROR((R969*AB969)),0,(R969*AB969))</f>
        <v>0</v>
      </c>
      <c r="AK969" s="2306"/>
      <c r="AL969" s="2306"/>
      <c r="AM969" s="2306"/>
      <c r="AN969" s="2306"/>
      <c r="AO969" s="2306"/>
      <c r="AP969" s="2306"/>
      <c r="AQ969" s="230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270" t="s">
        <v>335</v>
      </c>
      <c r="E970" s="2271"/>
      <c r="F970" s="2271"/>
      <c r="G970" s="2271"/>
      <c r="H970" s="2271"/>
      <c r="I970" s="2271"/>
      <c r="J970" s="2271"/>
      <c r="K970" s="2271"/>
      <c r="L970" s="2271"/>
      <c r="M970" s="2271"/>
      <c r="N970" s="2271"/>
      <c r="O970" s="2271"/>
      <c r="P970" s="2271"/>
      <c r="Q970" s="2272"/>
      <c r="R970" s="2230">
        <f>IF(ISNA(IF($BN$799="4%",(INDEX($BP$809:$BT$866,MATCH($CB$799,$BO$809:$BO$866,0),MATCH(D970,$BP$808:$BT$808,0))),(INDEX($BW$809:$CA$866,MATCH($CB$799,$BV$809:$BV$866,0),MATCH(D970,$BW$808:$CA$808,0))))),0,IF($BN$799="4%",(INDEX($BP$809:$BT$866,MATCH($CB$799,$BO$809:$BO$866,0),MATCH(D970,$BP$808:$BT$808,0))),(INDEX($BW$809:$CA$866,MATCH($CB$799,$BV$809:$BV$866,0),MATCH(D970,$BW$808:$CA$808,0)))))</f>
        <v>320989</v>
      </c>
      <c r="S970" s="2230"/>
      <c r="T970" s="2230"/>
      <c r="U970" s="2230"/>
      <c r="V970" s="2230"/>
      <c r="W970" s="2230"/>
      <c r="X970" s="2230"/>
      <c r="Y970" s="2230"/>
      <c r="Z970" s="2230"/>
      <c r="AA970" s="2230"/>
      <c r="AB970" s="2182">
        <f>BS663</f>
        <v>96</v>
      </c>
      <c r="AC970" s="2183"/>
      <c r="AD970" s="2183"/>
      <c r="AE970" s="2183"/>
      <c r="AF970" s="2183"/>
      <c r="AG970" s="2183"/>
      <c r="AH970" s="2183"/>
      <c r="AI970" s="2184"/>
      <c r="AJ970" s="2305">
        <f>IF(ISERROR((R970*AB970)),0,(R970*AB970))</f>
        <v>30814944</v>
      </c>
      <c r="AK970" s="2306"/>
      <c r="AL970" s="2306"/>
      <c r="AM970" s="2306"/>
      <c r="AN970" s="2306"/>
      <c r="AO970" s="2306"/>
      <c r="AP970" s="2306"/>
      <c r="AQ970" s="230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270" t="s">
        <v>168</v>
      </c>
      <c r="E971" s="2271"/>
      <c r="F971" s="2271"/>
      <c r="G971" s="2271"/>
      <c r="H971" s="2271"/>
      <c r="I971" s="2271"/>
      <c r="J971" s="2271"/>
      <c r="K971" s="2271"/>
      <c r="L971" s="2271"/>
      <c r="M971" s="2271"/>
      <c r="N971" s="2271"/>
      <c r="O971" s="2271"/>
      <c r="P971" s="2271"/>
      <c r="Q971" s="2272"/>
      <c r="R971" s="2230">
        <f>IF(ISNA(IF($BN$799="4%",(INDEX($BP$809:$BT$866,MATCH($CB$799,$BO$809:$BO$866,0),MATCH(D971,$BP$808:$BT$808,0))),(INDEX($BW$809:$CA$866,MATCH($CB$799,$BV$809:$BV$866,0),MATCH(D971,$BW$808:$CA$808,0))))),0,IF($BN$799="4%",(INDEX($BP$809:$BT$866,MATCH($CB$799,$BO$809:$BO$866,0),MATCH(D971,$BP$808:$BT$808,0))),(INDEX($BW$809:$CA$866,MATCH($CB$799,$BV$809:$BV$866,0),MATCH(D971,$BW$808:$CA$808,0)))))</f>
        <v>387200</v>
      </c>
      <c r="S971" s="2230"/>
      <c r="T971" s="2230"/>
      <c r="U971" s="2230"/>
      <c r="V971" s="2230"/>
      <c r="W971" s="2230"/>
      <c r="X971" s="2230"/>
      <c r="Y971" s="2230"/>
      <c r="Z971" s="2230"/>
      <c r="AA971" s="2230"/>
      <c r="AB971" s="2182">
        <f>BX663</f>
        <v>48</v>
      </c>
      <c r="AC971" s="2183"/>
      <c r="AD971" s="2183"/>
      <c r="AE971" s="2183"/>
      <c r="AF971" s="2183"/>
      <c r="AG971" s="2183"/>
      <c r="AH971" s="2183"/>
      <c r="AI971" s="2184"/>
      <c r="AJ971" s="2305">
        <f>IF(ISERROR((R971*AB971)),0,(R971*AB971))</f>
        <v>18585600</v>
      </c>
      <c r="AK971" s="2306"/>
      <c r="AL971" s="2306"/>
      <c r="AM971" s="2306"/>
      <c r="AN971" s="2306"/>
      <c r="AO971" s="2306"/>
      <c r="AP971" s="2306"/>
      <c r="AQ971" s="230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270" t="s">
        <v>169</v>
      </c>
      <c r="E972" s="2271"/>
      <c r="F972" s="2271"/>
      <c r="G972" s="2271"/>
      <c r="H972" s="2271"/>
      <c r="I972" s="2271"/>
      <c r="J972" s="2271"/>
      <c r="K972" s="2271"/>
      <c r="L972" s="2271"/>
      <c r="M972" s="2271"/>
      <c r="N972" s="2271"/>
      <c r="O972" s="2271"/>
      <c r="P972" s="2271"/>
      <c r="Q972" s="2272"/>
      <c r="R972" s="2230">
        <f>IF(ISNA(IF($BN$799="4%",(INDEX($BP$809:$BT$866,MATCH($CB$799,$BO$809:$BO$866,0),MATCH(D972,$BP$808:$BT$808,0))),(INDEX($BW$809:$CA$866,MATCH($CB$799,$BV$809:$BV$866,0),MATCH(D972,$BW$808:$CA$808,0))))),0,IF($BN$799="4%",(INDEX($BP$809:$BT$866,MATCH($CB$799,$BO$809:$BO$866,0),MATCH(D972,$BP$808:$BT$808,0))),(INDEX($BW$809:$CA$866,MATCH($CB$799,$BV$809:$BV$866,0),MATCH(D972,$BW$808:$CA$808,0)))))</f>
        <v>495616</v>
      </c>
      <c r="S972" s="2230"/>
      <c r="T972" s="2230"/>
      <c r="U972" s="2230"/>
      <c r="V972" s="2230"/>
      <c r="W972" s="2230"/>
      <c r="X972" s="2230"/>
      <c r="Y972" s="2230"/>
      <c r="Z972" s="2230"/>
      <c r="AA972" s="2230"/>
      <c r="AB972" s="2182">
        <f>CC663</f>
        <v>50</v>
      </c>
      <c r="AC972" s="2183"/>
      <c r="AD972" s="2183"/>
      <c r="AE972" s="2183"/>
      <c r="AF972" s="2183"/>
      <c r="AG972" s="2183"/>
      <c r="AH972" s="2183"/>
      <c r="AI972" s="2184"/>
      <c r="AJ972" s="2305">
        <f>IF(ISERROR((R972*AB972)),0,(R972*AB972))</f>
        <v>24780800</v>
      </c>
      <c r="AK972" s="2306"/>
      <c r="AL972" s="2306"/>
      <c r="AM972" s="2306"/>
      <c r="AN972" s="2306"/>
      <c r="AO972" s="2306"/>
      <c r="AP972" s="2306"/>
      <c r="AQ972" s="230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270" t="s">
        <v>493</v>
      </c>
      <c r="E973" s="2271"/>
      <c r="F973" s="2271"/>
      <c r="G973" s="2271"/>
      <c r="H973" s="2271"/>
      <c r="I973" s="2271"/>
      <c r="J973" s="2271"/>
      <c r="K973" s="2271"/>
      <c r="L973" s="2271"/>
      <c r="M973" s="2271"/>
      <c r="N973" s="2271"/>
      <c r="O973" s="2271"/>
      <c r="P973" s="2271"/>
      <c r="Q973" s="2272"/>
      <c r="R973" s="2230">
        <f>IF(ISNA(IF($BN$799="4%",(INDEX($BP$809:$BT$866,MATCH($CB$799,$BO$809:$BO$866,0),MATCH(D973,$BP$808:$BT$808,0))),(INDEX($BW$809:$CA$866,MATCH($CB$799,$BV$809:$BV$866,0),MATCH(D973,$BW$808:$CA$808,0))))),0,IF($BN$799="4%",(INDEX($BP$809:$BT$866,MATCH($CB$799,$BO$809:$BO$866,0),MATCH(D973,$BP$808:$BT$808,0))),(INDEX($BW$809:$CA$866,MATCH($CB$799,$BV$809:$BV$866,0),MATCH(D973,$BW$808:$CA$808,0)))))</f>
        <v>552147</v>
      </c>
      <c r="S973" s="2230"/>
      <c r="T973" s="2230"/>
      <c r="U973" s="2230"/>
      <c r="V973" s="2230"/>
      <c r="W973" s="2230"/>
      <c r="X973" s="2230"/>
      <c r="Y973" s="2230"/>
      <c r="Z973" s="2230"/>
      <c r="AA973" s="2230"/>
      <c r="AB973" s="2182">
        <f>CM663+CH663</f>
        <v>0</v>
      </c>
      <c r="AC973" s="2183"/>
      <c r="AD973" s="2183"/>
      <c r="AE973" s="2183"/>
      <c r="AF973" s="2183"/>
      <c r="AG973" s="2183"/>
      <c r="AH973" s="2183"/>
      <c r="AI973" s="2184"/>
      <c r="AJ973" s="2305">
        <f>IF(ISERROR((R973*AB973)),0,(R973*AB973))</f>
        <v>0</v>
      </c>
      <c r="AK973" s="2306"/>
      <c r="AL973" s="2306"/>
      <c r="AM973" s="2306"/>
      <c r="AN973" s="2306"/>
      <c r="AO973" s="2306"/>
      <c r="AP973" s="2306"/>
      <c r="AQ973" s="230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216" t="s">
        <v>851</v>
      </c>
      <c r="C974" s="2217"/>
      <c r="D974" s="2217"/>
      <c r="E974" s="2217"/>
      <c r="F974" s="2217"/>
      <c r="G974" s="2217"/>
      <c r="H974" s="2217"/>
      <c r="I974" s="2217"/>
      <c r="J974" s="2217"/>
      <c r="K974" s="2217"/>
      <c r="L974" s="2217"/>
      <c r="M974" s="2217"/>
      <c r="N974" s="2217"/>
      <c r="O974" s="2217"/>
      <c r="P974" s="2217"/>
      <c r="Q974" s="2217"/>
      <c r="R974" s="2217"/>
      <c r="S974" s="2217"/>
      <c r="T974" s="2217"/>
      <c r="U974" s="2217"/>
      <c r="V974" s="2217"/>
      <c r="W974" s="2217"/>
      <c r="X974" s="2217"/>
      <c r="Y974" s="2217"/>
      <c r="Z974" s="2217"/>
      <c r="AA974" s="2218"/>
      <c r="AB974" s="2182">
        <f>SUM(AB969:AI973)</f>
        <v>194</v>
      </c>
      <c r="AC974" s="2183"/>
      <c r="AD974" s="2183"/>
      <c r="AE974" s="2183"/>
      <c r="AF974" s="2183"/>
      <c r="AG974" s="2183"/>
      <c r="AH974" s="2183"/>
      <c r="AI974" s="2184"/>
      <c r="AJ974" s="2305"/>
      <c r="AK974" s="2306"/>
      <c r="AL974" s="2306"/>
      <c r="AM974" s="2306"/>
      <c r="AN974" s="2306"/>
      <c r="AO974" s="2306"/>
      <c r="AP974" s="2306"/>
      <c r="AQ974" s="230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98" t="s">
        <v>545</v>
      </c>
      <c r="C975" s="2299"/>
      <c r="D975" s="2299"/>
      <c r="E975" s="2299"/>
      <c r="F975" s="2299"/>
      <c r="G975" s="2299"/>
      <c r="H975" s="2299"/>
      <c r="I975" s="2299"/>
      <c r="J975" s="2299"/>
      <c r="K975" s="2299"/>
      <c r="L975" s="2299"/>
      <c r="M975" s="2299"/>
      <c r="N975" s="2299"/>
      <c r="O975" s="2299"/>
      <c r="P975" s="2299"/>
      <c r="Q975" s="2299"/>
      <c r="R975" s="2299"/>
      <c r="S975" s="2299"/>
      <c r="T975" s="2299"/>
      <c r="U975" s="2299"/>
      <c r="V975" s="2299"/>
      <c r="W975" s="2299"/>
      <c r="X975" s="2299"/>
      <c r="Y975" s="2299"/>
      <c r="Z975" s="2299"/>
      <c r="AA975" s="2299"/>
      <c r="AB975" s="2299"/>
      <c r="AC975" s="2299"/>
      <c r="AD975" s="2299"/>
      <c r="AE975" s="2299"/>
      <c r="AF975" s="2299"/>
      <c r="AG975" s="2299"/>
      <c r="AH975" s="2299"/>
      <c r="AI975" s="2300"/>
      <c r="AJ975" s="2305">
        <f>SUM(AJ969:AQ973)</f>
        <v>74181344</v>
      </c>
      <c r="AK975" s="2306"/>
      <c r="AL975" s="2306"/>
      <c r="AM975" s="2306"/>
      <c r="AN975" s="2306"/>
      <c r="AO975" s="2306"/>
      <c r="AP975" s="2306"/>
      <c r="AQ975" s="230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213"/>
      <c r="C976" s="2214"/>
      <c r="D976" s="2214"/>
      <c r="E976" s="2214"/>
      <c r="F976" s="2214"/>
      <c r="G976" s="2214"/>
      <c r="H976" s="2214"/>
      <c r="I976" s="2214"/>
      <c r="J976" s="2214"/>
      <c r="K976" s="2214"/>
      <c r="L976" s="2214"/>
      <c r="M976" s="2214"/>
      <c r="N976" s="2214"/>
      <c r="O976" s="2214"/>
      <c r="P976" s="2214"/>
      <c r="Q976" s="2214"/>
      <c r="R976" s="2214"/>
      <c r="S976" s="2214"/>
      <c r="T976" s="2214"/>
      <c r="U976" s="2214"/>
      <c r="V976" s="2214"/>
      <c r="W976" s="2214"/>
      <c r="X976" s="2214"/>
      <c r="Y976" s="2214"/>
      <c r="Z976" s="2214"/>
      <c r="AA976" s="2214"/>
      <c r="AB976" s="2214"/>
      <c r="AC976" s="2214"/>
      <c r="AD976" s="2214"/>
      <c r="AE976" s="2215"/>
      <c r="AF976" s="2293" t="s">
        <v>703</v>
      </c>
      <c r="AG976" s="2294"/>
      <c r="AH976" s="2294"/>
      <c r="AI976" s="2295"/>
      <c r="AJ976" s="2213"/>
      <c r="AK976" s="2214"/>
      <c r="AL976" s="2214"/>
      <c r="AM976" s="2214"/>
      <c r="AN976" s="2214"/>
      <c r="AO976" s="2214"/>
      <c r="AP976" s="2214"/>
      <c r="AQ976" s="221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705</v>
      </c>
      <c r="D977" s="2203" t="s">
        <v>1437</v>
      </c>
      <c r="E977" s="2204"/>
      <c r="F977" s="2204"/>
      <c r="G977" s="2204"/>
      <c r="H977" s="2204"/>
      <c r="I977" s="2204"/>
      <c r="J977" s="2204"/>
      <c r="K977" s="2204"/>
      <c r="L977" s="2204"/>
      <c r="M977" s="2204"/>
      <c r="N977" s="2204"/>
      <c r="O977" s="2204"/>
      <c r="P977" s="2204"/>
      <c r="Q977" s="2204"/>
      <c r="R977" s="2204"/>
      <c r="S977" s="2204"/>
      <c r="T977" s="2204"/>
      <c r="U977" s="2204"/>
      <c r="V977" s="2204"/>
      <c r="W977" s="2204"/>
      <c r="X977" s="2204"/>
      <c r="Y977" s="2204"/>
      <c r="Z977" s="2204"/>
      <c r="AA977" s="2204"/>
      <c r="AB977" s="2204"/>
      <c r="AC977" s="2204"/>
      <c r="AD977" s="2204"/>
      <c r="AE977" s="2205"/>
      <c r="AF977" s="117"/>
      <c r="AG977" s="2296" t="s">
        <v>706</v>
      </c>
      <c r="AH977" s="2297"/>
      <c r="AI977" s="125"/>
      <c r="AJ977" s="2194">
        <f>ROUND(IF(AND(AG977="yes",D979&gt;0),AJ975*0.2,0),0)</f>
        <v>0</v>
      </c>
      <c r="AK977" s="2195"/>
      <c r="AL977" s="2195"/>
      <c r="AM977" s="2195"/>
      <c r="AN977" s="2195"/>
      <c r="AO977" s="2195"/>
      <c r="AP977" s="2195"/>
      <c r="AQ977" s="219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219" t="s">
        <v>1438</v>
      </c>
      <c r="E978" s="2220"/>
      <c r="F978" s="2220"/>
      <c r="G978" s="2220"/>
      <c r="H978" s="2220"/>
      <c r="I978" s="2220"/>
      <c r="J978" s="2220"/>
      <c r="K978" s="2220"/>
      <c r="L978" s="2220"/>
      <c r="M978" s="2220"/>
      <c r="N978" s="2220"/>
      <c r="O978" s="2220"/>
      <c r="P978" s="2220"/>
      <c r="Q978" s="2220"/>
      <c r="R978" s="2220"/>
      <c r="S978" s="2220"/>
      <c r="T978" s="2220"/>
      <c r="U978" s="2220"/>
      <c r="V978" s="2220"/>
      <c r="W978" s="2220"/>
      <c r="X978" s="2220"/>
      <c r="Y978" s="2220"/>
      <c r="Z978" s="2220"/>
      <c r="AA978" s="2220"/>
      <c r="AB978" s="2220"/>
      <c r="AC978" s="2220"/>
      <c r="AD978" s="2220"/>
      <c r="AE978" s="2221"/>
      <c r="AF978" s="110"/>
      <c r="AG978" s="112"/>
      <c r="AH978" s="112"/>
      <c r="AI978" s="121"/>
      <c r="AJ978" s="2197"/>
      <c r="AK978" s="2198"/>
      <c r="AL978" s="2198"/>
      <c r="AM978" s="2198"/>
      <c r="AN978" s="2198"/>
      <c r="AO978" s="2198"/>
      <c r="AP978" s="2198"/>
      <c r="AQ978" s="219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222"/>
      <c r="E979" s="2223"/>
      <c r="F979" s="2223"/>
      <c r="G979" s="2223"/>
      <c r="H979" s="2223"/>
      <c r="I979" s="2223"/>
      <c r="J979" s="2223"/>
      <c r="K979" s="2223"/>
      <c r="L979" s="2223"/>
      <c r="M979" s="2223"/>
      <c r="N979" s="2223"/>
      <c r="O979" s="2223"/>
      <c r="P979" s="2223"/>
      <c r="Q979" s="2223"/>
      <c r="R979" s="2223"/>
      <c r="S979" s="2223"/>
      <c r="T979" s="2223"/>
      <c r="U979" s="2223"/>
      <c r="V979" s="2223"/>
      <c r="W979" s="2223"/>
      <c r="X979" s="2223"/>
      <c r="Y979" s="2223"/>
      <c r="Z979" s="2223"/>
      <c r="AA979" s="2223"/>
      <c r="AB979" s="2223"/>
      <c r="AC979" s="2223"/>
      <c r="AD979" s="2223"/>
      <c r="AE979" s="2224"/>
      <c r="AF979" s="115"/>
      <c r="AG979" s="11"/>
      <c r="AH979" s="11"/>
      <c r="AI979" s="116"/>
      <c r="AJ979" s="2200"/>
      <c r="AK979" s="2201"/>
      <c r="AL979" s="2201"/>
      <c r="AM979" s="2201"/>
      <c r="AN979" s="2201"/>
      <c r="AO979" s="2201"/>
      <c r="AP979" s="2201"/>
      <c r="AQ979" s="220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76" t="s">
        <v>1541</v>
      </c>
      <c r="E980" s="2177"/>
      <c r="F980" s="2177"/>
      <c r="G980" s="2177"/>
      <c r="H980" s="2177"/>
      <c r="I980" s="2177"/>
      <c r="J980" s="2177"/>
      <c r="K980" s="2177"/>
      <c r="L980" s="2177"/>
      <c r="M980" s="2177"/>
      <c r="N980" s="2177"/>
      <c r="O980" s="2177"/>
      <c r="P980" s="2177"/>
      <c r="Q980" s="2177"/>
      <c r="R980" s="2177"/>
      <c r="S980" s="2177"/>
      <c r="T980" s="2177"/>
      <c r="U980" s="2177"/>
      <c r="V980" s="2177"/>
      <c r="W980" s="2177"/>
      <c r="X980" s="2177"/>
      <c r="Y980" s="2177"/>
      <c r="Z980" s="2177"/>
      <c r="AA980" s="2177"/>
      <c r="AB980" s="2177"/>
      <c r="AC980" s="2177"/>
      <c r="AD980" s="2177"/>
      <c r="AE980" s="2178"/>
      <c r="AF980" s="117"/>
      <c r="AG980" s="2206" t="s">
        <v>706</v>
      </c>
      <c r="AH980" s="2207"/>
      <c r="AI980" s="125"/>
      <c r="AJ980" s="2194">
        <f>ROUND(IF(AG980="yes",AJ975*0.05,0),0)</f>
        <v>0</v>
      </c>
      <c r="AK980" s="2195"/>
      <c r="AL980" s="2195"/>
      <c r="AM980" s="2195"/>
      <c r="AN980" s="2195"/>
      <c r="AO980" s="2195"/>
      <c r="AP980" s="2195"/>
      <c r="AQ980" s="219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219" t="s">
        <v>1539</v>
      </c>
      <c r="E981" s="2220"/>
      <c r="F981" s="2220"/>
      <c r="G981" s="2220"/>
      <c r="H981" s="2220"/>
      <c r="I981" s="2220"/>
      <c r="J981" s="2220"/>
      <c r="K981" s="2220"/>
      <c r="L981" s="2220"/>
      <c r="M981" s="2220"/>
      <c r="N981" s="2220"/>
      <c r="O981" s="2220"/>
      <c r="P981" s="2220"/>
      <c r="Q981" s="2220"/>
      <c r="R981" s="2220"/>
      <c r="S981" s="2220"/>
      <c r="T981" s="2220"/>
      <c r="U981" s="2220"/>
      <c r="V981" s="2220"/>
      <c r="W981" s="2220"/>
      <c r="X981" s="2220"/>
      <c r="Y981" s="2220"/>
      <c r="Z981" s="2220"/>
      <c r="AA981" s="2220"/>
      <c r="AB981" s="2220"/>
      <c r="AC981" s="2220"/>
      <c r="AD981" s="2220"/>
      <c r="AE981" s="2221"/>
      <c r="AF981" s="110"/>
      <c r="AG981" s="112"/>
      <c r="AH981" s="112"/>
      <c r="AI981" s="121"/>
      <c r="AJ981" s="2197"/>
      <c r="AK981" s="2198"/>
      <c r="AL981" s="2198"/>
      <c r="AM981" s="2198"/>
      <c r="AN981" s="2198"/>
      <c r="AO981" s="2198"/>
      <c r="AP981" s="2198"/>
      <c r="AQ981" s="219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219"/>
      <c r="E982" s="2220"/>
      <c r="F982" s="2220"/>
      <c r="G982" s="2220"/>
      <c r="H982" s="2220"/>
      <c r="I982" s="2220"/>
      <c r="J982" s="2220"/>
      <c r="K982" s="2220"/>
      <c r="L982" s="2220"/>
      <c r="M982" s="2220"/>
      <c r="N982" s="2220"/>
      <c r="O982" s="2220"/>
      <c r="P982" s="2220"/>
      <c r="Q982" s="2220"/>
      <c r="R982" s="2220"/>
      <c r="S982" s="2220"/>
      <c r="T982" s="2220"/>
      <c r="U982" s="2220"/>
      <c r="V982" s="2220"/>
      <c r="W982" s="2220"/>
      <c r="X982" s="2220"/>
      <c r="Y982" s="2220"/>
      <c r="Z982" s="2220"/>
      <c r="AA982" s="2220"/>
      <c r="AB982" s="2220"/>
      <c r="AC982" s="2220"/>
      <c r="AD982" s="2220"/>
      <c r="AE982" s="2221"/>
      <c r="AF982" s="110"/>
      <c r="AG982" s="112"/>
      <c r="AH982" s="112"/>
      <c r="AI982" s="121"/>
      <c r="AJ982" s="2197"/>
      <c r="AK982" s="2198"/>
      <c r="AL982" s="2198"/>
      <c r="AM982" s="2198"/>
      <c r="AN982" s="2198"/>
      <c r="AO982" s="2198"/>
      <c r="AP982" s="2198"/>
      <c r="AQ982" s="219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219"/>
      <c r="E983" s="2220"/>
      <c r="F983" s="2220"/>
      <c r="G983" s="2220"/>
      <c r="H983" s="2220"/>
      <c r="I983" s="2220"/>
      <c r="J983" s="2220"/>
      <c r="K983" s="2220"/>
      <c r="L983" s="2220"/>
      <c r="M983" s="2220"/>
      <c r="N983" s="2220"/>
      <c r="O983" s="2220"/>
      <c r="P983" s="2220"/>
      <c r="Q983" s="2220"/>
      <c r="R983" s="2220"/>
      <c r="S983" s="2220"/>
      <c r="T983" s="2220"/>
      <c r="U983" s="2220"/>
      <c r="V983" s="2220"/>
      <c r="W983" s="2220"/>
      <c r="X983" s="2220"/>
      <c r="Y983" s="2220"/>
      <c r="Z983" s="2220"/>
      <c r="AA983" s="2220"/>
      <c r="AB983" s="2220"/>
      <c r="AC983" s="2220"/>
      <c r="AD983" s="2220"/>
      <c r="AE983" s="2221"/>
      <c r="AF983" s="110"/>
      <c r="AG983" s="112"/>
      <c r="AH983" s="112"/>
      <c r="AI983" s="121"/>
      <c r="AJ983" s="2197"/>
      <c r="AK983" s="2198"/>
      <c r="AL983" s="2198"/>
      <c r="AM983" s="2198"/>
      <c r="AN983" s="2198"/>
      <c r="AO983" s="2198"/>
      <c r="AP983" s="2198"/>
      <c r="AQ983" s="219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219"/>
      <c r="E984" s="2220"/>
      <c r="F984" s="2220"/>
      <c r="G984" s="2220"/>
      <c r="H984" s="2220"/>
      <c r="I984" s="2220"/>
      <c r="J984" s="2220"/>
      <c r="K984" s="2220"/>
      <c r="L984" s="2220"/>
      <c r="M984" s="2220"/>
      <c r="N984" s="2220"/>
      <c r="O984" s="2220"/>
      <c r="P984" s="2220"/>
      <c r="Q984" s="2220"/>
      <c r="R984" s="2220"/>
      <c r="S984" s="2220"/>
      <c r="T984" s="2220"/>
      <c r="U984" s="2220"/>
      <c r="V984" s="2220"/>
      <c r="W984" s="2220"/>
      <c r="X984" s="2220"/>
      <c r="Y984" s="2220"/>
      <c r="Z984" s="2220"/>
      <c r="AA984" s="2220"/>
      <c r="AB984" s="2220"/>
      <c r="AC984" s="2220"/>
      <c r="AD984" s="2220"/>
      <c r="AE984" s="2221"/>
      <c r="AF984" s="110"/>
      <c r="AG984" s="112"/>
      <c r="AH984" s="112"/>
      <c r="AI984" s="121"/>
      <c r="AJ984" s="2197"/>
      <c r="AK984" s="2198"/>
      <c r="AL984" s="2198"/>
      <c r="AM984" s="2198"/>
      <c r="AN984" s="2198"/>
      <c r="AO984" s="2198"/>
      <c r="AP984" s="2198"/>
      <c r="AQ984" s="219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225"/>
      <c r="E985" s="2226"/>
      <c r="F985" s="2226"/>
      <c r="G985" s="2226"/>
      <c r="H985" s="2226"/>
      <c r="I985" s="2226"/>
      <c r="J985" s="2226"/>
      <c r="K985" s="2226"/>
      <c r="L985" s="2226"/>
      <c r="M985" s="2226"/>
      <c r="N985" s="2226"/>
      <c r="O985" s="2226"/>
      <c r="P985" s="2226"/>
      <c r="Q985" s="2226"/>
      <c r="R985" s="2226"/>
      <c r="S985" s="2226"/>
      <c r="T985" s="2226"/>
      <c r="U985" s="2226"/>
      <c r="V985" s="2226"/>
      <c r="W985" s="2226"/>
      <c r="X985" s="2226"/>
      <c r="Y985" s="2226"/>
      <c r="Z985" s="2226"/>
      <c r="AA985" s="2226"/>
      <c r="AB985" s="2226"/>
      <c r="AC985" s="2226"/>
      <c r="AD985" s="2226"/>
      <c r="AE985" s="2227"/>
      <c r="AF985" s="115"/>
      <c r="AG985" s="11"/>
      <c r="AH985" s="11"/>
      <c r="AI985" s="116"/>
      <c r="AJ985" s="2200"/>
      <c r="AK985" s="2201"/>
      <c r="AL985" s="2201"/>
      <c r="AM985" s="2201"/>
      <c r="AN985" s="2201"/>
      <c r="AO985" s="2201"/>
      <c r="AP985" s="2201"/>
      <c r="AQ985" s="220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176" t="s">
        <v>2183</v>
      </c>
      <c r="E986" s="2177"/>
      <c r="F986" s="2177"/>
      <c r="G986" s="2177"/>
      <c r="H986" s="2177"/>
      <c r="I986" s="2177"/>
      <c r="J986" s="2177"/>
      <c r="K986" s="2177"/>
      <c r="L986" s="2177"/>
      <c r="M986" s="2177"/>
      <c r="N986" s="2177"/>
      <c r="O986" s="2177"/>
      <c r="P986" s="2177"/>
      <c r="Q986" s="2177"/>
      <c r="R986" s="2177"/>
      <c r="S986" s="2177"/>
      <c r="T986" s="2177"/>
      <c r="U986" s="2177"/>
      <c r="V986" s="2177"/>
      <c r="W986" s="2177"/>
      <c r="X986" s="2177"/>
      <c r="Y986" s="2177"/>
      <c r="Z986" s="2177"/>
      <c r="AA986" s="2177"/>
      <c r="AB986" s="2177"/>
      <c r="AC986" s="2177"/>
      <c r="AD986" s="2177"/>
      <c r="AE986" s="2178"/>
      <c r="AF986" s="124"/>
      <c r="AG986" s="2206" t="s">
        <v>706</v>
      </c>
      <c r="AH986" s="2207"/>
      <c r="AI986" s="125"/>
      <c r="AJ986" s="2194">
        <f>ROUND(IF(AG986="yes",AJ975*0.1,0),0)</f>
        <v>0</v>
      </c>
      <c r="AK986" s="2195"/>
      <c r="AL986" s="2195"/>
      <c r="AM986" s="2195"/>
      <c r="AN986" s="2195"/>
      <c r="AO986" s="2195"/>
      <c r="AP986" s="2195"/>
      <c r="AQ986" s="219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70" t="s">
        <v>1540</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97"/>
      <c r="AK987" s="2198"/>
      <c r="AL987" s="2198"/>
      <c r="AM987" s="2198"/>
      <c r="AN987" s="2198"/>
      <c r="AO987" s="2198"/>
      <c r="AP987" s="2198"/>
      <c r="AQ987" s="2199"/>
      <c r="AR987" s="1585"/>
      <c r="AS987" s="1585"/>
      <c r="AT987" s="1585"/>
      <c r="AU987" s="1585"/>
      <c r="AV987" s="1585"/>
      <c r="AW987" s="1585"/>
      <c r="AX987" s="1585"/>
      <c r="AY987" s="1585"/>
      <c r="AZ987" s="61"/>
      <c r="BA987" s="1614">
        <f>G753+O796</f>
        <v>192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97"/>
      <c r="AK988" s="2198"/>
      <c r="AL988" s="2198"/>
      <c r="AM988" s="2198"/>
      <c r="AN988" s="2198"/>
      <c r="AO988" s="2198"/>
      <c r="AP988" s="2198"/>
      <c r="AQ988" s="219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210"/>
      <c r="E989" s="2211"/>
      <c r="F989" s="2211"/>
      <c r="G989" s="2211"/>
      <c r="H989" s="2211"/>
      <c r="I989" s="2211"/>
      <c r="J989" s="2211"/>
      <c r="K989" s="2211"/>
      <c r="L989" s="2211"/>
      <c r="M989" s="2211"/>
      <c r="N989" s="2211"/>
      <c r="O989" s="2211"/>
      <c r="P989" s="2211"/>
      <c r="Q989" s="2211"/>
      <c r="R989" s="2211"/>
      <c r="S989" s="2211"/>
      <c r="T989" s="2211"/>
      <c r="U989" s="2211"/>
      <c r="V989" s="2211"/>
      <c r="W989" s="2211"/>
      <c r="X989" s="2211"/>
      <c r="Y989" s="2211"/>
      <c r="Z989" s="2211"/>
      <c r="AA989" s="2211"/>
      <c r="AB989" s="2211"/>
      <c r="AC989" s="2211"/>
      <c r="AD989" s="2211"/>
      <c r="AE989" s="2212"/>
      <c r="AF989" s="115"/>
      <c r="AG989" s="11"/>
      <c r="AH989" s="11"/>
      <c r="AI989" s="116"/>
      <c r="AJ989" s="2200"/>
      <c r="AK989" s="2201"/>
      <c r="AL989" s="2201"/>
      <c r="AM989" s="2201"/>
      <c r="AN989" s="2201"/>
      <c r="AO989" s="2201"/>
      <c r="AP989" s="2201"/>
      <c r="AQ989" s="2202"/>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76" t="s">
        <v>1542</v>
      </c>
      <c r="E990" s="2177"/>
      <c r="F990" s="2177"/>
      <c r="G990" s="2177"/>
      <c r="H990" s="2177"/>
      <c r="I990" s="2177"/>
      <c r="J990" s="2177"/>
      <c r="K990" s="2177"/>
      <c r="L990" s="2177"/>
      <c r="M990" s="2177"/>
      <c r="N990" s="2177"/>
      <c r="O990" s="2177"/>
      <c r="P990" s="2177"/>
      <c r="Q990" s="2177"/>
      <c r="R990" s="2177"/>
      <c r="S990" s="2177"/>
      <c r="T990" s="2177"/>
      <c r="U990" s="2177"/>
      <c r="V990" s="2177"/>
      <c r="W990" s="2177"/>
      <c r="X990" s="2177"/>
      <c r="Y990" s="2177"/>
      <c r="Z990" s="2177"/>
      <c r="AA990" s="2177"/>
      <c r="AB990" s="2177"/>
      <c r="AC990" s="2177"/>
      <c r="AD990" s="2177"/>
      <c r="AE990" s="2178"/>
      <c r="AF990" s="117"/>
      <c r="AG990" s="2206" t="s">
        <v>706</v>
      </c>
      <c r="AH990" s="2207"/>
      <c r="AI990" s="125"/>
      <c r="AJ990" s="2194">
        <f>ROUND(IF(AG990="yes",AJ975*0.02,0),0)</f>
        <v>0</v>
      </c>
      <c r="AK990" s="2195"/>
      <c r="AL990" s="2195"/>
      <c r="AM990" s="2195"/>
      <c r="AN990" s="2195"/>
      <c r="AO990" s="2195"/>
      <c r="AP990" s="2195"/>
      <c r="AQ990" s="2196"/>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210" t="s">
        <v>1543</v>
      </c>
      <c r="E991" s="2211"/>
      <c r="F991" s="2211"/>
      <c r="G991" s="2211"/>
      <c r="H991" s="2211"/>
      <c r="I991" s="2211"/>
      <c r="J991" s="2211"/>
      <c r="K991" s="2211"/>
      <c r="L991" s="2211"/>
      <c r="M991" s="2211"/>
      <c r="N991" s="2211"/>
      <c r="O991" s="2211"/>
      <c r="P991" s="2211"/>
      <c r="Q991" s="2211"/>
      <c r="R991" s="2211"/>
      <c r="S991" s="2211"/>
      <c r="T991" s="2211"/>
      <c r="U991" s="2211"/>
      <c r="V991" s="2211"/>
      <c r="W991" s="2211"/>
      <c r="X991" s="2211"/>
      <c r="Y991" s="2211"/>
      <c r="Z991" s="2211"/>
      <c r="AA991" s="2211"/>
      <c r="AB991" s="2211"/>
      <c r="AC991" s="2211"/>
      <c r="AD991" s="2211"/>
      <c r="AE991" s="2212"/>
      <c r="AF991" s="115"/>
      <c r="AG991" s="11"/>
      <c r="AH991" s="11"/>
      <c r="AI991" s="116"/>
      <c r="AJ991" s="2200"/>
      <c r="AK991" s="2201"/>
      <c r="AL991" s="2201"/>
      <c r="AM991" s="2201"/>
      <c r="AN991" s="2201"/>
      <c r="AO991" s="2201"/>
      <c r="AP991" s="2201"/>
      <c r="AQ991" s="220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176" t="s">
        <v>1544</v>
      </c>
      <c r="E992" s="2177"/>
      <c r="F992" s="2177"/>
      <c r="G992" s="2177"/>
      <c r="H992" s="2177"/>
      <c r="I992" s="2177"/>
      <c r="J992" s="2177"/>
      <c r="K992" s="2177"/>
      <c r="L992" s="2177"/>
      <c r="M992" s="2177"/>
      <c r="N992" s="2177"/>
      <c r="O992" s="2177"/>
      <c r="P992" s="2177"/>
      <c r="Q992" s="2177"/>
      <c r="R992" s="2177"/>
      <c r="S992" s="2177"/>
      <c r="T992" s="2177"/>
      <c r="U992" s="2177"/>
      <c r="V992" s="2177"/>
      <c r="W992" s="2177"/>
      <c r="X992" s="2177"/>
      <c r="Y992" s="2177"/>
      <c r="Z992" s="2177"/>
      <c r="AA992" s="2177"/>
      <c r="AB992" s="2177"/>
      <c r="AC992" s="2177"/>
      <c r="AD992" s="2177"/>
      <c r="AE992" s="2178"/>
      <c r="AF992" s="117"/>
      <c r="AG992" s="2206" t="s">
        <v>706</v>
      </c>
      <c r="AH992" s="2207"/>
      <c r="AI992" s="117"/>
      <c r="AJ992" s="2194">
        <f>ROUND(IF(AG992="yes",AJ975*0.02,0),0)</f>
        <v>0</v>
      </c>
      <c r="AK992" s="2195"/>
      <c r="AL992" s="2195"/>
      <c r="AM992" s="2195"/>
      <c r="AN992" s="2195"/>
      <c r="AO992" s="2195"/>
      <c r="AP992" s="2195"/>
      <c r="AQ992" s="219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70" t="s">
        <v>1545</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97"/>
      <c r="AK993" s="2198"/>
      <c r="AL993" s="2198"/>
      <c r="AM993" s="2198"/>
      <c r="AN993" s="2198"/>
      <c r="AO993" s="2198"/>
      <c r="AP993" s="2198"/>
      <c r="AQ993" s="219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210"/>
      <c r="E994" s="2211"/>
      <c r="F994" s="2211"/>
      <c r="G994" s="2211"/>
      <c r="H994" s="2211"/>
      <c r="I994" s="2211"/>
      <c r="J994" s="2211"/>
      <c r="K994" s="2211"/>
      <c r="L994" s="2211"/>
      <c r="M994" s="2211"/>
      <c r="N994" s="2211"/>
      <c r="O994" s="2211"/>
      <c r="P994" s="2211"/>
      <c r="Q994" s="2211"/>
      <c r="R994" s="2211"/>
      <c r="S994" s="2211"/>
      <c r="T994" s="2211"/>
      <c r="U994" s="2211"/>
      <c r="V994" s="2211"/>
      <c r="W994" s="2211"/>
      <c r="X994" s="2211"/>
      <c r="Y994" s="2211"/>
      <c r="Z994" s="2211"/>
      <c r="AA994" s="2211"/>
      <c r="AB994" s="2211"/>
      <c r="AC994" s="2211"/>
      <c r="AD994" s="2211"/>
      <c r="AE994" s="2212"/>
      <c r="AF994" s="115"/>
      <c r="AG994" s="11"/>
      <c r="AH994" s="11"/>
      <c r="AI994" s="116"/>
      <c r="AJ994" s="2200"/>
      <c r="AK994" s="2201"/>
      <c r="AL994" s="2201"/>
      <c r="AM994" s="2201"/>
      <c r="AN994" s="2201"/>
      <c r="AO994" s="2201"/>
      <c r="AP994" s="2201"/>
      <c r="AQ994" s="2202"/>
      <c r="AR994" s="1585"/>
      <c r="AS994" s="1585"/>
      <c r="AT994" s="1585"/>
      <c r="AU994" s="1585"/>
      <c r="AV994" s="1585"/>
      <c r="AW994" s="1585"/>
      <c r="AX994" s="1585"/>
      <c r="AY994" s="1585"/>
    </row>
    <row r="995" spans="1:96" s="720" customFormat="1" ht="12.75" customHeight="1">
      <c r="A995" s="51"/>
      <c r="B995" s="117"/>
      <c r="C995" s="118" t="s">
        <v>224</v>
      </c>
      <c r="D995" s="2203" t="s">
        <v>1546</v>
      </c>
      <c r="E995" s="2204"/>
      <c r="F995" s="2204"/>
      <c r="G995" s="2204"/>
      <c r="H995" s="2204"/>
      <c r="I995" s="2204"/>
      <c r="J995" s="2204"/>
      <c r="K995" s="2204"/>
      <c r="L995" s="2204"/>
      <c r="M995" s="2204"/>
      <c r="N995" s="2204"/>
      <c r="O995" s="2204"/>
      <c r="P995" s="2204"/>
      <c r="Q995" s="2204"/>
      <c r="R995" s="2204"/>
      <c r="S995" s="2204"/>
      <c r="T995" s="2204"/>
      <c r="U995" s="2204"/>
      <c r="V995" s="2204"/>
      <c r="W995" s="2204"/>
      <c r="X995" s="2204"/>
      <c r="Y995" s="2204"/>
      <c r="Z995" s="2204"/>
      <c r="AA995" s="2204"/>
      <c r="AB995" s="2204"/>
      <c r="AC995" s="2204"/>
      <c r="AD995" s="2204"/>
      <c r="AE995" s="2205"/>
      <c r="AF995" s="117"/>
      <c r="AG995" s="2206" t="s">
        <v>706</v>
      </c>
      <c r="AH995" s="2207"/>
      <c r="AI995" s="125"/>
      <c r="AJ995" s="2194">
        <f>IF(AG995="yes",AJ975*BA995,0)</f>
        <v>0</v>
      </c>
      <c r="AK995" s="2195"/>
      <c r="AL995" s="2195"/>
      <c r="AM995" s="2195"/>
      <c r="AN995" s="2195"/>
      <c r="AO995" s="2195"/>
      <c r="AP995" s="2195"/>
      <c r="AQ995" s="2196"/>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70" t="s">
        <v>1547</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97"/>
      <c r="AK996" s="2198"/>
      <c r="AL996" s="2198"/>
      <c r="AM996" s="2198"/>
      <c r="AN996" s="2198"/>
      <c r="AO996" s="2198"/>
      <c r="AP996" s="2198"/>
      <c r="AQ996" s="2199"/>
      <c r="AR996" s="1585"/>
      <c r="AS996" s="1585"/>
      <c r="AT996" s="1585"/>
      <c r="AU996" s="1585"/>
      <c r="AV996" s="1585"/>
      <c r="AW996" s="1585"/>
      <c r="AX996" s="1585"/>
      <c r="AY996" s="1585"/>
    </row>
    <row r="997" spans="1:96" ht="12.75"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97"/>
      <c r="AK997" s="2198"/>
      <c r="AL997" s="2198"/>
      <c r="AM997" s="2198"/>
      <c r="AN997" s="2198"/>
      <c r="AO997" s="2198"/>
      <c r="AP997" s="2198"/>
      <c r="AQ997" s="2199"/>
      <c r="AR997" s="1585"/>
      <c r="AS997" s="1585"/>
      <c r="AT997" s="1585"/>
      <c r="AU997" s="1585"/>
      <c r="AV997" s="1585"/>
      <c r="AW997" s="1585"/>
      <c r="AX997" s="1585"/>
      <c r="AY997" s="1585"/>
      <c r="BA997" s="321">
        <f>IF(A1044="Yes",0.05,0)</f>
        <v>0</v>
      </c>
    </row>
    <row r="998" spans="1:96" ht="15" customHeight="1">
      <c r="A998" s="51"/>
      <c r="B998" s="119"/>
      <c r="C998" s="120"/>
      <c r="D998" s="2210"/>
      <c r="E998" s="2211"/>
      <c r="F998" s="2211"/>
      <c r="G998" s="2211"/>
      <c r="H998" s="2211"/>
      <c r="I998" s="2211"/>
      <c r="J998" s="2211"/>
      <c r="K998" s="2211"/>
      <c r="L998" s="2211"/>
      <c r="M998" s="2211"/>
      <c r="N998" s="2211"/>
      <c r="O998" s="2211"/>
      <c r="P998" s="2211"/>
      <c r="Q998" s="2211"/>
      <c r="R998" s="2211"/>
      <c r="S998" s="2211"/>
      <c r="T998" s="2211"/>
      <c r="U998" s="2211"/>
      <c r="V998" s="2211"/>
      <c r="W998" s="2211"/>
      <c r="X998" s="2211"/>
      <c r="Y998" s="2211"/>
      <c r="Z998" s="2211"/>
      <c r="AA998" s="2211"/>
      <c r="AB998" s="2211"/>
      <c r="AC998" s="2211"/>
      <c r="AD998" s="2211"/>
      <c r="AE998" s="2212"/>
      <c r="AF998" s="115"/>
      <c r="AG998" s="11"/>
      <c r="AH998" s="11"/>
      <c r="AI998" s="116"/>
      <c r="AJ998" s="2200"/>
      <c r="AK998" s="2201"/>
      <c r="AL998" s="2201"/>
      <c r="AM998" s="2201"/>
      <c r="AN998" s="2201"/>
      <c r="AO998" s="2201"/>
      <c r="AP998" s="2201"/>
      <c r="AQ998" s="2202"/>
      <c r="AR998" s="1585"/>
      <c r="AS998" s="1585"/>
      <c r="AT998" s="1585"/>
      <c r="AU998" s="1585"/>
      <c r="AV998" s="1585"/>
      <c r="AW998" s="1585"/>
      <c r="AX998" s="1585"/>
      <c r="AY998" s="1585"/>
      <c r="BA998" s="321">
        <f>IF(A1050="Yes",0.02,0)</f>
        <v>0</v>
      </c>
    </row>
    <row r="999" spans="1:96" s="720" customFormat="1" ht="15" customHeight="1">
      <c r="A999" s="51"/>
      <c r="B999" s="117"/>
      <c r="C999" s="118" t="s">
        <v>229</v>
      </c>
      <c r="D999" s="2164" t="s">
        <v>1548</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206" t="s">
        <v>706</v>
      </c>
      <c r="AH999" s="2207"/>
      <c r="AI999" s="125"/>
      <c r="AJ999" s="2143"/>
      <c r="AK999" s="2144"/>
      <c r="AL999" s="2144"/>
      <c r="AM999" s="2144"/>
      <c r="AN999" s="2144"/>
      <c r="AO999" s="2144"/>
      <c r="AP999" s="2144"/>
      <c r="AQ999" s="2145"/>
      <c r="AR999" s="1585"/>
      <c r="AS999" s="1585"/>
      <c r="AT999" s="1585"/>
      <c r="AU999" s="1585"/>
      <c r="AV999" s="1585"/>
      <c r="AW999" s="1585"/>
      <c r="AX999" s="1585"/>
      <c r="AY999" s="1585"/>
      <c r="BA999" s="321">
        <f>IF(A1056="Yes",0.04,0)</f>
        <v>0</v>
      </c>
      <c r="CR999" s="25"/>
    </row>
    <row r="1000" spans="1:96" ht="12.75">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46"/>
      <c r="AK1000" s="2147"/>
      <c r="AL1000" s="2147"/>
      <c r="AM1000" s="2147"/>
      <c r="AN1000" s="2147"/>
      <c r="AO1000" s="2147"/>
      <c r="AP1000" s="2147"/>
      <c r="AQ1000" s="2148"/>
      <c r="AR1000" s="1585"/>
      <c r="AS1000" s="1585"/>
      <c r="AT1000" s="1585"/>
      <c r="AU1000" s="1585"/>
      <c r="AV1000" s="1585"/>
      <c r="AW1000" s="1585"/>
      <c r="AX1000" s="1585"/>
      <c r="AY1000" s="1585"/>
      <c r="BA1000" s="321">
        <f>IF(A1063="Yes",0.04,0)</f>
        <v>0</v>
      </c>
    </row>
    <row r="1001" spans="1:96" ht="12.75" customHeight="1">
      <c r="A1001" s="51"/>
      <c r="B1001" s="119"/>
      <c r="C1001" s="122"/>
      <c r="D1001" s="2170" t="s">
        <v>1549</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46"/>
      <c r="AK1001" s="2147"/>
      <c r="AL1001" s="2147"/>
      <c r="AM1001" s="2147"/>
      <c r="AN1001" s="2147"/>
      <c r="AO1001" s="2147"/>
      <c r="AP1001" s="2147"/>
      <c r="AQ1001" s="2148"/>
      <c r="AR1001" s="1585"/>
      <c r="AS1001" s="1585"/>
      <c r="AT1001" s="1585"/>
      <c r="AU1001" s="1585"/>
      <c r="AV1001" s="1585"/>
      <c r="AW1001" s="1585"/>
      <c r="AX1001" s="1585"/>
      <c r="AY1001" s="1585"/>
      <c r="BA1001" s="321">
        <f>IF(A1066="Yes",0.01,0)</f>
        <v>0</v>
      </c>
    </row>
    <row r="1002" spans="1:96" ht="12.75"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46"/>
      <c r="AK1002" s="2147"/>
      <c r="AL1002" s="2147"/>
      <c r="AM1002" s="2147"/>
      <c r="AN1002" s="2147"/>
      <c r="AO1002" s="2147"/>
      <c r="AP1002" s="2147"/>
      <c r="AQ1002" s="214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173" t="s">
        <v>626</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49"/>
      <c r="AK1003" s="2150"/>
      <c r="AL1003" s="2150"/>
      <c r="AM1003" s="2150"/>
      <c r="AN1003" s="2150"/>
      <c r="AO1003" s="2150"/>
      <c r="AP1003" s="2150"/>
      <c r="AQ1003" s="2151"/>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176" t="s">
        <v>1550</v>
      </c>
      <c r="E1004" s="2177"/>
      <c r="F1004" s="2177"/>
      <c r="G1004" s="2177"/>
      <c r="H1004" s="2177"/>
      <c r="I1004" s="2177"/>
      <c r="J1004" s="2177"/>
      <c r="K1004" s="2177"/>
      <c r="L1004" s="2177"/>
      <c r="M1004" s="2177"/>
      <c r="N1004" s="2177"/>
      <c r="O1004" s="2177"/>
      <c r="P1004" s="2177"/>
      <c r="Q1004" s="2177"/>
      <c r="R1004" s="2177"/>
      <c r="S1004" s="2177"/>
      <c r="T1004" s="2177"/>
      <c r="U1004" s="2177"/>
      <c r="V1004" s="2177"/>
      <c r="W1004" s="2177"/>
      <c r="X1004" s="2177"/>
      <c r="Y1004" s="2177"/>
      <c r="Z1004" s="2177"/>
      <c r="AA1004" s="2177"/>
      <c r="AB1004" s="2177"/>
      <c r="AC1004" s="2177"/>
      <c r="AD1004" s="2177"/>
      <c r="AE1004" s="2178"/>
      <c r="AF1004" s="117"/>
      <c r="AG1004" s="2206" t="s">
        <v>706</v>
      </c>
      <c r="AH1004" s="2207"/>
      <c r="AI1004" s="125"/>
      <c r="AJ1004" s="2143"/>
      <c r="AK1004" s="2144"/>
      <c r="AL1004" s="2144"/>
      <c r="AM1004" s="2144"/>
      <c r="AN1004" s="2144"/>
      <c r="AO1004" s="2144"/>
      <c r="AP1004" s="2144"/>
      <c r="AQ1004" s="2145"/>
      <c r="AR1004" s="1585"/>
      <c r="AS1004" s="1585"/>
      <c r="AT1004" s="1585"/>
      <c r="AU1004" s="1585"/>
      <c r="AV1004" s="1585"/>
      <c r="AW1004" s="1585"/>
      <c r="AX1004" s="1585"/>
      <c r="AY1004" s="1585"/>
      <c r="BA1004" s="321">
        <f>IF(A1078="Yes",0.02,0)</f>
        <v>0</v>
      </c>
    </row>
    <row r="1005" spans="1:96" ht="12.75" customHeight="1">
      <c r="A1005" s="51"/>
      <c r="B1005" s="110"/>
      <c r="C1005" s="111"/>
      <c r="D1005" s="2170" t="s">
        <v>2190</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f>IF(AG1004="yes","Please Enter Amount:",0)</f>
        <v>0</v>
      </c>
      <c r="AG1005" s="2159"/>
      <c r="AH1005" s="2159"/>
      <c r="AI1005" s="2160"/>
      <c r="AJ1005" s="2146"/>
      <c r="AK1005" s="2147"/>
      <c r="AL1005" s="2147"/>
      <c r="AM1005" s="2147"/>
      <c r="AN1005" s="2147"/>
      <c r="AO1005" s="2147"/>
      <c r="AP1005" s="2147"/>
      <c r="AQ1005" s="2148"/>
      <c r="AR1005" s="1585"/>
      <c r="AS1005" s="1585"/>
      <c r="AT1005" s="1585"/>
      <c r="AU1005" s="1585"/>
      <c r="AV1005" s="1585"/>
      <c r="AW1005" s="1585"/>
      <c r="AX1005" s="1585"/>
      <c r="AY1005" s="1585"/>
      <c r="BA1005" s="322">
        <f>IF(A1082="Yes",0.02,0)</f>
        <v>0</v>
      </c>
    </row>
    <row r="1006" spans="1:96" ht="12.75"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46"/>
      <c r="AK1006" s="2147"/>
      <c r="AL1006" s="2147"/>
      <c r="AM1006" s="2147"/>
      <c r="AN1006" s="2147"/>
      <c r="AO1006" s="2147"/>
      <c r="AP1006" s="2147"/>
      <c r="AQ1006" s="2148"/>
      <c r="AR1006" s="1585"/>
      <c r="AS1006" s="1585"/>
      <c r="AT1006" s="1585"/>
      <c r="AU1006" s="1585"/>
      <c r="AV1006" s="1585"/>
      <c r="AW1006" s="1585"/>
      <c r="AX1006" s="1585"/>
      <c r="AY1006" s="1585"/>
    </row>
    <row r="1007" spans="1:96" ht="12.75" customHeight="1">
      <c r="A1007" s="51"/>
      <c r="B1007" s="123"/>
      <c r="C1007" s="122"/>
      <c r="D1007" s="2210"/>
      <c r="E1007" s="2211"/>
      <c r="F1007" s="2211"/>
      <c r="G1007" s="2211"/>
      <c r="H1007" s="2211"/>
      <c r="I1007" s="2211"/>
      <c r="J1007" s="2211"/>
      <c r="K1007" s="2211"/>
      <c r="L1007" s="2211"/>
      <c r="M1007" s="2211"/>
      <c r="N1007" s="2211"/>
      <c r="O1007" s="2211"/>
      <c r="P1007" s="2211"/>
      <c r="Q1007" s="2211"/>
      <c r="R1007" s="2211"/>
      <c r="S1007" s="2211"/>
      <c r="T1007" s="2211"/>
      <c r="U1007" s="2211"/>
      <c r="V1007" s="2211"/>
      <c r="W1007" s="2211"/>
      <c r="X1007" s="2211"/>
      <c r="Y1007" s="2211"/>
      <c r="Z1007" s="2211"/>
      <c r="AA1007" s="2211"/>
      <c r="AB1007" s="2211"/>
      <c r="AC1007" s="2211"/>
      <c r="AD1007" s="2211"/>
      <c r="AE1007" s="2212"/>
      <c r="AF1007" s="2161"/>
      <c r="AG1007" s="2162"/>
      <c r="AH1007" s="2162"/>
      <c r="AI1007" s="2163"/>
      <c r="AJ1007" s="2149"/>
      <c r="AK1007" s="2150"/>
      <c r="AL1007" s="2150"/>
      <c r="AM1007" s="2150"/>
      <c r="AN1007" s="2150"/>
      <c r="AO1007" s="2150"/>
      <c r="AP1007" s="2150"/>
      <c r="AQ1007" s="2151"/>
      <c r="AR1007" s="1585"/>
      <c r="AS1007" s="1585"/>
      <c r="AT1007" s="1585"/>
      <c r="AU1007" s="1585"/>
      <c r="AV1007" s="1585"/>
      <c r="AW1007" s="1585"/>
      <c r="AX1007" s="1585"/>
      <c r="AY1007" s="1585"/>
    </row>
    <row r="1008" spans="1:96" s="720" customFormat="1" ht="12.75" customHeight="1">
      <c r="A1008" s="51"/>
      <c r="B1008" s="117"/>
      <c r="C1008" s="118" t="s">
        <v>240</v>
      </c>
      <c r="D1008" s="2203" t="s">
        <v>1551</v>
      </c>
      <c r="E1008" s="2204"/>
      <c r="F1008" s="2204"/>
      <c r="G1008" s="2204"/>
      <c r="H1008" s="2204"/>
      <c r="I1008" s="2204"/>
      <c r="J1008" s="2204"/>
      <c r="K1008" s="2204"/>
      <c r="L1008" s="2204"/>
      <c r="M1008" s="2204"/>
      <c r="N1008" s="2204"/>
      <c r="O1008" s="2204"/>
      <c r="P1008" s="2204"/>
      <c r="Q1008" s="2204"/>
      <c r="R1008" s="2204"/>
      <c r="S1008" s="2204"/>
      <c r="T1008" s="2204"/>
      <c r="U1008" s="2204"/>
      <c r="V1008" s="2204"/>
      <c r="W1008" s="2204"/>
      <c r="X1008" s="2204"/>
      <c r="Y1008" s="2204"/>
      <c r="Z1008" s="2204"/>
      <c r="AA1008" s="2204"/>
      <c r="AB1008" s="2204"/>
      <c r="AC1008" s="2204"/>
      <c r="AD1008" s="2204"/>
      <c r="AE1008" s="2205"/>
      <c r="AF1008" s="117"/>
      <c r="AG1008" s="2206" t="s">
        <v>706</v>
      </c>
      <c r="AH1008" s="2207"/>
      <c r="AI1008" s="125"/>
      <c r="AJ1008" s="2194">
        <f>ROUND(IF(AG1008="yes",(AJ975*0.1),0),0)</f>
        <v>0</v>
      </c>
      <c r="AK1008" s="2195"/>
      <c r="AL1008" s="2195"/>
      <c r="AM1008" s="2195"/>
      <c r="AN1008" s="2195"/>
      <c r="AO1008" s="2195"/>
      <c r="AP1008" s="2195"/>
      <c r="AQ1008" s="2196"/>
      <c r="AR1008" s="1585"/>
      <c r="AS1008" s="1585"/>
      <c r="AT1008" s="1585"/>
      <c r="AU1008" s="1585"/>
      <c r="AV1008" s="1585"/>
      <c r="AW1008" s="1585"/>
      <c r="AX1008" s="1585"/>
      <c r="AY1008" s="1585"/>
      <c r="CR1008" s="25"/>
    </row>
    <row r="1009" spans="1:96" ht="12.75" customHeight="1">
      <c r="A1009" s="51"/>
      <c r="B1009" s="110"/>
      <c r="C1009" s="111"/>
      <c r="D1009" s="2170" t="s">
        <v>1552</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97"/>
      <c r="AK1009" s="2198"/>
      <c r="AL1009" s="2198"/>
      <c r="AM1009" s="2198"/>
      <c r="AN1009" s="2198"/>
      <c r="AO1009" s="2198"/>
      <c r="AP1009" s="2198"/>
      <c r="AQ1009" s="2199"/>
      <c r="AR1009" s="1585"/>
      <c r="AS1009" s="1585"/>
      <c r="AT1009" s="1585"/>
      <c r="AU1009" s="1585"/>
      <c r="AV1009" s="1585"/>
      <c r="AW1009" s="1585"/>
      <c r="AX1009" s="1585"/>
      <c r="AY1009" s="1585"/>
    </row>
    <row r="1010" spans="1:96" ht="12.75" customHeight="1">
      <c r="A1010" s="51"/>
      <c r="B1010" s="115"/>
      <c r="C1010" s="111"/>
      <c r="D1010" s="2210"/>
      <c r="E1010" s="2211"/>
      <c r="F1010" s="2211"/>
      <c r="G1010" s="2211"/>
      <c r="H1010" s="2211"/>
      <c r="I1010" s="2211"/>
      <c r="J1010" s="2211"/>
      <c r="K1010" s="2211"/>
      <c r="L1010" s="2211"/>
      <c r="M1010" s="2211"/>
      <c r="N1010" s="2211"/>
      <c r="O1010" s="2211"/>
      <c r="P1010" s="2211"/>
      <c r="Q1010" s="2211"/>
      <c r="R1010" s="2211"/>
      <c r="S1010" s="2211"/>
      <c r="T1010" s="2211"/>
      <c r="U1010" s="2211"/>
      <c r="V1010" s="2211"/>
      <c r="W1010" s="2211"/>
      <c r="X1010" s="2211"/>
      <c r="Y1010" s="2211"/>
      <c r="Z1010" s="2211"/>
      <c r="AA1010" s="2211"/>
      <c r="AB1010" s="2211"/>
      <c r="AC1010" s="2211"/>
      <c r="AD1010" s="2211"/>
      <c r="AE1010" s="2212"/>
      <c r="AF1010" s="110"/>
      <c r="AG1010" s="112"/>
      <c r="AH1010" s="112"/>
      <c r="AI1010" s="121"/>
      <c r="AJ1010" s="2200"/>
      <c r="AK1010" s="2201"/>
      <c r="AL1010" s="2201"/>
      <c r="AM1010" s="2201"/>
      <c r="AN1010" s="2201"/>
      <c r="AO1010" s="2201"/>
      <c r="AP1010" s="2201"/>
      <c r="AQ1010" s="2202"/>
      <c r="AR1010" s="1585"/>
      <c r="AS1010" s="1585"/>
      <c r="AT1010" s="1585"/>
      <c r="AU1010" s="1585"/>
      <c r="AV1010" s="1585"/>
      <c r="AW1010" s="1585"/>
      <c r="AX1010" s="1585"/>
      <c r="AY1010" s="1585"/>
    </row>
    <row r="1011" spans="1:96" s="720" customFormat="1" ht="12.75" customHeight="1">
      <c r="A1011" s="51"/>
      <c r="B1011" s="110"/>
      <c r="C1011" s="532" t="s">
        <v>725</v>
      </c>
      <c r="D1011" s="2176" t="s">
        <v>2186</v>
      </c>
      <c r="E1011" s="2177"/>
      <c r="F1011" s="2177"/>
      <c r="G1011" s="2177"/>
      <c r="H1011" s="2177"/>
      <c r="I1011" s="2177"/>
      <c r="J1011" s="2177"/>
      <c r="K1011" s="2177"/>
      <c r="L1011" s="2177"/>
      <c r="M1011" s="2177"/>
      <c r="N1011" s="2177"/>
      <c r="O1011" s="2177"/>
      <c r="P1011" s="2177"/>
      <c r="Q1011" s="2177"/>
      <c r="R1011" s="2177"/>
      <c r="S1011" s="2177"/>
      <c r="T1011" s="2177"/>
      <c r="U1011" s="2177"/>
      <c r="V1011" s="2177"/>
      <c r="W1011" s="2177"/>
      <c r="X1011" s="2177"/>
      <c r="Y1011" s="2177"/>
      <c r="Z1011" s="2177"/>
      <c r="AA1011" s="2177"/>
      <c r="AB1011" s="2177"/>
      <c r="AC1011" s="2177"/>
      <c r="AD1011" s="2177"/>
      <c r="AE1011" s="2178"/>
      <c r="AF1011" s="117"/>
      <c r="AG1011" s="2206" t="s">
        <v>706</v>
      </c>
      <c r="AH1011" s="2207"/>
      <c r="AI1011" s="125"/>
      <c r="AJ1011" s="2194">
        <f>ROUND(IF(AG1011="yes",(AJ975*0.15),0),0)</f>
        <v>0</v>
      </c>
      <c r="AK1011" s="2195"/>
      <c r="AL1011" s="2195"/>
      <c r="AM1011" s="2195"/>
      <c r="AN1011" s="2195"/>
      <c r="AO1011" s="2195"/>
      <c r="AP1011" s="2195"/>
      <c r="AQ1011" s="2196"/>
      <c r="AR1011" s="1585"/>
      <c r="AS1011" s="1585"/>
      <c r="AT1011" s="1585"/>
      <c r="AU1011" s="1585"/>
      <c r="AV1011" s="1585"/>
      <c r="AW1011" s="1585"/>
      <c r="AX1011" s="1585"/>
      <c r="AY1011" s="1585"/>
      <c r="CR1011" s="25"/>
    </row>
    <row r="1012" spans="1:96" s="720" customFormat="1" ht="12.75" customHeight="1">
      <c r="A1012" s="51"/>
      <c r="B1012" s="110"/>
      <c r="C1012" s="111"/>
      <c r="D1012" s="2188" t="s">
        <v>2187</v>
      </c>
      <c r="E1012" s="2189"/>
      <c r="F1012" s="2189"/>
      <c r="G1012" s="2189"/>
      <c r="H1012" s="2189"/>
      <c r="I1012" s="2189"/>
      <c r="J1012" s="2189"/>
      <c r="K1012" s="2189"/>
      <c r="L1012" s="2189"/>
      <c r="M1012" s="2189"/>
      <c r="N1012" s="2189"/>
      <c r="O1012" s="2189"/>
      <c r="P1012" s="2189"/>
      <c r="Q1012" s="2189"/>
      <c r="R1012" s="2189"/>
      <c r="S1012" s="2189"/>
      <c r="T1012" s="2189"/>
      <c r="U1012" s="2189"/>
      <c r="V1012" s="2189"/>
      <c r="W1012" s="2189"/>
      <c r="X1012" s="2189"/>
      <c r="Y1012" s="2189"/>
      <c r="Z1012" s="2189"/>
      <c r="AA1012" s="2189"/>
      <c r="AB1012" s="2189"/>
      <c r="AC1012" s="2189"/>
      <c r="AD1012" s="2189"/>
      <c r="AE1012" s="2190"/>
      <c r="AF1012" s="1615"/>
      <c r="AG1012" s="1616"/>
      <c r="AH1012" s="1616"/>
      <c r="AI1012" s="1617"/>
      <c r="AJ1012" s="2197"/>
      <c r="AK1012" s="2198"/>
      <c r="AL1012" s="2198"/>
      <c r="AM1012" s="2198"/>
      <c r="AN1012" s="2198"/>
      <c r="AO1012" s="2198"/>
      <c r="AP1012" s="2198"/>
      <c r="AQ1012" s="2199"/>
      <c r="AR1012" s="1585"/>
      <c r="AS1012" s="1585"/>
      <c r="AT1012" s="1585"/>
      <c r="AU1012" s="1585"/>
      <c r="AV1012" s="1585"/>
      <c r="AW1012" s="1585"/>
      <c r="AX1012" s="1585"/>
      <c r="AY1012" s="1585"/>
      <c r="CR1012" s="25"/>
    </row>
    <row r="1013" spans="1:96" s="720" customFormat="1" ht="12.75" customHeight="1">
      <c r="A1013" s="51"/>
      <c r="B1013" s="110"/>
      <c r="C1013" s="111"/>
      <c r="D1013" s="2188"/>
      <c r="E1013" s="2189"/>
      <c r="F1013" s="2189"/>
      <c r="G1013" s="2189"/>
      <c r="H1013" s="2189"/>
      <c r="I1013" s="2189"/>
      <c r="J1013" s="2189"/>
      <c r="K1013" s="2189"/>
      <c r="L1013" s="2189"/>
      <c r="M1013" s="2189"/>
      <c r="N1013" s="2189"/>
      <c r="O1013" s="2189"/>
      <c r="P1013" s="2189"/>
      <c r="Q1013" s="2189"/>
      <c r="R1013" s="2189"/>
      <c r="S1013" s="2189"/>
      <c r="T1013" s="2189"/>
      <c r="U1013" s="2189"/>
      <c r="V1013" s="2189"/>
      <c r="W1013" s="2189"/>
      <c r="X1013" s="2189"/>
      <c r="Y1013" s="2189"/>
      <c r="Z1013" s="2189"/>
      <c r="AA1013" s="2189"/>
      <c r="AB1013" s="2189"/>
      <c r="AC1013" s="2189"/>
      <c r="AD1013" s="2189"/>
      <c r="AE1013" s="2190"/>
      <c r="AF1013" s="1615"/>
      <c r="AG1013" s="1616"/>
      <c r="AH1013" s="1616"/>
      <c r="AI1013" s="1617"/>
      <c r="AJ1013" s="2197"/>
      <c r="AK1013" s="2198"/>
      <c r="AL1013" s="2198"/>
      <c r="AM1013" s="2198"/>
      <c r="AN1013" s="2198"/>
      <c r="AO1013" s="2198"/>
      <c r="AP1013" s="2198"/>
      <c r="AQ1013" s="2199"/>
      <c r="AR1013" s="1585"/>
      <c r="AS1013" s="1585"/>
      <c r="AT1013" s="1585"/>
      <c r="AU1013" s="1585"/>
      <c r="AV1013" s="1585"/>
      <c r="AW1013" s="1585"/>
      <c r="AX1013" s="1585"/>
      <c r="AY1013" s="1585"/>
      <c r="CR1013" s="25"/>
    </row>
    <row r="1014" spans="1:96" s="720" customFormat="1" ht="12.75" customHeight="1">
      <c r="A1014" s="51"/>
      <c r="B1014" s="110"/>
      <c r="C1014" s="111"/>
      <c r="D1014" s="2191"/>
      <c r="E1014" s="2192"/>
      <c r="F1014" s="2192"/>
      <c r="G1014" s="2192"/>
      <c r="H1014" s="2192"/>
      <c r="I1014" s="2192"/>
      <c r="J1014" s="2192"/>
      <c r="K1014" s="2192"/>
      <c r="L1014" s="2192"/>
      <c r="M1014" s="2192"/>
      <c r="N1014" s="2192"/>
      <c r="O1014" s="2192"/>
      <c r="P1014" s="2192"/>
      <c r="Q1014" s="2192"/>
      <c r="R1014" s="2192"/>
      <c r="S1014" s="2192"/>
      <c r="T1014" s="2192"/>
      <c r="U1014" s="2192"/>
      <c r="V1014" s="2192"/>
      <c r="W1014" s="2192"/>
      <c r="X1014" s="2192"/>
      <c r="Y1014" s="2192"/>
      <c r="Z1014" s="2192"/>
      <c r="AA1014" s="2192"/>
      <c r="AB1014" s="2192"/>
      <c r="AC1014" s="2192"/>
      <c r="AD1014" s="2192"/>
      <c r="AE1014" s="2193"/>
      <c r="AF1014" s="1618"/>
      <c r="AG1014" s="1619"/>
      <c r="AH1014" s="1619"/>
      <c r="AI1014" s="1620"/>
      <c r="AJ1014" s="2200"/>
      <c r="AK1014" s="2201"/>
      <c r="AL1014" s="2201"/>
      <c r="AM1014" s="2201"/>
      <c r="AN1014" s="2201"/>
      <c r="AO1014" s="2201"/>
      <c r="AP1014" s="2201"/>
      <c r="AQ1014" s="2202"/>
      <c r="AR1014" s="1585"/>
      <c r="AS1014" s="1585"/>
      <c r="AT1014" s="1585"/>
      <c r="AU1014" s="1585"/>
      <c r="AV1014" s="1585"/>
      <c r="AW1014" s="1585"/>
      <c r="AX1014" s="1585"/>
      <c r="AY1014" s="1585"/>
      <c r="CR1014" s="25"/>
    </row>
    <row r="1015" spans="1:96" s="720" customFormat="1" ht="12.75" customHeight="1">
      <c r="A1015" s="51"/>
      <c r="B1015" s="110"/>
      <c r="C1015" s="532" t="s">
        <v>725</v>
      </c>
      <c r="D1015" s="2203" t="s">
        <v>2188</v>
      </c>
      <c r="E1015" s="2204"/>
      <c r="F1015" s="2204"/>
      <c r="G1015" s="2204"/>
      <c r="H1015" s="2204"/>
      <c r="I1015" s="2204"/>
      <c r="J1015" s="2204"/>
      <c r="K1015" s="2204"/>
      <c r="L1015" s="2204"/>
      <c r="M1015" s="2204"/>
      <c r="N1015" s="2204"/>
      <c r="O1015" s="2204"/>
      <c r="P1015" s="2204"/>
      <c r="Q1015" s="2204"/>
      <c r="R1015" s="2204"/>
      <c r="S1015" s="2204"/>
      <c r="T1015" s="2204"/>
      <c r="U1015" s="2204"/>
      <c r="V1015" s="2204"/>
      <c r="W1015" s="2204"/>
      <c r="X1015" s="2204"/>
      <c r="Y1015" s="2204"/>
      <c r="Z1015" s="2204"/>
      <c r="AA1015" s="2204"/>
      <c r="AB1015" s="2204"/>
      <c r="AC1015" s="2204"/>
      <c r="AD1015" s="2204"/>
      <c r="AE1015" s="2205"/>
      <c r="AF1015" s="110"/>
      <c r="AG1015" s="2279" t="s">
        <v>706</v>
      </c>
      <c r="AH1015" s="2280"/>
      <c r="AI1015" s="121"/>
      <c r="AJ1015" s="2194">
        <f>ROUND(IF(AG1015="yes",(AJ975*0.1),0),0)</f>
        <v>0</v>
      </c>
      <c r="AK1015" s="2195"/>
      <c r="AL1015" s="2195"/>
      <c r="AM1015" s="2195"/>
      <c r="AN1015" s="2195"/>
      <c r="AO1015" s="2195"/>
      <c r="AP1015" s="2195"/>
      <c r="AQ1015" s="2196"/>
      <c r="AR1015" s="1585"/>
      <c r="AS1015" s="1585"/>
      <c r="AT1015" s="1585"/>
      <c r="AU1015" s="1585"/>
      <c r="AV1015" s="1585"/>
      <c r="AW1015" s="1585"/>
      <c r="AX1015" s="1585"/>
      <c r="AY1015" s="1585"/>
      <c r="CR1015" s="25"/>
    </row>
    <row r="1016" spans="1:96" s="720" customFormat="1" ht="12.75" customHeight="1">
      <c r="A1016" s="51"/>
      <c r="B1016" s="110"/>
      <c r="C1016" s="111"/>
      <c r="D1016" s="2188" t="s">
        <v>2189</v>
      </c>
      <c r="E1016" s="2189"/>
      <c r="F1016" s="2189"/>
      <c r="G1016" s="2189"/>
      <c r="H1016" s="2189"/>
      <c r="I1016" s="2189"/>
      <c r="J1016" s="2189"/>
      <c r="K1016" s="2189"/>
      <c r="L1016" s="2189"/>
      <c r="M1016" s="2189"/>
      <c r="N1016" s="2189"/>
      <c r="O1016" s="2189"/>
      <c r="P1016" s="2189"/>
      <c r="Q1016" s="2189"/>
      <c r="R1016" s="2189"/>
      <c r="S1016" s="2189"/>
      <c r="T1016" s="2189"/>
      <c r="U1016" s="2189"/>
      <c r="V1016" s="2189"/>
      <c r="W1016" s="2189"/>
      <c r="X1016" s="2189"/>
      <c r="Y1016" s="2189"/>
      <c r="Z1016" s="2189"/>
      <c r="AA1016" s="2189"/>
      <c r="AB1016" s="2189"/>
      <c r="AC1016" s="2189"/>
      <c r="AD1016" s="2189"/>
      <c r="AE1016" s="2190"/>
      <c r="AF1016" s="110"/>
      <c r="AG1016" s="112"/>
      <c r="AH1016" s="112"/>
      <c r="AI1016" s="121"/>
      <c r="AJ1016" s="2197"/>
      <c r="AK1016" s="2198"/>
      <c r="AL1016" s="2198"/>
      <c r="AM1016" s="2198"/>
      <c r="AN1016" s="2198"/>
      <c r="AO1016" s="2198"/>
      <c r="AP1016" s="2198"/>
      <c r="AQ1016" s="2199"/>
      <c r="AR1016" s="1585"/>
      <c r="AS1016" s="1585"/>
      <c r="AT1016" s="1585"/>
      <c r="AU1016" s="1585"/>
      <c r="AV1016" s="1585"/>
      <c r="AW1016" s="1585"/>
      <c r="AX1016" s="1585"/>
      <c r="AY1016" s="1585"/>
      <c r="CR1016" s="25"/>
    </row>
    <row r="1017" spans="1:96" s="720" customFormat="1" ht="12.75" customHeight="1">
      <c r="A1017" s="51"/>
      <c r="B1017" s="110"/>
      <c r="C1017" s="111"/>
      <c r="D1017" s="2188"/>
      <c r="E1017" s="2189"/>
      <c r="F1017" s="2189"/>
      <c r="G1017" s="2189"/>
      <c r="H1017" s="2189"/>
      <c r="I1017" s="2189"/>
      <c r="J1017" s="2189"/>
      <c r="K1017" s="2189"/>
      <c r="L1017" s="2189"/>
      <c r="M1017" s="2189"/>
      <c r="N1017" s="2189"/>
      <c r="O1017" s="2189"/>
      <c r="P1017" s="2189"/>
      <c r="Q1017" s="2189"/>
      <c r="R1017" s="2189"/>
      <c r="S1017" s="2189"/>
      <c r="T1017" s="2189"/>
      <c r="U1017" s="2189"/>
      <c r="V1017" s="2189"/>
      <c r="W1017" s="2189"/>
      <c r="X1017" s="2189"/>
      <c r="Y1017" s="2189"/>
      <c r="Z1017" s="2189"/>
      <c r="AA1017" s="2189"/>
      <c r="AB1017" s="2189"/>
      <c r="AC1017" s="2189"/>
      <c r="AD1017" s="2189"/>
      <c r="AE1017" s="2190"/>
      <c r="AF1017" s="110"/>
      <c r="AG1017" s="112"/>
      <c r="AH1017" s="112"/>
      <c r="AI1017" s="121"/>
      <c r="AJ1017" s="2197"/>
      <c r="AK1017" s="2198"/>
      <c r="AL1017" s="2198"/>
      <c r="AM1017" s="2198"/>
      <c r="AN1017" s="2198"/>
      <c r="AO1017" s="2198"/>
      <c r="AP1017" s="2198"/>
      <c r="AQ1017" s="2199"/>
      <c r="AR1017" s="1585"/>
      <c r="AS1017" s="1585"/>
      <c r="AT1017" s="1585"/>
      <c r="AU1017" s="1585"/>
      <c r="AV1017" s="1585"/>
      <c r="AW1017" s="1585"/>
      <c r="AX1017" s="1585"/>
      <c r="AY1017" s="1585"/>
      <c r="CR1017" s="25"/>
    </row>
    <row r="1018" spans="1:96" s="720" customFormat="1" ht="12.75" customHeight="1">
      <c r="A1018" s="51"/>
      <c r="B1018" s="110"/>
      <c r="C1018" s="111"/>
      <c r="D1018" s="2188"/>
      <c r="E1018" s="2189"/>
      <c r="F1018" s="2189"/>
      <c r="G1018" s="2189"/>
      <c r="H1018" s="2189"/>
      <c r="I1018" s="2189"/>
      <c r="J1018" s="2189"/>
      <c r="K1018" s="2189"/>
      <c r="L1018" s="2189"/>
      <c r="M1018" s="2189"/>
      <c r="N1018" s="2189"/>
      <c r="O1018" s="2189"/>
      <c r="P1018" s="2189"/>
      <c r="Q1018" s="2189"/>
      <c r="R1018" s="2189"/>
      <c r="S1018" s="2189"/>
      <c r="T1018" s="2189"/>
      <c r="U1018" s="2189"/>
      <c r="V1018" s="2189"/>
      <c r="W1018" s="2189"/>
      <c r="X1018" s="2189"/>
      <c r="Y1018" s="2189"/>
      <c r="Z1018" s="2189"/>
      <c r="AA1018" s="2189"/>
      <c r="AB1018" s="2189"/>
      <c r="AC1018" s="2189"/>
      <c r="AD1018" s="2189"/>
      <c r="AE1018" s="2190"/>
      <c r="AF1018" s="110"/>
      <c r="AG1018" s="112"/>
      <c r="AH1018" s="112"/>
      <c r="AI1018" s="121"/>
      <c r="AJ1018" s="2197"/>
      <c r="AK1018" s="2198"/>
      <c r="AL1018" s="2198"/>
      <c r="AM1018" s="2198"/>
      <c r="AN1018" s="2198"/>
      <c r="AO1018" s="2198"/>
      <c r="AP1018" s="2198"/>
      <c r="AQ1018" s="2199"/>
      <c r="AR1018" s="1585"/>
      <c r="AS1018" s="1585"/>
      <c r="AT1018" s="1585"/>
      <c r="AU1018" s="1585"/>
      <c r="AV1018" s="1585"/>
      <c r="AW1018" s="1585"/>
      <c r="AX1018" s="1585"/>
      <c r="AY1018" s="1585"/>
      <c r="CR1018" s="25"/>
    </row>
    <row r="1019" spans="1:96" s="720" customFormat="1" ht="12.75" customHeight="1">
      <c r="A1019" s="51"/>
      <c r="B1019" s="110"/>
      <c r="C1019" s="111"/>
      <c r="D1019" s="2191"/>
      <c r="E1019" s="2192"/>
      <c r="F1019" s="2192"/>
      <c r="G1019" s="2192"/>
      <c r="H1019" s="2192"/>
      <c r="I1019" s="2192"/>
      <c r="J1019" s="2192"/>
      <c r="K1019" s="2192"/>
      <c r="L1019" s="2192"/>
      <c r="M1019" s="2192"/>
      <c r="N1019" s="2192"/>
      <c r="O1019" s="2192"/>
      <c r="P1019" s="2192"/>
      <c r="Q1019" s="2192"/>
      <c r="R1019" s="2192"/>
      <c r="S1019" s="2192"/>
      <c r="T1019" s="2192"/>
      <c r="U1019" s="2192"/>
      <c r="V1019" s="2192"/>
      <c r="W1019" s="2192"/>
      <c r="X1019" s="2192"/>
      <c r="Y1019" s="2192"/>
      <c r="Z1019" s="2192"/>
      <c r="AA1019" s="2192"/>
      <c r="AB1019" s="2192"/>
      <c r="AC1019" s="2192"/>
      <c r="AD1019" s="2192"/>
      <c r="AE1019" s="2193"/>
      <c r="AF1019" s="110"/>
      <c r="AG1019" s="112"/>
      <c r="AH1019" s="112"/>
      <c r="AI1019" s="121"/>
      <c r="AJ1019" s="2197"/>
      <c r="AK1019" s="2198"/>
      <c r="AL1019" s="2198"/>
      <c r="AM1019" s="2198"/>
      <c r="AN1019" s="2198"/>
      <c r="AO1019" s="2198"/>
      <c r="AP1019" s="2198"/>
      <c r="AQ1019" s="2199"/>
      <c r="AR1019" s="1585"/>
      <c r="AS1019" s="1585"/>
      <c r="AT1019" s="1585"/>
      <c r="AU1019" s="1585"/>
      <c r="AV1019" s="1585"/>
      <c r="AW1019" s="1585"/>
      <c r="AX1019" s="1585"/>
      <c r="AY1019" s="1585"/>
      <c r="CR1019" s="25"/>
    </row>
    <row r="1020" spans="1:96" s="720" customFormat="1" ht="12.75" customHeight="1">
      <c r="A1020" s="51"/>
      <c r="B1020" s="117"/>
      <c r="C1020" s="198" t="s">
        <v>1119</v>
      </c>
      <c r="D1020" s="2176" t="s">
        <v>1553</v>
      </c>
      <c r="E1020" s="2177"/>
      <c r="F1020" s="2177"/>
      <c r="G1020" s="2177"/>
      <c r="H1020" s="2177"/>
      <c r="I1020" s="2177"/>
      <c r="J1020" s="2177"/>
      <c r="K1020" s="2177"/>
      <c r="L1020" s="2177"/>
      <c r="M1020" s="2177"/>
      <c r="N1020" s="2177"/>
      <c r="O1020" s="2177"/>
      <c r="P1020" s="2177"/>
      <c r="Q1020" s="2177"/>
      <c r="R1020" s="2177"/>
      <c r="S1020" s="2177"/>
      <c r="T1020" s="2177"/>
      <c r="U1020" s="2177"/>
      <c r="V1020" s="2177"/>
      <c r="W1020" s="2177"/>
      <c r="X1020" s="2177"/>
      <c r="Y1020" s="2177"/>
      <c r="Z1020" s="2177"/>
      <c r="AA1020" s="2177"/>
      <c r="AB1020" s="2177"/>
      <c r="AC1020" s="2177"/>
      <c r="AD1020" s="2177"/>
      <c r="AE1020" s="2178"/>
      <c r="AF1020" s="117"/>
      <c r="AG1020" s="2206" t="s">
        <v>706</v>
      </c>
      <c r="AH1020" s="2207"/>
      <c r="AI1020" s="125"/>
      <c r="AJ1020" s="2194">
        <f>ROUND(IF(AG1020="yes",(AJ975*0.1),0),0)</f>
        <v>0</v>
      </c>
      <c r="AK1020" s="2195"/>
      <c r="AL1020" s="2195"/>
      <c r="AM1020" s="2195"/>
      <c r="AN1020" s="2195"/>
      <c r="AO1020" s="2195"/>
      <c r="AP1020" s="2195"/>
      <c r="AQ1020" s="2196"/>
      <c r="AR1020" s="1585"/>
      <c r="AS1020" s="1585"/>
      <c r="AT1020" s="1585"/>
      <c r="AU1020" s="1585"/>
      <c r="AV1020" s="1585"/>
      <c r="AW1020" s="1585"/>
      <c r="AX1020" s="1585"/>
      <c r="AY1020" s="1585"/>
      <c r="CR1020" s="25"/>
    </row>
    <row r="1021" spans="1:96" ht="12.75" customHeight="1">
      <c r="A1021" s="51"/>
      <c r="B1021" s="110"/>
      <c r="C1021" s="111"/>
      <c r="D1021" s="2170" t="s">
        <v>1554</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97"/>
      <c r="AK1021" s="2198"/>
      <c r="AL1021" s="2198"/>
      <c r="AM1021" s="2198"/>
      <c r="AN1021" s="2198"/>
      <c r="AO1021" s="2198"/>
      <c r="AP1021" s="2198"/>
      <c r="AQ1021" s="2199"/>
      <c r="AR1021" s="1585"/>
      <c r="AS1021" s="1585"/>
      <c r="AT1021" s="1585"/>
      <c r="AU1021" s="1585"/>
      <c r="AV1021" s="1585"/>
      <c r="AW1021" s="1585"/>
      <c r="AX1021" s="1585"/>
      <c r="AY1021" s="1585"/>
    </row>
    <row r="1022" spans="1:96" ht="12.75"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97"/>
      <c r="AK1022" s="2198"/>
      <c r="AL1022" s="2198"/>
      <c r="AM1022" s="2198"/>
      <c r="AN1022" s="2198"/>
      <c r="AO1022" s="2198"/>
      <c r="AP1022" s="2198"/>
      <c r="AQ1022" s="2199"/>
      <c r="AR1022" s="1585"/>
      <c r="AS1022" s="1585"/>
      <c r="AT1022" s="1585"/>
      <c r="AU1022" s="1585"/>
      <c r="AV1022" s="1585"/>
      <c r="AW1022" s="1585"/>
      <c r="AX1022" s="1585"/>
      <c r="AY1022" s="1585"/>
    </row>
    <row r="1023" spans="1:96" s="683" customFormat="1" ht="12.75" customHeight="1">
      <c r="A1023" s="51"/>
      <c r="B1023" s="110"/>
      <c r="C1023" s="111"/>
      <c r="D1023" s="2210"/>
      <c r="E1023" s="2211"/>
      <c r="F1023" s="2211"/>
      <c r="G1023" s="2211"/>
      <c r="H1023" s="2211"/>
      <c r="I1023" s="2211"/>
      <c r="J1023" s="2211"/>
      <c r="K1023" s="2211"/>
      <c r="L1023" s="2211"/>
      <c r="M1023" s="2211"/>
      <c r="N1023" s="2211"/>
      <c r="O1023" s="2211"/>
      <c r="P1023" s="2211"/>
      <c r="Q1023" s="2211"/>
      <c r="R1023" s="2211"/>
      <c r="S1023" s="2211"/>
      <c r="T1023" s="2211"/>
      <c r="U1023" s="2211"/>
      <c r="V1023" s="2211"/>
      <c r="W1023" s="2211"/>
      <c r="X1023" s="2211"/>
      <c r="Y1023" s="2211"/>
      <c r="Z1023" s="2211"/>
      <c r="AA1023" s="2211"/>
      <c r="AB1023" s="2211"/>
      <c r="AC1023" s="2211"/>
      <c r="AD1023" s="2211"/>
      <c r="AE1023" s="2212"/>
      <c r="AF1023" s="110"/>
      <c r="AG1023" s="112"/>
      <c r="AH1023" s="112"/>
      <c r="AI1023" s="121"/>
      <c r="AJ1023" s="2200"/>
      <c r="AK1023" s="2201"/>
      <c r="AL1023" s="2201"/>
      <c r="AM1023" s="2201"/>
      <c r="AN1023" s="2201"/>
      <c r="AO1023" s="2201"/>
      <c r="AP1023" s="2201"/>
      <c r="AQ1023" s="2202"/>
      <c r="AR1023" s="1585"/>
      <c r="AS1023" s="1585"/>
      <c r="AT1023" s="1585"/>
      <c r="AU1023" s="1585"/>
      <c r="AV1023" s="1585"/>
      <c r="AW1023" s="1585"/>
      <c r="AX1023" s="1585"/>
      <c r="AY1023" s="1585"/>
      <c r="CR1023" s="25"/>
    </row>
    <row r="1024" spans="1:96" ht="12.75" customHeight="1">
      <c r="A1024" s="51"/>
      <c r="B1024" s="117"/>
      <c r="C1024" s="198" t="s">
        <v>2184</v>
      </c>
      <c r="D1024" s="2203" t="s">
        <v>2456</v>
      </c>
      <c r="E1024" s="2204"/>
      <c r="F1024" s="2204"/>
      <c r="G1024" s="2204"/>
      <c r="H1024" s="2204"/>
      <c r="I1024" s="2204"/>
      <c r="J1024" s="2204"/>
      <c r="K1024" s="2204"/>
      <c r="L1024" s="2204"/>
      <c r="M1024" s="2204"/>
      <c r="N1024" s="2204"/>
      <c r="O1024" s="2204"/>
      <c r="P1024" s="2204"/>
      <c r="Q1024" s="2204"/>
      <c r="R1024" s="2204"/>
      <c r="S1024" s="2204"/>
      <c r="T1024" s="2204"/>
      <c r="U1024" s="2204"/>
      <c r="V1024" s="2204"/>
      <c r="W1024" s="2204"/>
      <c r="X1024" s="2204"/>
      <c r="Y1024" s="2204"/>
      <c r="Z1024" s="2204"/>
      <c r="AA1024" s="2204"/>
      <c r="AB1024" s="2204"/>
      <c r="AC1024" s="2204"/>
      <c r="AD1024" s="2204"/>
      <c r="AE1024" s="2205"/>
      <c r="AF1024" s="117"/>
      <c r="AG1024" s="2228" t="str">
        <f>IF(X1027&gt;0,"Yes","No")</f>
        <v>Yes</v>
      </c>
      <c r="AH1024" s="2229"/>
      <c r="AI1024" s="125"/>
      <c r="AJ1024" s="2281">
        <f>IF((X1027=0),0,BA989*AJ975)</f>
        <v>7418134.4000000004</v>
      </c>
      <c r="AK1024" s="2282"/>
      <c r="AL1024" s="2282"/>
      <c r="AM1024" s="2282"/>
      <c r="AN1024" s="2282"/>
      <c r="AO1024" s="2282"/>
      <c r="AP1024" s="2282"/>
      <c r="AQ1024" s="2283"/>
      <c r="AR1024" s="1585"/>
      <c r="AS1024" s="1585"/>
      <c r="AT1024" s="1585"/>
      <c r="AU1024" s="1585"/>
      <c r="AV1024" s="1585"/>
      <c r="AW1024" s="1585"/>
      <c r="AX1024" s="1585"/>
      <c r="AY1024" s="1585"/>
    </row>
    <row r="1025" spans="1:96" ht="12.75" customHeight="1">
      <c r="A1025" s="51"/>
      <c r="B1025" s="110"/>
      <c r="C1025" s="703"/>
      <c r="D1025" s="2170" t="s">
        <v>1556</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4"/>
      <c r="AH1025" s="704"/>
      <c r="AI1025" s="121"/>
      <c r="AJ1025" s="2284"/>
      <c r="AK1025" s="2285"/>
      <c r="AL1025" s="2285"/>
      <c r="AM1025" s="2285"/>
      <c r="AN1025" s="2285"/>
      <c r="AO1025" s="2285"/>
      <c r="AP1025" s="2285"/>
      <c r="AQ1025" s="2286"/>
      <c r="AR1025" s="1585"/>
      <c r="AS1025" s="1585"/>
      <c r="AT1025" s="1585"/>
      <c r="AU1025" s="1585"/>
      <c r="AV1025" s="1585"/>
      <c r="AW1025" s="1585"/>
      <c r="AX1025" s="1585"/>
      <c r="AY1025" s="1585"/>
    </row>
    <row r="1026" spans="1:96" ht="12.75" customHeight="1">
      <c r="A1026" s="51"/>
      <c r="B1026" s="110"/>
      <c r="C1026" s="703"/>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4"/>
      <c r="AH1026" s="704"/>
      <c r="AI1026" s="121"/>
      <c r="AJ1026" s="2284"/>
      <c r="AK1026" s="2285"/>
      <c r="AL1026" s="2285"/>
      <c r="AM1026" s="2285"/>
      <c r="AN1026" s="2285"/>
      <c r="AO1026" s="2285"/>
      <c r="AP1026" s="2285"/>
      <c r="AQ1026" s="2286"/>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277">
        <f>BA987</f>
        <v>192</v>
      </c>
      <c r="J1027" s="2278"/>
      <c r="K1027" s="11"/>
      <c r="L1027" s="200"/>
      <c r="M1027" s="200"/>
      <c r="N1027" s="200"/>
      <c r="O1027" s="200"/>
      <c r="P1027" s="200"/>
      <c r="Q1027" s="200"/>
      <c r="R1027" s="200"/>
      <c r="S1027" s="200"/>
      <c r="T1027" s="200"/>
      <c r="U1027" s="200"/>
      <c r="V1027" s="201" t="s">
        <v>1054</v>
      </c>
      <c r="W1027" s="80"/>
      <c r="X1027" s="2275">
        <f>BG635</f>
        <v>20</v>
      </c>
      <c r="Y1027" s="2276"/>
      <c r="Z1027" s="80"/>
      <c r="AA1027" s="80"/>
      <c r="AB1027" s="80"/>
      <c r="AC1027" s="80"/>
      <c r="AD1027" s="80"/>
      <c r="AE1027" s="81"/>
      <c r="AF1027" s="1624"/>
      <c r="AG1027" s="1625"/>
      <c r="AH1027" s="1625"/>
      <c r="AI1027" s="1626"/>
      <c r="AJ1027" s="2287"/>
      <c r="AK1027" s="2288"/>
      <c r="AL1027" s="2288"/>
      <c r="AM1027" s="2288"/>
      <c r="AN1027" s="2288"/>
      <c r="AO1027" s="2288"/>
      <c r="AP1027" s="2288"/>
      <c r="AQ1027" s="2289"/>
      <c r="AR1027" s="1585"/>
      <c r="AS1027" s="1585"/>
      <c r="AT1027" s="1585"/>
      <c r="AU1027" s="1585"/>
      <c r="AV1027" s="1585"/>
      <c r="AW1027" s="1585"/>
      <c r="AX1027" s="1585"/>
      <c r="AY1027" s="1585"/>
      <c r="CR1027" s="25"/>
    </row>
    <row r="1028" spans="1:96" ht="12.75" customHeight="1">
      <c r="A1028" s="51"/>
      <c r="B1028" s="117"/>
      <c r="C1028" s="198" t="s">
        <v>2185</v>
      </c>
      <c r="D1028" s="2176" t="s">
        <v>2457</v>
      </c>
      <c r="E1028" s="2177"/>
      <c r="F1028" s="2177"/>
      <c r="G1028" s="2177"/>
      <c r="H1028" s="2177"/>
      <c r="I1028" s="2177"/>
      <c r="J1028" s="2177"/>
      <c r="K1028" s="2177"/>
      <c r="L1028" s="2177"/>
      <c r="M1028" s="2177"/>
      <c r="N1028" s="2177"/>
      <c r="O1028" s="2177"/>
      <c r="P1028" s="2177"/>
      <c r="Q1028" s="2177"/>
      <c r="R1028" s="2177"/>
      <c r="S1028" s="2177"/>
      <c r="T1028" s="2177"/>
      <c r="U1028" s="2177"/>
      <c r="V1028" s="2177"/>
      <c r="W1028" s="2177"/>
      <c r="X1028" s="2177"/>
      <c r="Y1028" s="2177"/>
      <c r="Z1028" s="2177"/>
      <c r="AA1028" s="2177"/>
      <c r="AB1028" s="2177"/>
      <c r="AC1028" s="2177"/>
      <c r="AD1028" s="2177"/>
      <c r="AE1028" s="2178"/>
      <c r="AF1028" s="110"/>
      <c r="AG1028" s="2228" t="str">
        <f>IF(X1031&gt;0,"Yes","No")</f>
        <v>Yes</v>
      </c>
      <c r="AH1028" s="2229"/>
      <c r="AI1028" s="121"/>
      <c r="AJ1028" s="2281">
        <f>IF((X1031=0),0,(2*BA990)*AJ975)</f>
        <v>14836268.800000001</v>
      </c>
      <c r="AK1028" s="2282"/>
      <c r="AL1028" s="2282"/>
      <c r="AM1028" s="2282"/>
      <c r="AN1028" s="2282"/>
      <c r="AO1028" s="2282"/>
      <c r="AP1028" s="2282"/>
      <c r="AQ1028" s="2283"/>
      <c r="AR1028" s="1585"/>
      <c r="AS1028" s="1585"/>
      <c r="AT1028" s="1585"/>
      <c r="AU1028" s="1585"/>
      <c r="AV1028" s="1585"/>
      <c r="AW1028" s="1585"/>
      <c r="AX1028" s="1585"/>
      <c r="AY1028" s="1585"/>
    </row>
    <row r="1029" spans="1:96" ht="12.75" customHeight="1">
      <c r="A1029" s="51"/>
      <c r="B1029" s="110"/>
      <c r="C1029" s="703"/>
      <c r="D1029" s="2170" t="s">
        <v>1555</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4"/>
      <c r="AH1029" s="704"/>
      <c r="AI1029" s="121"/>
      <c r="AJ1029" s="2284"/>
      <c r="AK1029" s="2285"/>
      <c r="AL1029" s="2285"/>
      <c r="AM1029" s="2285"/>
      <c r="AN1029" s="2285"/>
      <c r="AO1029" s="2285"/>
      <c r="AP1029" s="2285"/>
      <c r="AQ1029" s="2286"/>
      <c r="AR1029" s="1585"/>
      <c r="AS1029" s="1585"/>
      <c r="AT1029" s="1585"/>
      <c r="AU1029" s="1585"/>
      <c r="AV1029" s="1585"/>
      <c r="AW1029" s="1585"/>
      <c r="AX1029" s="1585"/>
      <c r="AY1029" s="1585"/>
    </row>
    <row r="1030" spans="1:96" ht="12.75"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21"/>
      <c r="AG1030" s="1622"/>
      <c r="AH1030" s="1622"/>
      <c r="AI1030" s="1623"/>
      <c r="AJ1030" s="2284"/>
      <c r="AK1030" s="2285"/>
      <c r="AL1030" s="2285"/>
      <c r="AM1030" s="2285"/>
      <c r="AN1030" s="2285"/>
      <c r="AO1030" s="2285"/>
      <c r="AP1030" s="2285"/>
      <c r="AQ1030" s="2286"/>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277">
        <f>BA987</f>
        <v>192</v>
      </c>
      <c r="J1031" s="2278"/>
      <c r="K1031" s="51"/>
      <c r="L1031" s="200"/>
      <c r="M1031" s="200"/>
      <c r="N1031" s="200"/>
      <c r="O1031" s="200"/>
      <c r="P1031" s="200"/>
      <c r="Q1031" s="200"/>
      <c r="R1031" s="200"/>
      <c r="S1031" s="200"/>
      <c r="T1031" s="200"/>
      <c r="U1031" s="200"/>
      <c r="V1031" s="201" t="s">
        <v>1055</v>
      </c>
      <c r="X1031" s="2275">
        <f>BK635</f>
        <v>20</v>
      </c>
      <c r="Y1031" s="2276"/>
      <c r="AF1031" s="1624"/>
      <c r="AG1031" s="1625"/>
      <c r="AH1031" s="1625"/>
      <c r="AI1031" s="1626"/>
      <c r="AJ1031" s="2287"/>
      <c r="AK1031" s="2288"/>
      <c r="AL1031" s="2288"/>
      <c r="AM1031" s="2288"/>
      <c r="AN1031" s="2288"/>
      <c r="AO1031" s="2288"/>
      <c r="AP1031" s="2288"/>
      <c r="AQ1031" s="2289"/>
      <c r="AR1031" s="1585"/>
      <c r="AS1031" s="1585"/>
      <c r="AT1031" s="1585"/>
      <c r="AU1031" s="1585"/>
      <c r="AV1031" s="1585"/>
      <c r="AW1031" s="1585"/>
      <c r="AX1031" s="1585"/>
      <c r="AY1031" s="1585"/>
      <c r="CR1031" s="25"/>
    </row>
    <row r="1032" spans="1:96" ht="12.75" customHeight="1">
      <c r="A1032" s="51"/>
      <c r="B1032" s="158"/>
      <c r="C1032" s="159"/>
      <c r="D1032" s="2273" t="s">
        <v>546</v>
      </c>
      <c r="E1032" s="2273"/>
      <c r="F1032" s="2273"/>
      <c r="G1032" s="2273"/>
      <c r="H1032" s="2273"/>
      <c r="I1032" s="2273"/>
      <c r="J1032" s="2273"/>
      <c r="K1032" s="2273"/>
      <c r="L1032" s="2273"/>
      <c r="M1032" s="2273"/>
      <c r="N1032" s="2273"/>
      <c r="O1032" s="2273"/>
      <c r="P1032" s="2273"/>
      <c r="Q1032" s="2273"/>
      <c r="R1032" s="2273"/>
      <c r="S1032" s="2273"/>
      <c r="T1032" s="2273"/>
      <c r="U1032" s="2273"/>
      <c r="V1032" s="2273"/>
      <c r="W1032" s="2273"/>
      <c r="X1032" s="2273"/>
      <c r="Y1032" s="2273"/>
      <c r="Z1032" s="2273"/>
      <c r="AA1032" s="2273"/>
      <c r="AB1032" s="2273"/>
      <c r="AC1032" s="2273"/>
      <c r="AD1032" s="2273"/>
      <c r="AE1032" s="2273"/>
      <c r="AF1032" s="2273"/>
      <c r="AG1032" s="2273"/>
      <c r="AH1032" s="2273"/>
      <c r="AI1032" s="2274"/>
      <c r="AJ1032" s="2290">
        <f>SUM(AJ975:AQ1031)</f>
        <v>96435747.200000003</v>
      </c>
      <c r="AK1032" s="2291"/>
      <c r="AL1032" s="2291"/>
      <c r="AM1032" s="2291"/>
      <c r="AN1032" s="2291"/>
      <c r="AO1032" s="2291"/>
      <c r="AP1032" s="2291"/>
      <c r="AQ1032" s="2292"/>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52" t="s">
        <v>1944</v>
      </c>
      <c r="C1034" s="2552"/>
      <c r="D1034" s="2552"/>
      <c r="E1034" s="2552"/>
      <c r="F1034" s="2552"/>
      <c r="G1034" s="2552"/>
      <c r="H1034" s="2552"/>
      <c r="I1034" s="2552"/>
      <c r="J1034" s="2552"/>
      <c r="K1034" s="2552"/>
      <c r="L1034" s="2552"/>
      <c r="M1034" s="2552"/>
      <c r="N1034" s="2552"/>
      <c r="O1034" s="2552"/>
      <c r="P1034" s="2552"/>
      <c r="Q1034" s="2552"/>
      <c r="R1034" s="2552"/>
      <c r="S1034" s="2552"/>
      <c r="T1034" s="2552"/>
      <c r="U1034" s="2552"/>
      <c r="V1034" s="2552"/>
      <c r="W1034" s="2552"/>
      <c r="X1034" s="2552"/>
      <c r="Y1034" s="255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39"/>
      <c r="Y1035" s="2339"/>
      <c r="Z1035" s="2339"/>
      <c r="AA1035" s="2339"/>
      <c r="AB1035" s="2339"/>
      <c r="AC1035" s="2339"/>
      <c r="AD1035" s="2547">
        <f>R971</f>
        <v>387200</v>
      </c>
      <c r="AE1035" s="2479"/>
      <c r="AF1035" s="2479"/>
      <c r="AG1035" s="2479"/>
      <c r="AH1035" s="2479"/>
      <c r="AI1035" s="2479"/>
      <c r="AJ1035" s="2479"/>
      <c r="AK1035" s="2479"/>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40"/>
      <c r="Y1036" s="2340"/>
      <c r="Z1036" s="2340"/>
      <c r="AA1036" s="2340"/>
      <c r="AB1036" s="2340"/>
      <c r="AC1036" s="2340"/>
      <c r="AD1036" s="2198">
        <f>MIN((BR809:BR866))</f>
        <v>318400</v>
      </c>
      <c r="AE1036" s="2198"/>
      <c r="AF1036" s="2198"/>
      <c r="AG1036" s="2198"/>
      <c r="AH1036" s="2198"/>
      <c r="AI1036" s="2198"/>
      <c r="AJ1036" s="2198"/>
      <c r="AK1036" s="219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48" t="s">
        <v>1947</v>
      </c>
      <c r="C1037" s="2548"/>
      <c r="D1037" s="2548"/>
      <c r="E1037" s="2548"/>
      <c r="F1037" s="2548"/>
      <c r="G1037" s="2548"/>
      <c r="H1037" s="2548"/>
      <c r="I1037" s="2548"/>
      <c r="J1037" s="2548"/>
      <c r="K1037" s="2548"/>
      <c r="L1037" s="2548"/>
      <c r="M1037" s="2548"/>
      <c r="N1037" s="2548"/>
      <c r="O1037" s="2548"/>
      <c r="P1037" s="2548"/>
      <c r="Q1037" s="2548"/>
      <c r="R1037" s="2548"/>
      <c r="S1037" s="2548"/>
      <c r="T1037" s="2548"/>
      <c r="U1037" s="2548"/>
      <c r="V1037" s="2548"/>
      <c r="W1037" s="2548"/>
      <c r="X1037" s="2548"/>
      <c r="Y1037" s="2548"/>
      <c r="Z1037" s="1418"/>
      <c r="AA1037" s="1418"/>
      <c r="AB1037" s="1418"/>
      <c r="AC1037" s="1418"/>
      <c r="AD1037" s="2544">
        <f>IF(((AD1035-AD1036)/AD1036)&gt;0.3,0.3,((AD1035-AD1036)/AD1036))</f>
        <v>0.21608040201005024</v>
      </c>
      <c r="AE1037" s="2545"/>
      <c r="AF1037" s="2545"/>
      <c r="AG1037" s="2545"/>
      <c r="AH1037" s="2545"/>
      <c r="AI1037" s="2545"/>
      <c r="AJ1037" s="2545"/>
      <c r="AK1037" s="254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83" t="s">
        <v>854</v>
      </c>
      <c r="B1040" s="2383"/>
      <c r="C1040" s="2383"/>
      <c r="D1040" s="2383"/>
      <c r="E1040" s="2383"/>
      <c r="F1040" s="2383"/>
      <c r="G1040" s="2383"/>
      <c r="H1040" s="2383"/>
      <c r="I1040" s="2383"/>
      <c r="J1040" s="2383"/>
      <c r="K1040" s="2383"/>
      <c r="L1040" s="2383"/>
      <c r="M1040" s="2383"/>
      <c r="N1040" s="2383"/>
      <c r="O1040" s="2383"/>
      <c r="P1040" s="2383"/>
      <c r="Q1040" s="2383"/>
      <c r="R1040" s="2383"/>
      <c r="S1040" s="2383"/>
      <c r="T1040" s="2383"/>
      <c r="U1040" s="2383"/>
      <c r="V1040" s="2383"/>
      <c r="W1040" s="2383"/>
      <c r="X1040" s="2383"/>
      <c r="Y1040" s="2383"/>
      <c r="Z1040" s="2383"/>
      <c r="AA1040" s="2383"/>
      <c r="AB1040" s="2383"/>
      <c r="AC1040" s="2383"/>
      <c r="AD1040" s="2383"/>
      <c r="AE1040" s="2383"/>
      <c r="AF1040" s="2383"/>
      <c r="AG1040" s="2383"/>
      <c r="AH1040" s="2383"/>
      <c r="AI1040" s="2383"/>
      <c r="AJ1040" s="2383"/>
      <c r="AK1040" s="2383"/>
      <c r="AL1040" s="238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3" t="s">
        <v>626</v>
      </c>
      <c r="B1044" s="2023"/>
      <c r="C1044" s="13">
        <v>1</v>
      </c>
      <c r="D1044" s="1904" t="s">
        <v>1225</v>
      </c>
      <c r="E1044" s="1904"/>
      <c r="F1044" s="1904"/>
      <c r="G1044" s="1904"/>
      <c r="H1044" s="1904"/>
      <c r="I1044" s="1904"/>
      <c r="J1044" s="1904"/>
      <c r="K1044" s="1904"/>
      <c r="L1044" s="1904"/>
      <c r="M1044" s="1904"/>
      <c r="N1044" s="1904"/>
      <c r="O1044" s="1904"/>
      <c r="P1044" s="1904"/>
      <c r="Q1044" s="1904"/>
      <c r="R1044" s="1904"/>
      <c r="S1044" s="1904"/>
      <c r="T1044" s="1904"/>
      <c r="U1044" s="1904"/>
      <c r="V1044" s="1904"/>
      <c r="W1044" s="1904"/>
      <c r="X1044" s="1904"/>
      <c r="Y1044" s="1904"/>
      <c r="Z1044" s="1904"/>
      <c r="AA1044" s="1904"/>
      <c r="AB1044" s="1904"/>
      <c r="AC1044" s="1904"/>
      <c r="AD1044" s="1904"/>
      <c r="AE1044" s="1904"/>
      <c r="AF1044" s="1904"/>
      <c r="AG1044" s="1904"/>
      <c r="AH1044" s="1904"/>
      <c r="AI1044" s="1904"/>
      <c r="AJ1044" s="1904"/>
      <c r="AK1044" s="1904"/>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904"/>
      <c r="E1045" s="1904"/>
      <c r="F1045" s="1904"/>
      <c r="G1045" s="1904"/>
      <c r="H1045" s="1904"/>
      <c r="I1045" s="1904"/>
      <c r="J1045" s="1904"/>
      <c r="K1045" s="1904"/>
      <c r="L1045" s="1904"/>
      <c r="M1045" s="1904"/>
      <c r="N1045" s="1904"/>
      <c r="O1045" s="1904"/>
      <c r="P1045" s="1904"/>
      <c r="Q1045" s="1904"/>
      <c r="R1045" s="1904"/>
      <c r="S1045" s="1904"/>
      <c r="T1045" s="1904"/>
      <c r="U1045" s="1904"/>
      <c r="V1045" s="1904"/>
      <c r="W1045" s="1904"/>
      <c r="X1045" s="1904"/>
      <c r="Y1045" s="1904"/>
      <c r="Z1045" s="1904"/>
      <c r="AA1045" s="1904"/>
      <c r="AB1045" s="1904"/>
      <c r="AC1045" s="1904"/>
      <c r="AD1045" s="1904"/>
      <c r="AE1045" s="1904"/>
      <c r="AF1045" s="1904"/>
      <c r="AG1045" s="1904"/>
      <c r="AH1045" s="1904"/>
      <c r="AI1045" s="1904"/>
      <c r="AJ1045" s="1904"/>
      <c r="AK1045" s="1904"/>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904"/>
      <c r="E1046" s="1904"/>
      <c r="F1046" s="1904"/>
      <c r="G1046" s="1904"/>
      <c r="H1046" s="1904"/>
      <c r="I1046" s="1904"/>
      <c r="J1046" s="1904"/>
      <c r="K1046" s="1904"/>
      <c r="L1046" s="1904"/>
      <c r="M1046" s="1904"/>
      <c r="N1046" s="1904"/>
      <c r="O1046" s="1904"/>
      <c r="P1046" s="1904"/>
      <c r="Q1046" s="1904"/>
      <c r="R1046" s="1904"/>
      <c r="S1046" s="1904"/>
      <c r="T1046" s="1904"/>
      <c r="U1046" s="1904"/>
      <c r="V1046" s="1904"/>
      <c r="W1046" s="1904"/>
      <c r="X1046" s="1904"/>
      <c r="Y1046" s="1904"/>
      <c r="Z1046" s="1904"/>
      <c r="AA1046" s="1904"/>
      <c r="AB1046" s="1904"/>
      <c r="AC1046" s="1904"/>
      <c r="AD1046" s="1904"/>
      <c r="AE1046" s="1904"/>
      <c r="AF1046" s="1904"/>
      <c r="AG1046" s="1904"/>
      <c r="AH1046" s="1904"/>
      <c r="AI1046" s="1904"/>
      <c r="AJ1046" s="1904"/>
      <c r="AK1046" s="1904"/>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904"/>
      <c r="E1047" s="1904"/>
      <c r="F1047" s="1904"/>
      <c r="G1047" s="1904"/>
      <c r="H1047" s="1904"/>
      <c r="I1047" s="1904"/>
      <c r="J1047" s="1904"/>
      <c r="K1047" s="1904"/>
      <c r="L1047" s="1904"/>
      <c r="M1047" s="1904"/>
      <c r="N1047" s="1904"/>
      <c r="O1047" s="1904"/>
      <c r="P1047" s="1904"/>
      <c r="Q1047" s="1904"/>
      <c r="R1047" s="1904"/>
      <c r="S1047" s="1904"/>
      <c r="T1047" s="1904"/>
      <c r="U1047" s="1904"/>
      <c r="V1047" s="1904"/>
      <c r="W1047" s="1904"/>
      <c r="X1047" s="1904"/>
      <c r="Y1047" s="1904"/>
      <c r="Z1047" s="1904"/>
      <c r="AA1047" s="1904"/>
      <c r="AB1047" s="1904"/>
      <c r="AC1047" s="1904"/>
      <c r="AD1047" s="1904"/>
      <c r="AE1047" s="1904"/>
      <c r="AF1047" s="1904"/>
      <c r="AG1047" s="1904"/>
      <c r="AH1047" s="1904"/>
      <c r="AI1047" s="1904"/>
      <c r="AJ1047" s="1904"/>
      <c r="AK1047" s="1904"/>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904"/>
      <c r="E1048" s="1904"/>
      <c r="F1048" s="1904"/>
      <c r="G1048" s="1904"/>
      <c r="H1048" s="1904"/>
      <c r="I1048" s="1904"/>
      <c r="J1048" s="1904"/>
      <c r="K1048" s="1904"/>
      <c r="L1048" s="1904"/>
      <c r="M1048" s="1904"/>
      <c r="N1048" s="1904"/>
      <c r="O1048" s="1904"/>
      <c r="P1048" s="1904"/>
      <c r="Q1048" s="1904"/>
      <c r="R1048" s="1904"/>
      <c r="S1048" s="1904"/>
      <c r="T1048" s="1904"/>
      <c r="U1048" s="1904"/>
      <c r="V1048" s="1904"/>
      <c r="W1048" s="1904"/>
      <c r="X1048" s="1904"/>
      <c r="Y1048" s="1904"/>
      <c r="Z1048" s="1904"/>
      <c r="AA1048" s="1904"/>
      <c r="AB1048" s="1904"/>
      <c r="AC1048" s="1904"/>
      <c r="AD1048" s="1904"/>
      <c r="AE1048" s="1904"/>
      <c r="AF1048" s="1904"/>
      <c r="AG1048" s="1904"/>
      <c r="AH1048" s="1904"/>
      <c r="AI1048" s="1904"/>
      <c r="AJ1048" s="1904"/>
      <c r="AK1048" s="1904"/>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904"/>
      <c r="E1049" s="1904"/>
      <c r="F1049" s="1904"/>
      <c r="G1049" s="1904"/>
      <c r="H1049" s="1904"/>
      <c r="I1049" s="1904"/>
      <c r="J1049" s="1904"/>
      <c r="K1049" s="1904"/>
      <c r="L1049" s="1904"/>
      <c r="M1049" s="1904"/>
      <c r="N1049" s="1904"/>
      <c r="O1049" s="1904"/>
      <c r="P1049" s="1904"/>
      <c r="Q1049" s="1904"/>
      <c r="R1049" s="1904"/>
      <c r="S1049" s="1904"/>
      <c r="T1049" s="1904"/>
      <c r="U1049" s="1904"/>
      <c r="V1049" s="1904"/>
      <c r="W1049" s="1904"/>
      <c r="X1049" s="1904"/>
      <c r="Y1049" s="1904"/>
      <c r="Z1049" s="1904"/>
      <c r="AA1049" s="1904"/>
      <c r="AB1049" s="1904"/>
      <c r="AC1049" s="1904"/>
      <c r="AD1049" s="1904"/>
      <c r="AE1049" s="1904"/>
      <c r="AF1049" s="1904"/>
      <c r="AG1049" s="1904"/>
      <c r="AH1049" s="1904"/>
      <c r="AI1049" s="1904"/>
      <c r="AJ1049" s="1904"/>
      <c r="AK1049" s="1904"/>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3" t="s">
        <v>626</v>
      </c>
      <c r="B1050" s="2023"/>
      <c r="C1050" s="13">
        <v>2</v>
      </c>
      <c r="D1050" s="1904" t="s">
        <v>1224</v>
      </c>
      <c r="E1050" s="1904"/>
      <c r="F1050" s="1904"/>
      <c r="G1050" s="1904"/>
      <c r="H1050" s="1904"/>
      <c r="I1050" s="1904"/>
      <c r="J1050" s="1904"/>
      <c r="K1050" s="1904"/>
      <c r="L1050" s="1904"/>
      <c r="M1050" s="1904"/>
      <c r="N1050" s="1904"/>
      <c r="O1050" s="1904"/>
      <c r="P1050" s="1904"/>
      <c r="Q1050" s="1904"/>
      <c r="R1050" s="1904"/>
      <c r="S1050" s="1904"/>
      <c r="T1050" s="1904"/>
      <c r="U1050" s="1904"/>
      <c r="V1050" s="1904"/>
      <c r="W1050" s="1904"/>
      <c r="X1050" s="1904"/>
      <c r="Y1050" s="1904"/>
      <c r="Z1050" s="1904"/>
      <c r="AA1050" s="1904"/>
      <c r="AB1050" s="1904"/>
      <c r="AC1050" s="1904"/>
      <c r="AD1050" s="1904"/>
      <c r="AE1050" s="1904"/>
      <c r="AF1050" s="1904"/>
      <c r="AG1050" s="1904"/>
      <c r="AH1050" s="1904"/>
      <c r="AI1050" s="1904"/>
      <c r="AJ1050" s="1904"/>
      <c r="AK1050" s="1904"/>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904"/>
      <c r="E1051" s="1904"/>
      <c r="F1051" s="1904"/>
      <c r="G1051" s="1904"/>
      <c r="H1051" s="1904"/>
      <c r="I1051" s="1904"/>
      <c r="J1051" s="1904"/>
      <c r="K1051" s="1904"/>
      <c r="L1051" s="1904"/>
      <c r="M1051" s="1904"/>
      <c r="N1051" s="1904"/>
      <c r="O1051" s="1904"/>
      <c r="P1051" s="1904"/>
      <c r="Q1051" s="1904"/>
      <c r="R1051" s="1904"/>
      <c r="S1051" s="1904"/>
      <c r="T1051" s="1904"/>
      <c r="U1051" s="1904"/>
      <c r="V1051" s="1904"/>
      <c r="W1051" s="1904"/>
      <c r="X1051" s="1904"/>
      <c r="Y1051" s="1904"/>
      <c r="Z1051" s="1904"/>
      <c r="AA1051" s="1904"/>
      <c r="AB1051" s="1904"/>
      <c r="AC1051" s="1904"/>
      <c r="AD1051" s="1904"/>
      <c r="AE1051" s="1904"/>
      <c r="AF1051" s="1904"/>
      <c r="AG1051" s="1904"/>
      <c r="AH1051" s="1904"/>
      <c r="AI1051" s="1904"/>
      <c r="AJ1051" s="1904"/>
      <c r="AK1051" s="1904"/>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904"/>
      <c r="E1052" s="1904"/>
      <c r="F1052" s="1904"/>
      <c r="G1052" s="1904"/>
      <c r="H1052" s="1904"/>
      <c r="I1052" s="1904"/>
      <c r="J1052" s="1904"/>
      <c r="K1052" s="1904"/>
      <c r="L1052" s="1904"/>
      <c r="M1052" s="1904"/>
      <c r="N1052" s="1904"/>
      <c r="O1052" s="1904"/>
      <c r="P1052" s="1904"/>
      <c r="Q1052" s="1904"/>
      <c r="R1052" s="1904"/>
      <c r="S1052" s="1904"/>
      <c r="T1052" s="1904"/>
      <c r="U1052" s="1904"/>
      <c r="V1052" s="1904"/>
      <c r="W1052" s="1904"/>
      <c r="X1052" s="1904"/>
      <c r="Y1052" s="1904"/>
      <c r="Z1052" s="1904"/>
      <c r="AA1052" s="1904"/>
      <c r="AB1052" s="1904"/>
      <c r="AC1052" s="1904"/>
      <c r="AD1052" s="1904"/>
      <c r="AE1052" s="1904"/>
      <c r="AF1052" s="1904"/>
      <c r="AG1052" s="1904"/>
      <c r="AH1052" s="1904"/>
      <c r="AI1052" s="1904"/>
      <c r="AJ1052" s="1904"/>
      <c r="AK1052" s="1904"/>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904"/>
      <c r="E1053" s="1904"/>
      <c r="F1053" s="1904"/>
      <c r="G1053" s="1904"/>
      <c r="H1053" s="1904"/>
      <c r="I1053" s="1904"/>
      <c r="J1053" s="1904"/>
      <c r="K1053" s="1904"/>
      <c r="L1053" s="1904"/>
      <c r="M1053" s="1904"/>
      <c r="N1053" s="1904"/>
      <c r="O1053" s="1904"/>
      <c r="P1053" s="1904"/>
      <c r="Q1053" s="1904"/>
      <c r="R1053" s="1904"/>
      <c r="S1053" s="1904"/>
      <c r="T1053" s="1904"/>
      <c r="U1053" s="1904"/>
      <c r="V1053" s="1904"/>
      <c r="W1053" s="1904"/>
      <c r="X1053" s="1904"/>
      <c r="Y1053" s="1904"/>
      <c r="Z1053" s="1904"/>
      <c r="AA1053" s="1904"/>
      <c r="AB1053" s="1904"/>
      <c r="AC1053" s="1904"/>
      <c r="AD1053" s="1904"/>
      <c r="AE1053" s="1904"/>
      <c r="AF1053" s="1904"/>
      <c r="AG1053" s="1904"/>
      <c r="AH1053" s="1904"/>
      <c r="AI1053" s="1904"/>
      <c r="AJ1053" s="1904"/>
      <c r="AK1053" s="1904"/>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904"/>
      <c r="E1054" s="1904"/>
      <c r="F1054" s="1904"/>
      <c r="G1054" s="1904"/>
      <c r="H1054" s="1904"/>
      <c r="I1054" s="1904"/>
      <c r="J1054" s="1904"/>
      <c r="K1054" s="1904"/>
      <c r="L1054" s="1904"/>
      <c r="M1054" s="1904"/>
      <c r="N1054" s="1904"/>
      <c r="O1054" s="1904"/>
      <c r="P1054" s="1904"/>
      <c r="Q1054" s="1904"/>
      <c r="R1054" s="1904"/>
      <c r="S1054" s="1904"/>
      <c r="T1054" s="1904"/>
      <c r="U1054" s="1904"/>
      <c r="V1054" s="1904"/>
      <c r="W1054" s="1904"/>
      <c r="X1054" s="1904"/>
      <c r="Y1054" s="1904"/>
      <c r="Z1054" s="1904"/>
      <c r="AA1054" s="1904"/>
      <c r="AB1054" s="1904"/>
      <c r="AC1054" s="1904"/>
      <c r="AD1054" s="1904"/>
      <c r="AE1054" s="1904"/>
      <c r="AF1054" s="1904"/>
      <c r="AG1054" s="1904"/>
      <c r="AH1054" s="1904"/>
      <c r="AI1054" s="1904"/>
      <c r="AJ1054" s="1904"/>
      <c r="AK1054" s="1904"/>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904"/>
      <c r="E1055" s="1904"/>
      <c r="F1055" s="1904"/>
      <c r="G1055" s="1904"/>
      <c r="H1055" s="1904"/>
      <c r="I1055" s="1904"/>
      <c r="J1055" s="1904"/>
      <c r="K1055" s="1904"/>
      <c r="L1055" s="1904"/>
      <c r="M1055" s="1904"/>
      <c r="N1055" s="1904"/>
      <c r="O1055" s="1904"/>
      <c r="P1055" s="1904"/>
      <c r="Q1055" s="1904"/>
      <c r="R1055" s="1904"/>
      <c r="S1055" s="1904"/>
      <c r="T1055" s="1904"/>
      <c r="U1055" s="1904"/>
      <c r="V1055" s="1904"/>
      <c r="W1055" s="1904"/>
      <c r="X1055" s="1904"/>
      <c r="Y1055" s="1904"/>
      <c r="Z1055" s="1904"/>
      <c r="AA1055" s="1904"/>
      <c r="AB1055" s="1904"/>
      <c r="AC1055" s="1904"/>
      <c r="AD1055" s="1904"/>
      <c r="AE1055" s="1904"/>
      <c r="AF1055" s="1904"/>
      <c r="AG1055" s="1904"/>
      <c r="AH1055" s="1904"/>
      <c r="AI1055" s="1904"/>
      <c r="AJ1055" s="1904"/>
      <c r="AK1055" s="1904"/>
    </row>
    <row r="1056" spans="1:51" ht="12.6" customHeight="1">
      <c r="A1056" s="2023" t="s">
        <v>626</v>
      </c>
      <c r="B1056" s="2023"/>
      <c r="C1056" s="13">
        <v>3</v>
      </c>
      <c r="D1056" s="1904" t="s">
        <v>1538</v>
      </c>
      <c r="E1056" s="1904"/>
      <c r="F1056" s="1904"/>
      <c r="G1056" s="1904"/>
      <c r="H1056" s="1904"/>
      <c r="I1056" s="1904"/>
      <c r="J1056" s="1904"/>
      <c r="K1056" s="1904"/>
      <c r="L1056" s="1904"/>
      <c r="M1056" s="1904"/>
      <c r="N1056" s="1904"/>
      <c r="O1056" s="1904"/>
      <c r="P1056" s="1904"/>
      <c r="Q1056" s="1904"/>
      <c r="R1056" s="1904"/>
      <c r="S1056" s="1904"/>
      <c r="T1056" s="1904"/>
      <c r="U1056" s="1904"/>
      <c r="V1056" s="1904"/>
      <c r="W1056" s="1904"/>
      <c r="X1056" s="1904"/>
      <c r="Y1056" s="1904"/>
      <c r="Z1056" s="1904"/>
      <c r="AA1056" s="1904"/>
      <c r="AB1056" s="1904"/>
      <c r="AC1056" s="1904"/>
      <c r="AD1056" s="1904"/>
      <c r="AE1056" s="1904"/>
      <c r="AF1056" s="1904"/>
      <c r="AG1056" s="1904"/>
      <c r="AH1056" s="1904"/>
      <c r="AI1056" s="1904"/>
      <c r="AJ1056" s="1904"/>
      <c r="AK1056" s="1904"/>
    </row>
    <row r="1057" spans="1:96" ht="12.6" customHeight="1">
      <c r="A1057" s="130"/>
      <c r="B1057" s="130"/>
      <c r="C1057" s="13"/>
      <c r="D1057" s="1904"/>
      <c r="E1057" s="1904"/>
      <c r="F1057" s="1904"/>
      <c r="G1057" s="1904"/>
      <c r="H1057" s="1904"/>
      <c r="I1057" s="1904"/>
      <c r="J1057" s="1904"/>
      <c r="K1057" s="1904"/>
      <c r="L1057" s="1904"/>
      <c r="M1057" s="1904"/>
      <c r="N1057" s="1904"/>
      <c r="O1057" s="1904"/>
      <c r="P1057" s="1904"/>
      <c r="Q1057" s="1904"/>
      <c r="R1057" s="1904"/>
      <c r="S1057" s="1904"/>
      <c r="T1057" s="1904"/>
      <c r="U1057" s="1904"/>
      <c r="V1057" s="1904"/>
      <c r="W1057" s="1904"/>
      <c r="X1057" s="1904"/>
      <c r="Y1057" s="1904"/>
      <c r="Z1057" s="1904"/>
      <c r="AA1057" s="1904"/>
      <c r="AB1057" s="1904"/>
      <c r="AC1057" s="1904"/>
      <c r="AD1057" s="1904"/>
      <c r="AE1057" s="1904"/>
      <c r="AF1057" s="1904"/>
      <c r="AG1057" s="1904"/>
      <c r="AH1057" s="1904"/>
      <c r="AI1057" s="1904"/>
      <c r="AJ1057" s="1904"/>
      <c r="AK1057" s="1904"/>
      <c r="AL1057" s="720"/>
    </row>
    <row r="1058" spans="1:96" ht="12.6" customHeight="1">
      <c r="A1058" s="130"/>
      <c r="B1058" s="130"/>
      <c r="C1058" s="13"/>
      <c r="D1058" s="1904"/>
      <c r="E1058" s="1904"/>
      <c r="F1058" s="1904"/>
      <c r="G1058" s="1904"/>
      <c r="H1058" s="1904"/>
      <c r="I1058" s="1904"/>
      <c r="J1058" s="1904"/>
      <c r="K1058" s="1904"/>
      <c r="L1058" s="1904"/>
      <c r="M1058" s="1904"/>
      <c r="N1058" s="1904"/>
      <c r="O1058" s="1904"/>
      <c r="P1058" s="1904"/>
      <c r="Q1058" s="1904"/>
      <c r="R1058" s="1904"/>
      <c r="S1058" s="1904"/>
      <c r="T1058" s="1904"/>
      <c r="U1058" s="1904"/>
      <c r="V1058" s="1904"/>
      <c r="W1058" s="1904"/>
      <c r="X1058" s="1904"/>
      <c r="Y1058" s="1904"/>
      <c r="Z1058" s="1904"/>
      <c r="AA1058" s="1904"/>
      <c r="AB1058" s="1904"/>
      <c r="AC1058" s="1904"/>
      <c r="AD1058" s="1904"/>
      <c r="AE1058" s="1904"/>
      <c r="AF1058" s="1904"/>
      <c r="AG1058" s="1904"/>
      <c r="AH1058" s="1904"/>
      <c r="AI1058" s="1904"/>
      <c r="AJ1058" s="1904"/>
      <c r="AK1058" s="1904"/>
    </row>
    <row r="1059" spans="1:96" s="720" customFormat="1" ht="12.6" customHeight="1">
      <c r="A1059" s="62"/>
      <c r="B1059" s="66"/>
      <c r="C1059" s="13"/>
      <c r="D1059" s="1904"/>
      <c r="E1059" s="1904"/>
      <c r="F1059" s="1904"/>
      <c r="G1059" s="1904"/>
      <c r="H1059" s="1904"/>
      <c r="I1059" s="1904"/>
      <c r="J1059" s="1904"/>
      <c r="K1059" s="1904"/>
      <c r="L1059" s="1904"/>
      <c r="M1059" s="1904"/>
      <c r="N1059" s="1904"/>
      <c r="O1059" s="1904"/>
      <c r="P1059" s="1904"/>
      <c r="Q1059" s="1904"/>
      <c r="R1059" s="1904"/>
      <c r="S1059" s="1904"/>
      <c r="T1059" s="1904"/>
      <c r="U1059" s="1904"/>
      <c r="V1059" s="1904"/>
      <c r="W1059" s="1904"/>
      <c r="X1059" s="1904"/>
      <c r="Y1059" s="1904"/>
      <c r="Z1059" s="1904"/>
      <c r="AA1059" s="1904"/>
      <c r="AB1059" s="1904"/>
      <c r="AC1059" s="1904"/>
      <c r="AD1059" s="1904"/>
      <c r="AE1059" s="1904"/>
      <c r="AF1059" s="1904"/>
      <c r="AG1059" s="1904"/>
      <c r="AH1059" s="1904"/>
      <c r="AI1059" s="1904"/>
      <c r="AJ1059" s="1904"/>
      <c r="AK1059" s="190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4"/>
      <c r="E1060" s="1904"/>
      <c r="F1060" s="1904"/>
      <c r="G1060" s="1904"/>
      <c r="H1060" s="1904"/>
      <c r="I1060" s="1904"/>
      <c r="J1060" s="1904"/>
      <c r="K1060" s="1904"/>
      <c r="L1060" s="1904"/>
      <c r="M1060" s="1904"/>
      <c r="N1060" s="1904"/>
      <c r="O1060" s="1904"/>
      <c r="P1060" s="1904"/>
      <c r="Q1060" s="1904"/>
      <c r="R1060" s="1904"/>
      <c r="S1060" s="1904"/>
      <c r="T1060" s="1904"/>
      <c r="U1060" s="1904"/>
      <c r="V1060" s="1904"/>
      <c r="W1060" s="1904"/>
      <c r="X1060" s="1904"/>
      <c r="Y1060" s="1904"/>
      <c r="Z1060" s="1904"/>
      <c r="AA1060" s="1904"/>
      <c r="AB1060" s="1904"/>
      <c r="AC1060" s="1904"/>
      <c r="AD1060" s="1904"/>
      <c r="AE1060" s="1904"/>
      <c r="AF1060" s="1904"/>
      <c r="AG1060" s="1904"/>
      <c r="AH1060" s="1904"/>
      <c r="AI1060" s="1904"/>
      <c r="AJ1060" s="1904"/>
      <c r="AK1060" s="1904"/>
    </row>
    <row r="1061" spans="1:96" ht="12.6" customHeight="1">
      <c r="A1061" s="62"/>
      <c r="B1061" s="66"/>
      <c r="C1061" s="13"/>
      <c r="D1061" s="1904"/>
      <c r="E1061" s="1904"/>
      <c r="F1061" s="1904"/>
      <c r="G1061" s="1904"/>
      <c r="H1061" s="1904"/>
      <c r="I1061" s="1904"/>
      <c r="J1061" s="1904"/>
      <c r="K1061" s="1904"/>
      <c r="L1061" s="1904"/>
      <c r="M1061" s="1904"/>
      <c r="N1061" s="1904"/>
      <c r="O1061" s="1904"/>
      <c r="P1061" s="1904"/>
      <c r="Q1061" s="1904"/>
      <c r="R1061" s="1904"/>
      <c r="S1061" s="1904"/>
      <c r="T1061" s="1904"/>
      <c r="U1061" s="1904"/>
      <c r="V1061" s="1904"/>
      <c r="W1061" s="1904"/>
      <c r="X1061" s="1904"/>
      <c r="Y1061" s="1904"/>
      <c r="Z1061" s="1904"/>
      <c r="AA1061" s="1904"/>
      <c r="AB1061" s="1904"/>
      <c r="AC1061" s="1904"/>
      <c r="AD1061" s="1904"/>
      <c r="AE1061" s="1904"/>
      <c r="AF1061" s="1904"/>
      <c r="AG1061" s="1904"/>
      <c r="AH1061" s="1904"/>
      <c r="AI1061" s="1904"/>
      <c r="AJ1061" s="1904"/>
      <c r="AK1061" s="1904"/>
    </row>
    <row r="1062" spans="1:96" ht="12.6" customHeight="1">
      <c r="A1062" s="62"/>
      <c r="B1062" s="66"/>
      <c r="C1062" s="13"/>
      <c r="D1062" s="1904"/>
      <c r="E1062" s="1904"/>
      <c r="F1062" s="1904"/>
      <c r="G1062" s="1904"/>
      <c r="H1062" s="1904"/>
      <c r="I1062" s="1904"/>
      <c r="J1062" s="1904"/>
      <c r="K1062" s="1904"/>
      <c r="L1062" s="1904"/>
      <c r="M1062" s="1904"/>
      <c r="N1062" s="1904"/>
      <c r="O1062" s="1904"/>
      <c r="P1062" s="1904"/>
      <c r="Q1062" s="1904"/>
      <c r="R1062" s="1904"/>
      <c r="S1062" s="1904"/>
      <c r="T1062" s="1904"/>
      <c r="U1062" s="1904"/>
      <c r="V1062" s="1904"/>
      <c r="W1062" s="1904"/>
      <c r="X1062" s="1904"/>
      <c r="Y1062" s="1904"/>
      <c r="Z1062" s="1904"/>
      <c r="AA1062" s="1904"/>
      <c r="AB1062" s="1904"/>
      <c r="AC1062" s="1904"/>
      <c r="AD1062" s="1904"/>
      <c r="AE1062" s="1904"/>
      <c r="AF1062" s="1904"/>
      <c r="AG1062" s="1904"/>
      <c r="AH1062" s="1904"/>
      <c r="AI1062" s="1904"/>
      <c r="AJ1062" s="1904"/>
      <c r="AK1062" s="1904"/>
    </row>
    <row r="1063" spans="1:96" ht="12.6" customHeight="1">
      <c r="A1063" s="2023" t="s">
        <v>626</v>
      </c>
      <c r="B1063" s="2023"/>
      <c r="C1063" s="13">
        <v>4</v>
      </c>
      <c r="D1063" s="1904" t="s">
        <v>1210</v>
      </c>
      <c r="E1063" s="1904"/>
      <c r="F1063" s="1904"/>
      <c r="G1063" s="1904"/>
      <c r="H1063" s="1904"/>
      <c r="I1063" s="1904"/>
      <c r="J1063" s="1904"/>
      <c r="K1063" s="1904"/>
      <c r="L1063" s="1904"/>
      <c r="M1063" s="1904"/>
      <c r="N1063" s="1904"/>
      <c r="O1063" s="1904"/>
      <c r="P1063" s="1904"/>
      <c r="Q1063" s="1904"/>
      <c r="R1063" s="1904"/>
      <c r="S1063" s="1904"/>
      <c r="T1063" s="1904"/>
      <c r="U1063" s="1904"/>
      <c r="V1063" s="1904"/>
      <c r="W1063" s="1904"/>
      <c r="X1063" s="1904"/>
      <c r="Y1063" s="1904"/>
      <c r="Z1063" s="1904"/>
      <c r="AA1063" s="1904"/>
      <c r="AB1063" s="1904"/>
      <c r="AC1063" s="1904"/>
      <c r="AD1063" s="1904"/>
      <c r="AE1063" s="1904"/>
      <c r="AF1063" s="1904"/>
      <c r="AG1063" s="1904"/>
      <c r="AH1063" s="1904"/>
      <c r="AI1063" s="1904"/>
      <c r="AJ1063" s="1904"/>
      <c r="AK1063" s="1904"/>
    </row>
    <row r="1064" spans="1:96" ht="12.6" customHeight="1">
      <c r="A1064" s="235"/>
      <c r="B1064" s="235"/>
      <c r="C1064" s="13"/>
      <c r="D1064" s="1904"/>
      <c r="E1064" s="1904"/>
      <c r="F1064" s="1904"/>
      <c r="G1064" s="1904"/>
      <c r="H1064" s="1904"/>
      <c r="I1064" s="1904"/>
      <c r="J1064" s="1904"/>
      <c r="K1064" s="1904"/>
      <c r="L1064" s="1904"/>
      <c r="M1064" s="1904"/>
      <c r="N1064" s="1904"/>
      <c r="O1064" s="1904"/>
      <c r="P1064" s="1904"/>
      <c r="Q1064" s="1904"/>
      <c r="R1064" s="1904"/>
      <c r="S1064" s="1904"/>
      <c r="T1064" s="1904"/>
      <c r="U1064" s="1904"/>
      <c r="V1064" s="1904"/>
      <c r="W1064" s="1904"/>
      <c r="X1064" s="1904"/>
      <c r="Y1064" s="1904"/>
      <c r="Z1064" s="1904"/>
      <c r="AA1064" s="1904"/>
      <c r="AB1064" s="1904"/>
      <c r="AC1064" s="1904"/>
      <c r="AD1064" s="1904"/>
      <c r="AE1064" s="1904"/>
      <c r="AF1064" s="1904"/>
      <c r="AG1064" s="1904"/>
      <c r="AH1064" s="1904"/>
      <c r="AI1064" s="1904"/>
      <c r="AJ1064" s="1904"/>
      <c r="AK1064" s="1904"/>
    </row>
    <row r="1065" spans="1:96" ht="12.6" customHeight="1">
      <c r="A1065" s="62"/>
      <c r="B1065" s="66"/>
      <c r="C1065" s="13"/>
      <c r="D1065" s="1904"/>
      <c r="E1065" s="1904"/>
      <c r="F1065" s="1904"/>
      <c r="G1065" s="1904"/>
      <c r="H1065" s="1904"/>
      <c r="I1065" s="1904"/>
      <c r="J1065" s="1904"/>
      <c r="K1065" s="1904"/>
      <c r="L1065" s="1904"/>
      <c r="M1065" s="1904"/>
      <c r="N1065" s="1904"/>
      <c r="O1065" s="1904"/>
      <c r="P1065" s="1904"/>
      <c r="Q1065" s="1904"/>
      <c r="R1065" s="1904"/>
      <c r="S1065" s="1904"/>
      <c r="T1065" s="1904"/>
      <c r="U1065" s="1904"/>
      <c r="V1065" s="1904"/>
      <c r="W1065" s="1904"/>
      <c r="X1065" s="1904"/>
      <c r="Y1065" s="1904"/>
      <c r="Z1065" s="1904"/>
      <c r="AA1065" s="1904"/>
      <c r="AB1065" s="1904"/>
      <c r="AC1065" s="1904"/>
      <c r="AD1065" s="1904"/>
      <c r="AE1065" s="1904"/>
      <c r="AF1065" s="1904"/>
      <c r="AG1065" s="1904"/>
      <c r="AH1065" s="1904"/>
      <c r="AI1065" s="1904"/>
      <c r="AJ1065" s="1904"/>
      <c r="AK1065" s="1904"/>
    </row>
    <row r="1066" spans="1:96" s="683" customFormat="1" ht="12.6" customHeight="1">
      <c r="A1066" s="2023" t="s">
        <v>626</v>
      </c>
      <c r="B1066" s="2023"/>
      <c r="C1066" s="13">
        <v>5</v>
      </c>
      <c r="D1066" s="1904" t="s">
        <v>1423</v>
      </c>
      <c r="E1066" s="1904"/>
      <c r="F1066" s="1904"/>
      <c r="G1066" s="1904"/>
      <c r="H1066" s="1904"/>
      <c r="I1066" s="1904"/>
      <c r="J1066" s="1904"/>
      <c r="K1066" s="1904"/>
      <c r="L1066" s="1904"/>
      <c r="M1066" s="1904"/>
      <c r="N1066" s="1904"/>
      <c r="O1066" s="1904"/>
      <c r="P1066" s="1904"/>
      <c r="Q1066" s="1904"/>
      <c r="R1066" s="1904"/>
      <c r="S1066" s="1904"/>
      <c r="T1066" s="1904"/>
      <c r="U1066" s="1904"/>
      <c r="V1066" s="1904"/>
      <c r="W1066" s="1904"/>
      <c r="X1066" s="1904"/>
      <c r="Y1066" s="1904"/>
      <c r="Z1066" s="1904"/>
      <c r="AA1066" s="1904"/>
      <c r="AB1066" s="1904"/>
      <c r="AC1066" s="1904"/>
      <c r="AD1066" s="1904"/>
      <c r="AE1066" s="1904"/>
      <c r="AF1066" s="1904"/>
      <c r="AG1066" s="1904"/>
      <c r="AH1066" s="1904"/>
      <c r="AI1066" s="1904"/>
      <c r="AJ1066" s="1904"/>
      <c r="AK1066" s="190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4"/>
      <c r="E1067" s="1904"/>
      <c r="F1067" s="1904"/>
      <c r="G1067" s="1904"/>
      <c r="H1067" s="1904"/>
      <c r="I1067" s="1904"/>
      <c r="J1067" s="1904"/>
      <c r="K1067" s="1904"/>
      <c r="L1067" s="1904"/>
      <c r="M1067" s="1904"/>
      <c r="N1067" s="1904"/>
      <c r="O1067" s="1904"/>
      <c r="P1067" s="1904"/>
      <c r="Q1067" s="1904"/>
      <c r="R1067" s="1904"/>
      <c r="S1067" s="1904"/>
      <c r="T1067" s="1904"/>
      <c r="U1067" s="1904"/>
      <c r="V1067" s="1904"/>
      <c r="W1067" s="1904"/>
      <c r="X1067" s="1904"/>
      <c r="Y1067" s="1904"/>
      <c r="Z1067" s="1904"/>
      <c r="AA1067" s="1904"/>
      <c r="AB1067" s="1904"/>
      <c r="AC1067" s="1904"/>
      <c r="AD1067" s="1904"/>
      <c r="AE1067" s="1904"/>
      <c r="AF1067" s="1904"/>
      <c r="AG1067" s="1904"/>
      <c r="AH1067" s="1904"/>
      <c r="AI1067" s="1904"/>
      <c r="AJ1067" s="1904"/>
      <c r="AK1067" s="1904"/>
    </row>
    <row r="1068" spans="1:96" ht="12.6" customHeight="1">
      <c r="A1068" s="235"/>
      <c r="B1068" s="235"/>
      <c r="C1068" s="13"/>
      <c r="D1068" s="1904"/>
      <c r="E1068" s="1904"/>
      <c r="F1068" s="1904"/>
      <c r="G1068" s="1904"/>
      <c r="H1068" s="1904"/>
      <c r="I1068" s="1904"/>
      <c r="J1068" s="1904"/>
      <c r="K1068" s="1904"/>
      <c r="L1068" s="1904"/>
      <c r="M1068" s="1904"/>
      <c r="N1068" s="1904"/>
      <c r="O1068" s="1904"/>
      <c r="P1068" s="1904"/>
      <c r="Q1068" s="1904"/>
      <c r="R1068" s="1904"/>
      <c r="S1068" s="1904"/>
      <c r="T1068" s="1904"/>
      <c r="U1068" s="1904"/>
      <c r="V1068" s="1904"/>
      <c r="W1068" s="1904"/>
      <c r="X1068" s="1904"/>
      <c r="Y1068" s="1904"/>
      <c r="Z1068" s="1904"/>
      <c r="AA1068" s="1904"/>
      <c r="AB1068" s="1904"/>
      <c r="AC1068" s="1904"/>
      <c r="AD1068" s="1904"/>
      <c r="AE1068" s="1904"/>
      <c r="AF1068" s="1904"/>
      <c r="AG1068" s="1904"/>
      <c r="AH1068" s="1904"/>
      <c r="AI1068" s="1904"/>
      <c r="AJ1068" s="1904"/>
      <c r="AK1068" s="1904"/>
    </row>
    <row r="1069" spans="1:96" ht="12.6" customHeight="1">
      <c r="A1069" s="235"/>
      <c r="B1069" s="235"/>
      <c r="C1069" s="13"/>
      <c r="D1069" s="1904"/>
      <c r="E1069" s="1904"/>
      <c r="F1069" s="1904"/>
      <c r="G1069" s="1904"/>
      <c r="H1069" s="1904"/>
      <c r="I1069" s="1904"/>
      <c r="J1069" s="1904"/>
      <c r="K1069" s="1904"/>
      <c r="L1069" s="1904"/>
      <c r="M1069" s="1904"/>
      <c r="N1069" s="1904"/>
      <c r="O1069" s="1904"/>
      <c r="P1069" s="1904"/>
      <c r="Q1069" s="1904"/>
      <c r="R1069" s="1904"/>
      <c r="S1069" s="1904"/>
      <c r="T1069" s="1904"/>
      <c r="U1069" s="1904"/>
      <c r="V1069" s="1904"/>
      <c r="W1069" s="1904"/>
      <c r="X1069" s="1904"/>
      <c r="Y1069" s="1904"/>
      <c r="Z1069" s="1904"/>
      <c r="AA1069" s="1904"/>
      <c r="AB1069" s="1904"/>
      <c r="AC1069" s="1904"/>
      <c r="AD1069" s="1904"/>
      <c r="AE1069" s="1904"/>
      <c r="AF1069" s="1904"/>
      <c r="AG1069" s="1904"/>
      <c r="AH1069" s="1904"/>
      <c r="AI1069" s="1904"/>
      <c r="AJ1069" s="1904"/>
      <c r="AK1069" s="1904"/>
      <c r="AL1069" s="683"/>
    </row>
    <row r="1070" spans="1:96" ht="12.6" customHeight="1">
      <c r="A1070" s="62"/>
      <c r="B1070" s="66"/>
      <c r="C1070" s="13"/>
      <c r="D1070" s="1904"/>
      <c r="E1070" s="1904"/>
      <c r="F1070" s="1904"/>
      <c r="G1070" s="1904"/>
      <c r="H1070" s="1904"/>
      <c r="I1070" s="1904"/>
      <c r="J1070" s="1904"/>
      <c r="K1070" s="1904"/>
      <c r="L1070" s="1904"/>
      <c r="M1070" s="1904"/>
      <c r="N1070" s="1904"/>
      <c r="O1070" s="1904"/>
      <c r="P1070" s="1904"/>
      <c r="Q1070" s="1904"/>
      <c r="R1070" s="1904"/>
      <c r="S1070" s="1904"/>
      <c r="T1070" s="1904"/>
      <c r="U1070" s="1904"/>
      <c r="V1070" s="1904"/>
      <c r="W1070" s="1904"/>
      <c r="X1070" s="1904"/>
      <c r="Y1070" s="1904"/>
      <c r="Z1070" s="1904"/>
      <c r="AA1070" s="1904"/>
      <c r="AB1070" s="1904"/>
      <c r="AC1070" s="1904"/>
      <c r="AD1070" s="1904"/>
      <c r="AE1070" s="1904"/>
      <c r="AF1070" s="1904"/>
      <c r="AG1070" s="1904"/>
      <c r="AH1070" s="1904"/>
      <c r="AI1070" s="1904"/>
      <c r="AJ1070" s="1904"/>
      <c r="AK1070" s="1904"/>
    </row>
    <row r="1071" spans="1:96" ht="12.6" customHeight="1">
      <c r="A1071" s="2023" t="s">
        <v>626</v>
      </c>
      <c r="B1071" s="2023"/>
      <c r="C1071" s="13">
        <v>6</v>
      </c>
      <c r="D1071" s="1904" t="s">
        <v>1211</v>
      </c>
      <c r="E1071" s="1904"/>
      <c r="F1071" s="1904"/>
      <c r="G1071" s="1904"/>
      <c r="H1071" s="1904"/>
      <c r="I1071" s="1904"/>
      <c r="J1071" s="1904"/>
      <c r="K1071" s="1904"/>
      <c r="L1071" s="1904"/>
      <c r="M1071" s="1904"/>
      <c r="N1071" s="1904"/>
      <c r="O1071" s="1904"/>
      <c r="P1071" s="1904"/>
      <c r="Q1071" s="1904"/>
      <c r="R1071" s="1904"/>
      <c r="S1071" s="1904"/>
      <c r="T1071" s="1904"/>
      <c r="U1071" s="1904"/>
      <c r="V1071" s="1904"/>
      <c r="W1071" s="1904"/>
      <c r="X1071" s="1904"/>
      <c r="Y1071" s="1904"/>
      <c r="Z1071" s="1904"/>
      <c r="AA1071" s="1904"/>
      <c r="AB1071" s="1904"/>
      <c r="AC1071" s="1904"/>
      <c r="AD1071" s="1904"/>
      <c r="AE1071" s="1904"/>
      <c r="AF1071" s="1904"/>
      <c r="AG1071" s="1904"/>
      <c r="AH1071" s="1904"/>
      <c r="AI1071" s="1904"/>
      <c r="AJ1071" s="1904"/>
      <c r="AK1071" s="1904"/>
    </row>
    <row r="1072" spans="1:96" ht="12.6" customHeight="1">
      <c r="A1072" s="62"/>
      <c r="B1072" s="318"/>
      <c r="C1072" s="13"/>
      <c r="D1072" s="1904"/>
      <c r="E1072" s="1904"/>
      <c r="F1072" s="1904"/>
      <c r="G1072" s="1904"/>
      <c r="H1072" s="1904"/>
      <c r="I1072" s="1904"/>
      <c r="J1072" s="1904"/>
      <c r="K1072" s="1904"/>
      <c r="L1072" s="1904"/>
      <c r="M1072" s="1904"/>
      <c r="N1072" s="1904"/>
      <c r="O1072" s="1904"/>
      <c r="P1072" s="1904"/>
      <c r="Q1072" s="1904"/>
      <c r="R1072" s="1904"/>
      <c r="S1072" s="1904"/>
      <c r="T1072" s="1904"/>
      <c r="U1072" s="1904"/>
      <c r="V1072" s="1904"/>
      <c r="W1072" s="1904"/>
      <c r="X1072" s="1904"/>
      <c r="Y1072" s="1904"/>
      <c r="Z1072" s="1904"/>
      <c r="AA1072" s="1904"/>
      <c r="AB1072" s="1904"/>
      <c r="AC1072" s="1904"/>
      <c r="AD1072" s="1904"/>
      <c r="AE1072" s="1904"/>
      <c r="AF1072" s="1904"/>
      <c r="AG1072" s="1904"/>
      <c r="AH1072" s="1904"/>
      <c r="AI1072" s="1904"/>
      <c r="AJ1072" s="1904"/>
      <c r="AK1072" s="1904"/>
    </row>
    <row r="1073" spans="1:96" ht="12.6" customHeight="1">
      <c r="A1073" s="62"/>
      <c r="B1073" s="66"/>
      <c r="C1073" s="13"/>
      <c r="D1073" s="1904"/>
      <c r="E1073" s="1904"/>
      <c r="F1073" s="1904"/>
      <c r="G1073" s="1904"/>
      <c r="H1073" s="1904"/>
      <c r="I1073" s="1904"/>
      <c r="J1073" s="1904"/>
      <c r="K1073" s="1904"/>
      <c r="L1073" s="1904"/>
      <c r="M1073" s="1904"/>
      <c r="N1073" s="1904"/>
      <c r="O1073" s="1904"/>
      <c r="P1073" s="1904"/>
      <c r="Q1073" s="1904"/>
      <c r="R1073" s="1904"/>
      <c r="S1073" s="1904"/>
      <c r="T1073" s="1904"/>
      <c r="U1073" s="1904"/>
      <c r="V1073" s="1904"/>
      <c r="W1073" s="1904"/>
      <c r="X1073" s="1904"/>
      <c r="Y1073" s="1904"/>
      <c r="Z1073" s="1904"/>
      <c r="AA1073" s="1904"/>
      <c r="AB1073" s="1904"/>
      <c r="AC1073" s="1904"/>
      <c r="AD1073" s="1904"/>
      <c r="AE1073" s="1904"/>
      <c r="AF1073" s="1904"/>
      <c r="AG1073" s="1904"/>
      <c r="AH1073" s="1904"/>
      <c r="AI1073" s="1904"/>
      <c r="AJ1073" s="1904"/>
      <c r="AK1073" s="1904"/>
    </row>
    <row r="1074" spans="1:96" ht="12.6" customHeight="1">
      <c r="A1074" s="2023" t="s">
        <v>626</v>
      </c>
      <c r="B1074" s="2023"/>
      <c r="C1074" s="319">
        <v>7</v>
      </c>
      <c r="D1074" s="1904" t="s">
        <v>1213</v>
      </c>
      <c r="E1074" s="1904"/>
      <c r="F1074" s="1904"/>
      <c r="G1074" s="1904"/>
      <c r="H1074" s="1904"/>
      <c r="I1074" s="1904"/>
      <c r="J1074" s="1904"/>
      <c r="K1074" s="1904"/>
      <c r="L1074" s="1904"/>
      <c r="M1074" s="1904"/>
      <c r="N1074" s="1904"/>
      <c r="O1074" s="1904"/>
      <c r="P1074" s="1904"/>
      <c r="Q1074" s="1904"/>
      <c r="R1074" s="1904"/>
      <c r="S1074" s="1904"/>
      <c r="T1074" s="1904"/>
      <c r="U1074" s="1904"/>
      <c r="V1074" s="1904"/>
      <c r="W1074" s="1904"/>
      <c r="X1074" s="1904"/>
      <c r="Y1074" s="1904"/>
      <c r="Z1074" s="1904"/>
      <c r="AA1074" s="1904"/>
      <c r="AB1074" s="1904"/>
      <c r="AC1074" s="1904"/>
      <c r="AD1074" s="1904"/>
      <c r="AE1074" s="1904"/>
      <c r="AF1074" s="1904"/>
      <c r="AG1074" s="1904"/>
      <c r="AH1074" s="1904"/>
      <c r="AI1074" s="1904"/>
      <c r="AJ1074" s="1904"/>
      <c r="AK1074" s="1904"/>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904"/>
      <c r="E1075" s="1904"/>
      <c r="F1075" s="1904"/>
      <c r="G1075" s="1904"/>
      <c r="H1075" s="1904"/>
      <c r="I1075" s="1904"/>
      <c r="J1075" s="1904"/>
      <c r="K1075" s="1904"/>
      <c r="L1075" s="1904"/>
      <c r="M1075" s="1904"/>
      <c r="N1075" s="1904"/>
      <c r="O1075" s="1904"/>
      <c r="P1075" s="1904"/>
      <c r="Q1075" s="1904"/>
      <c r="R1075" s="1904"/>
      <c r="S1075" s="1904"/>
      <c r="T1075" s="1904"/>
      <c r="U1075" s="1904"/>
      <c r="V1075" s="1904"/>
      <c r="W1075" s="1904"/>
      <c r="X1075" s="1904"/>
      <c r="Y1075" s="1904"/>
      <c r="Z1075" s="1904"/>
      <c r="AA1075" s="1904"/>
      <c r="AB1075" s="1904"/>
      <c r="AC1075" s="1904"/>
      <c r="AD1075" s="1904"/>
      <c r="AE1075" s="1904"/>
      <c r="AF1075" s="1904"/>
      <c r="AG1075" s="1904"/>
      <c r="AH1075" s="1904"/>
      <c r="AI1075" s="1904"/>
      <c r="AJ1075" s="1904"/>
      <c r="AK1075" s="1904"/>
    </row>
    <row r="1076" spans="1:96" ht="12.6" customHeight="1">
      <c r="A1076" s="235"/>
      <c r="B1076" s="235"/>
      <c r="C1076" s="320"/>
      <c r="D1076" s="1904"/>
      <c r="E1076" s="1904"/>
      <c r="F1076" s="1904"/>
      <c r="G1076" s="1904"/>
      <c r="H1076" s="1904"/>
      <c r="I1076" s="1904"/>
      <c r="J1076" s="1904"/>
      <c r="K1076" s="1904"/>
      <c r="L1076" s="1904"/>
      <c r="M1076" s="1904"/>
      <c r="N1076" s="1904"/>
      <c r="O1076" s="1904"/>
      <c r="P1076" s="1904"/>
      <c r="Q1076" s="1904"/>
      <c r="R1076" s="1904"/>
      <c r="S1076" s="1904"/>
      <c r="T1076" s="1904"/>
      <c r="U1076" s="1904"/>
      <c r="V1076" s="1904"/>
      <c r="W1076" s="1904"/>
      <c r="X1076" s="1904"/>
      <c r="Y1076" s="1904"/>
      <c r="Z1076" s="1904"/>
      <c r="AA1076" s="1904"/>
      <c r="AB1076" s="1904"/>
      <c r="AC1076" s="1904"/>
      <c r="AD1076" s="1904"/>
      <c r="AE1076" s="1904"/>
      <c r="AF1076" s="1904"/>
      <c r="AG1076" s="1904"/>
      <c r="AH1076" s="1904"/>
      <c r="AI1076" s="1904"/>
      <c r="AJ1076" s="1904"/>
      <c r="AK1076" s="1904"/>
    </row>
    <row r="1077" spans="1:96" s="683" customFormat="1" ht="12.6" customHeight="1">
      <c r="A1077" s="62"/>
      <c r="B1077" s="66"/>
      <c r="C1077" s="319"/>
      <c r="D1077" s="1904"/>
      <c r="E1077" s="1904"/>
      <c r="F1077" s="1904"/>
      <c r="G1077" s="1904"/>
      <c r="H1077" s="1904"/>
      <c r="I1077" s="1904"/>
      <c r="J1077" s="1904"/>
      <c r="K1077" s="1904"/>
      <c r="L1077" s="1904"/>
      <c r="M1077" s="1904"/>
      <c r="N1077" s="1904"/>
      <c r="O1077" s="1904"/>
      <c r="P1077" s="1904"/>
      <c r="Q1077" s="1904"/>
      <c r="R1077" s="1904"/>
      <c r="S1077" s="1904"/>
      <c r="T1077" s="1904"/>
      <c r="U1077" s="1904"/>
      <c r="V1077" s="1904"/>
      <c r="W1077" s="1904"/>
      <c r="X1077" s="1904"/>
      <c r="Y1077" s="1904"/>
      <c r="Z1077" s="1904"/>
      <c r="AA1077" s="1904"/>
      <c r="AB1077" s="1904"/>
      <c r="AC1077" s="1904"/>
      <c r="AD1077" s="1904"/>
      <c r="AE1077" s="1904"/>
      <c r="AF1077" s="1904"/>
      <c r="AG1077" s="1904"/>
      <c r="AH1077" s="1904"/>
      <c r="AI1077" s="1904"/>
      <c r="AJ1077" s="1904"/>
      <c r="AK1077" s="1904"/>
      <c r="AL1077" s="12"/>
      <c r="AM1077" s="39"/>
      <c r="AN1077" s="39"/>
      <c r="AO1077" s="39"/>
      <c r="AP1077" s="39"/>
      <c r="AQ1077" s="39"/>
      <c r="AR1077" s="39"/>
      <c r="AS1077" s="39"/>
      <c r="AT1077" s="39"/>
      <c r="AU1077" s="39"/>
      <c r="AV1077" s="39"/>
      <c r="AW1077" s="39"/>
      <c r="AX1077" s="39"/>
      <c r="AY1077" s="39"/>
      <c r="CR1077" s="25"/>
    </row>
    <row r="1078" spans="1:96" ht="12.6" customHeight="1">
      <c r="A1078" s="2023" t="s">
        <v>626</v>
      </c>
      <c r="B1078" s="2023"/>
      <c r="C1078" s="319">
        <v>8</v>
      </c>
      <c r="D1078" s="2338" t="s">
        <v>2180</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 customHeight="1">
      <c r="A1079" s="235"/>
      <c r="B1079" s="235"/>
      <c r="C1079" s="319"/>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 customHeight="1">
      <c r="A1080" s="235"/>
      <c r="B1080" s="235"/>
      <c r="C1080" s="319"/>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3"/>
    </row>
    <row r="1081" spans="1:96" ht="12" customHeight="1">
      <c r="A1081" s="62"/>
      <c r="B1081" s="66"/>
      <c r="C1081" s="319"/>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 customHeight="1">
      <c r="A1082" s="2023" t="s">
        <v>626</v>
      </c>
      <c r="B1082" s="2023"/>
      <c r="C1082" s="319">
        <v>9</v>
      </c>
      <c r="D1082" s="1904" t="s">
        <v>1212</v>
      </c>
      <c r="E1082" s="1904"/>
      <c r="F1082" s="1904"/>
      <c r="G1082" s="1904"/>
      <c r="H1082" s="1904"/>
      <c r="I1082" s="1904"/>
      <c r="J1082" s="1904"/>
      <c r="K1082" s="1904"/>
      <c r="L1082" s="1904"/>
      <c r="M1082" s="1904"/>
      <c r="N1082" s="1904"/>
      <c r="O1082" s="1904"/>
      <c r="P1082" s="1904"/>
      <c r="Q1082" s="1904"/>
      <c r="R1082" s="1904"/>
      <c r="S1082" s="1904"/>
      <c r="T1082" s="1904"/>
      <c r="U1082" s="1904"/>
      <c r="V1082" s="1904"/>
      <c r="W1082" s="1904"/>
      <c r="X1082" s="1904"/>
      <c r="Y1082" s="1904"/>
      <c r="Z1082" s="1904"/>
      <c r="AA1082" s="1904"/>
      <c r="AB1082" s="1904"/>
      <c r="AC1082" s="1904"/>
      <c r="AD1082" s="1904"/>
      <c r="AE1082" s="1904"/>
      <c r="AF1082" s="1904"/>
      <c r="AG1082" s="1904"/>
      <c r="AH1082" s="1904"/>
      <c r="AI1082" s="1904"/>
      <c r="AJ1082" s="1904"/>
      <c r="AK1082" s="1904"/>
    </row>
    <row r="1083" spans="1:96" ht="15" customHeight="1">
      <c r="A1083" s="62"/>
      <c r="B1083" s="66"/>
      <c r="C1083" s="319"/>
      <c r="D1083" s="1904"/>
      <c r="E1083" s="1904"/>
      <c r="F1083" s="1904"/>
      <c r="G1083" s="1904"/>
      <c r="H1083" s="1904"/>
      <c r="I1083" s="1904"/>
      <c r="J1083" s="1904"/>
      <c r="K1083" s="1904"/>
      <c r="L1083" s="1904"/>
      <c r="M1083" s="1904"/>
      <c r="N1083" s="1904"/>
      <c r="O1083" s="1904"/>
      <c r="P1083" s="1904"/>
      <c r="Q1083" s="1904"/>
      <c r="R1083" s="1904"/>
      <c r="S1083" s="1904"/>
      <c r="T1083" s="1904"/>
      <c r="U1083" s="1904"/>
      <c r="V1083" s="1904"/>
      <c r="W1083" s="1904"/>
      <c r="X1083" s="1904"/>
      <c r="Y1083" s="1904"/>
      <c r="Z1083" s="1904"/>
      <c r="AA1083" s="1904"/>
      <c r="AB1083" s="1904"/>
      <c r="AC1083" s="1904"/>
      <c r="AD1083" s="1904"/>
      <c r="AE1083" s="1904"/>
      <c r="AF1083" s="1904"/>
      <c r="AG1083" s="1904"/>
      <c r="AH1083" s="1904"/>
      <c r="AI1083" s="1904"/>
      <c r="AJ1083" s="1904"/>
      <c r="AK1083" s="1904"/>
    </row>
    <row r="1084" spans="1:96" ht="15" customHeight="1">
      <c r="D1084" s="1904"/>
      <c r="E1084" s="1904"/>
      <c r="F1084" s="1904"/>
      <c r="G1084" s="1904"/>
      <c r="H1084" s="1904"/>
      <c r="I1084" s="1904"/>
      <c r="J1084" s="1904"/>
      <c r="K1084" s="1904"/>
      <c r="L1084" s="1904"/>
      <c r="M1084" s="1904"/>
      <c r="N1084" s="1904"/>
      <c r="O1084" s="1904"/>
      <c r="P1084" s="1904"/>
      <c r="Q1084" s="1904"/>
      <c r="R1084" s="1904"/>
      <c r="S1084" s="1904"/>
      <c r="T1084" s="1904"/>
      <c r="U1084" s="1904"/>
      <c r="V1084" s="1904"/>
      <c r="W1084" s="1904"/>
      <c r="X1084" s="1904"/>
      <c r="Y1084" s="1904"/>
      <c r="Z1084" s="1904"/>
      <c r="AA1084" s="1904"/>
      <c r="AB1084" s="1904"/>
      <c r="AC1084" s="1904"/>
      <c r="AD1084" s="1904"/>
      <c r="AE1084" s="1904"/>
      <c r="AF1084" s="1904"/>
      <c r="AG1084" s="1904"/>
      <c r="AH1084" s="1904"/>
      <c r="AI1084" s="1904"/>
      <c r="AJ1084" s="1904"/>
      <c r="AK1084" s="1904"/>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K402:AJ402"/>
    <mergeCell ref="AD489:AH489"/>
    <mergeCell ref="W466:Y466"/>
    <mergeCell ref="AD491:AH491"/>
    <mergeCell ref="AD495:AH495"/>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15:BF615"/>
    <mergeCell ref="BE611:BF611"/>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AA600:AK600"/>
    <mergeCell ref="A9:AL9"/>
    <mergeCell ref="M355:N355"/>
    <mergeCell ref="AB214:AL214"/>
    <mergeCell ref="T197:U197"/>
    <mergeCell ref="Y211:Z211"/>
    <mergeCell ref="D213:Z213"/>
    <mergeCell ref="AB215:AL215"/>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AE424:AF424"/>
    <mergeCell ref="Q428:R428"/>
    <mergeCell ref="R411:S411"/>
    <mergeCell ref="AF429:AG429"/>
    <mergeCell ref="J386:U386"/>
    <mergeCell ref="AC385:AJ385"/>
    <mergeCell ref="T488:X488"/>
    <mergeCell ref="AD490:AH490"/>
    <mergeCell ref="X787:AB787"/>
    <mergeCell ref="X788:AB788"/>
    <mergeCell ref="Q506:AK506"/>
    <mergeCell ref="X789:AB789"/>
    <mergeCell ref="X790:AB790"/>
    <mergeCell ref="AC768:AG771"/>
    <mergeCell ref="E419:AJ419"/>
    <mergeCell ref="P424:Q424"/>
    <mergeCell ref="I417:K417"/>
    <mergeCell ref="Z431:AA431"/>
    <mergeCell ref="AC455:AF455"/>
    <mergeCell ref="D443:AF443"/>
    <mergeCell ref="AI571:AL571"/>
    <mergeCell ref="AE572:AH572"/>
    <mergeCell ref="AI572:AL572"/>
    <mergeCell ref="Z568:AD568"/>
    <mergeCell ref="Q563:S563"/>
    <mergeCell ref="AE564:AH564"/>
    <mergeCell ref="AH554:AK554"/>
    <mergeCell ref="Z596:AK596"/>
    <mergeCell ref="AC551:AF551"/>
    <mergeCell ref="G604:R604"/>
    <mergeCell ref="G603:R603"/>
    <mergeCell ref="AI591:AK591"/>
    <mergeCell ref="Z587:AK587"/>
    <mergeCell ref="D436:AF436"/>
    <mergeCell ref="D444:AF444"/>
    <mergeCell ref="AA592:AK592"/>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A682:AK682"/>
    <mergeCell ref="AA674:AK674"/>
    <mergeCell ref="AI615:AK615"/>
    <mergeCell ref="Z598:AK598"/>
    <mergeCell ref="Z597:AK597"/>
    <mergeCell ref="X791:AB791"/>
    <mergeCell ref="X792:AB792"/>
    <mergeCell ref="AC545:AF545"/>
    <mergeCell ref="AH545:AK545"/>
    <mergeCell ref="AH547:AK547"/>
    <mergeCell ref="G588:R588"/>
    <mergeCell ref="AG593:AH593"/>
    <mergeCell ref="AI582:AK582"/>
    <mergeCell ref="Z605:AK605"/>
    <mergeCell ref="AH513:AK513"/>
    <mergeCell ref="G589:R589"/>
    <mergeCell ref="G597:R597"/>
    <mergeCell ref="T574:V574"/>
    <mergeCell ref="W470:Y470"/>
    <mergeCell ref="Z591:AE591"/>
    <mergeCell ref="Z581:AK581"/>
    <mergeCell ref="G591:L591"/>
    <mergeCell ref="T483:AH483"/>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C567:P567"/>
    <mergeCell ref="C566:P566"/>
    <mergeCell ref="AE567:AH567"/>
    <mergeCell ref="Z571:AD571"/>
    <mergeCell ref="Z580:AK580"/>
    <mergeCell ref="AC546:AF546"/>
    <mergeCell ref="AH533:AK533"/>
    <mergeCell ref="AC539:AF539"/>
    <mergeCell ref="AH553:AK553"/>
    <mergeCell ref="AC547:AF547"/>
    <mergeCell ref="AG617:AH617"/>
    <mergeCell ref="H616:R616"/>
    <mergeCell ref="P615:R615"/>
    <mergeCell ref="P582:R582"/>
    <mergeCell ref="D405:AJ406"/>
    <mergeCell ref="S404:AJ404"/>
    <mergeCell ref="AG447:AJ447"/>
    <mergeCell ref="Z574:AD574"/>
    <mergeCell ref="Z575:AD575"/>
    <mergeCell ref="Q497:AK497"/>
    <mergeCell ref="AC525:AF525"/>
    <mergeCell ref="AH525:AK525"/>
    <mergeCell ref="O532:AA532"/>
    <mergeCell ref="Y490:AC490"/>
    <mergeCell ref="AD488:AH488"/>
    <mergeCell ref="AD486:AH486"/>
    <mergeCell ref="D467:V467"/>
    <mergeCell ref="AC531:AF531"/>
    <mergeCell ref="AC533:AF533"/>
    <mergeCell ref="B513:H514"/>
    <mergeCell ref="AC538:AF538"/>
    <mergeCell ref="AH551:AK551"/>
    <mergeCell ref="AE570:AH570"/>
    <mergeCell ref="AC544:AF544"/>
    <mergeCell ref="Q505:AK505"/>
    <mergeCell ref="B526:H528"/>
    <mergeCell ref="B515:H520"/>
    <mergeCell ref="AH517:AK517"/>
    <mergeCell ref="AH532:AK532"/>
    <mergeCell ref="AH542:AK542"/>
    <mergeCell ref="AH544:AK544"/>
    <mergeCell ref="AH550:AK550"/>
    <mergeCell ref="AH552:AK552"/>
    <mergeCell ref="AC552:AF552"/>
    <mergeCell ref="S412:T412"/>
    <mergeCell ref="D448:AF448"/>
    <mergeCell ref="BE613:BF613"/>
    <mergeCell ref="BE612:BF612"/>
    <mergeCell ref="N601:O601"/>
    <mergeCell ref="AA583:AK583"/>
    <mergeCell ref="Z604:AK604"/>
    <mergeCell ref="AE565:AH565"/>
    <mergeCell ref="C573:P573"/>
    <mergeCell ref="C574:P574"/>
    <mergeCell ref="AM575:AS575"/>
    <mergeCell ref="T571:V571"/>
    <mergeCell ref="T572:V572"/>
    <mergeCell ref="T568:V568"/>
    <mergeCell ref="T569:V569"/>
    <mergeCell ref="T570:V570"/>
    <mergeCell ref="W567:Y567"/>
    <mergeCell ref="Q569:S569"/>
    <mergeCell ref="Q570:S570"/>
    <mergeCell ref="AM573:AS573"/>
    <mergeCell ref="AM568:AS568"/>
    <mergeCell ref="AI570:AL570"/>
    <mergeCell ref="G612:R612"/>
    <mergeCell ref="Z613:AK613"/>
    <mergeCell ref="G587:R587"/>
    <mergeCell ref="G598:R598"/>
    <mergeCell ref="G595:R595"/>
    <mergeCell ref="AG585:AH585"/>
    <mergeCell ref="AE575:AH575"/>
    <mergeCell ref="G607:L607"/>
    <mergeCell ref="Q565:S565"/>
    <mergeCell ref="T573:V573"/>
    <mergeCell ref="W571:Y571"/>
    <mergeCell ref="W572:Y572"/>
    <mergeCell ref="Z570:AD570"/>
    <mergeCell ref="AE566:AH566"/>
    <mergeCell ref="Z567:AD567"/>
    <mergeCell ref="AM563:AS563"/>
    <mergeCell ref="AM567:AS567"/>
    <mergeCell ref="AI567:AL567"/>
    <mergeCell ref="AM574:AS574"/>
    <mergeCell ref="AE563:AH563"/>
    <mergeCell ref="AI565:AL565"/>
    <mergeCell ref="AM565:AS565"/>
    <mergeCell ref="Q572:S572"/>
    <mergeCell ref="Q573:S573"/>
    <mergeCell ref="Q574:S574"/>
    <mergeCell ref="Q575:S575"/>
    <mergeCell ref="AE573:AH573"/>
    <mergeCell ref="C575:P575"/>
    <mergeCell ref="AE568:AH568"/>
    <mergeCell ref="AI568:AL568"/>
    <mergeCell ref="T567:V567"/>
    <mergeCell ref="W564:Y564"/>
    <mergeCell ref="B563:P563"/>
    <mergeCell ref="AH548:AK548"/>
    <mergeCell ref="AH535:AK535"/>
    <mergeCell ref="W573:Y573"/>
    <mergeCell ref="W574:Y574"/>
    <mergeCell ref="W575:Y575"/>
    <mergeCell ref="C571:P571"/>
    <mergeCell ref="C572:P572"/>
    <mergeCell ref="AI573:AL573"/>
    <mergeCell ref="AE574:AH574"/>
    <mergeCell ref="AH549:AK549"/>
    <mergeCell ref="AC540:AF540"/>
    <mergeCell ref="O541:AA541"/>
    <mergeCell ref="AH538:AK538"/>
    <mergeCell ref="G578:R578"/>
    <mergeCell ref="Z563:AD563"/>
    <mergeCell ref="W566:Y566"/>
    <mergeCell ref="AI564:AL564"/>
    <mergeCell ref="AI566:AL566"/>
    <mergeCell ref="W568:Y568"/>
    <mergeCell ref="Q567:S567"/>
    <mergeCell ref="Q568:S568"/>
    <mergeCell ref="W569:Y569"/>
    <mergeCell ref="W570:Y570"/>
    <mergeCell ref="Q571:S571"/>
    <mergeCell ref="W565:Y565"/>
    <mergeCell ref="Z566:AD566"/>
    <mergeCell ref="T563:V563"/>
    <mergeCell ref="T564:V564"/>
    <mergeCell ref="T565:V565"/>
    <mergeCell ref="B576:AL576"/>
    <mergeCell ref="AE571:AH571"/>
    <mergeCell ref="Z578:AK578"/>
    <mergeCell ref="AC550:AF550"/>
    <mergeCell ref="AC549:AF549"/>
    <mergeCell ref="AC554:AF554"/>
    <mergeCell ref="G581:R581"/>
    <mergeCell ref="AC534:AF534"/>
    <mergeCell ref="AC535:AF535"/>
    <mergeCell ref="AH534:AK534"/>
    <mergeCell ref="AD494:AH494"/>
    <mergeCell ref="AC514:AF514"/>
    <mergeCell ref="AH512:AK512"/>
    <mergeCell ref="AH527:AK527"/>
    <mergeCell ref="AC528:AF528"/>
    <mergeCell ref="T489:X489"/>
    <mergeCell ref="AC517:AF517"/>
    <mergeCell ref="AH520:AK520"/>
    <mergeCell ref="Y492:AC492"/>
    <mergeCell ref="Y494:AC494"/>
    <mergeCell ref="Q499:AK499"/>
    <mergeCell ref="T494:X494"/>
    <mergeCell ref="Y495:AC495"/>
    <mergeCell ref="AC516:AF516"/>
    <mergeCell ref="Q498:AK498"/>
    <mergeCell ref="AC520:AF520"/>
    <mergeCell ref="AH528:AK528"/>
    <mergeCell ref="AH529:AK529"/>
    <mergeCell ref="O535:AA535"/>
    <mergeCell ref="AD493:AH493"/>
    <mergeCell ref="Y493:AC493"/>
    <mergeCell ref="T493:X493"/>
    <mergeCell ref="T575:V575"/>
    <mergeCell ref="B532:H554"/>
    <mergeCell ref="Q564:S564"/>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E627:BF627"/>
    <mergeCell ref="BI627:BJ627"/>
    <mergeCell ref="BK627:BL627"/>
    <mergeCell ref="BI626:BJ626"/>
    <mergeCell ref="BK626:BL626"/>
    <mergeCell ref="BK630:BL630"/>
    <mergeCell ref="BN630:BR630"/>
    <mergeCell ref="BS630:BW630"/>
    <mergeCell ref="BN631:BR631"/>
    <mergeCell ref="BS631:BW631"/>
    <mergeCell ref="BN624:BR624"/>
    <mergeCell ref="BS624:BW624"/>
    <mergeCell ref="BI623:BJ623"/>
    <mergeCell ref="BK623:BL623"/>
    <mergeCell ref="AM566:AS566"/>
    <mergeCell ref="AM564:AS564"/>
    <mergeCell ref="AM572:AS572"/>
    <mergeCell ref="AM576:AS576"/>
    <mergeCell ref="AM571:AS571"/>
    <mergeCell ref="AM569:AS569"/>
    <mergeCell ref="AE569:AH569"/>
    <mergeCell ref="AI569:AL569"/>
    <mergeCell ref="Z569:AD569"/>
    <mergeCell ref="BE634:BF634"/>
    <mergeCell ref="BS629:BW629"/>
    <mergeCell ref="BS634:BW634"/>
    <mergeCell ref="BS633:BW633"/>
    <mergeCell ref="BG633:BH633"/>
    <mergeCell ref="BI633:BJ633"/>
    <mergeCell ref="BK633:BL633"/>
    <mergeCell ref="BN629:BR629"/>
    <mergeCell ref="BN633:BR633"/>
    <mergeCell ref="BE633:BF633"/>
    <mergeCell ref="BE630:BF630"/>
    <mergeCell ref="BK632:BL632"/>
    <mergeCell ref="BN632:BR632"/>
    <mergeCell ref="BS632:BW632"/>
    <mergeCell ref="BG631:BH631"/>
    <mergeCell ref="BI631:BJ631"/>
    <mergeCell ref="BK631:BL631"/>
    <mergeCell ref="BG630:BH630"/>
    <mergeCell ref="BI630:BJ630"/>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H644:CL644"/>
    <mergeCell ref="BX656:CB656"/>
    <mergeCell ref="CC641:CG641"/>
    <mergeCell ref="CC656:CG656"/>
    <mergeCell ref="CM644:CQ644"/>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H630:CL630"/>
    <mergeCell ref="BX634:CB634"/>
    <mergeCell ref="CC634:CG63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BE619:BF619"/>
    <mergeCell ref="BE625:BF625"/>
    <mergeCell ref="BK624:BL624"/>
    <mergeCell ref="BS625:BW625"/>
    <mergeCell ref="BX624:CB624"/>
    <mergeCell ref="BX630:CB630"/>
    <mergeCell ref="BN619:BR619"/>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X625:CB625"/>
    <mergeCell ref="CC625:CG625"/>
    <mergeCell ref="BN622:BR622"/>
    <mergeCell ref="BN623:BR623"/>
    <mergeCell ref="BX623:CB623"/>
    <mergeCell ref="BS627:BW627"/>
    <mergeCell ref="BX627:CB627"/>
    <mergeCell ref="CC624:CG624"/>
    <mergeCell ref="CH618:CL618"/>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CC623:CG623"/>
    <mergeCell ref="CH613:CL613"/>
    <mergeCell ref="BG615:BH615"/>
    <mergeCell ref="BI615:BJ615"/>
    <mergeCell ref="BG611:BH611"/>
    <mergeCell ref="BS614:BW614"/>
    <mergeCell ref="BX614:CB614"/>
    <mergeCell ref="CC614:CG614"/>
    <mergeCell ref="CH614:CL614"/>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H619:CL619"/>
    <mergeCell ref="BS617:BW617"/>
    <mergeCell ref="BX619:CB619"/>
    <mergeCell ref="BK619:BL619"/>
    <mergeCell ref="BK617:BL617"/>
    <mergeCell ref="CC619:CG619"/>
    <mergeCell ref="BN617:BR617"/>
    <mergeCell ref="CC615:CG615"/>
    <mergeCell ref="BN618:BR618"/>
    <mergeCell ref="BS618:BW618"/>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CH612:CL612"/>
    <mergeCell ref="BG612:BH612"/>
    <mergeCell ref="BN611:BR611"/>
    <mergeCell ref="CH615:CL615"/>
    <mergeCell ref="BS615:BW615"/>
    <mergeCell ref="BX615:CB615"/>
    <mergeCell ref="CC618:CG618"/>
    <mergeCell ref="BK612:BL612"/>
    <mergeCell ref="BN612:BR612"/>
    <mergeCell ref="BS611:BW611"/>
    <mergeCell ref="BS612:BW612"/>
    <mergeCell ref="BK615:BL615"/>
    <mergeCell ref="CC611:CG611"/>
    <mergeCell ref="BS613:BW613"/>
    <mergeCell ref="CC609:CG609"/>
    <mergeCell ref="BE617:BF617"/>
    <mergeCell ref="P599:R599"/>
    <mergeCell ref="BE614:BF614"/>
    <mergeCell ref="G611:R611"/>
    <mergeCell ref="Z607:AE607"/>
    <mergeCell ref="Z582:AE582"/>
    <mergeCell ref="H608:R608"/>
    <mergeCell ref="G614:R614"/>
    <mergeCell ref="G596:R596"/>
    <mergeCell ref="G613:R613"/>
    <mergeCell ref="N617:O617"/>
    <mergeCell ref="P607:R607"/>
    <mergeCell ref="G599:L599"/>
    <mergeCell ref="H592:R592"/>
    <mergeCell ref="AA616:AK616"/>
    <mergeCell ref="G615:L615"/>
    <mergeCell ref="G605:R605"/>
    <mergeCell ref="G606:R606"/>
    <mergeCell ref="AA608:AK608"/>
    <mergeCell ref="BK611:BL611"/>
    <mergeCell ref="BX612:CB612"/>
    <mergeCell ref="CC612:CG612"/>
    <mergeCell ref="BX618:CB618"/>
    <mergeCell ref="AC512:AF512"/>
    <mergeCell ref="W464:Y464"/>
    <mergeCell ref="T486:X486"/>
    <mergeCell ref="D437:AF437"/>
    <mergeCell ref="D438:AF438"/>
    <mergeCell ref="D470:V470"/>
    <mergeCell ref="B529:H531"/>
    <mergeCell ref="AH543:AK543"/>
    <mergeCell ref="Y489:AC489"/>
    <mergeCell ref="T484:X485"/>
    <mergeCell ref="Y487:AC487"/>
    <mergeCell ref="AC532:AF532"/>
    <mergeCell ref="AH546:AK546"/>
    <mergeCell ref="T495:X495"/>
    <mergeCell ref="AC537:AF537"/>
    <mergeCell ref="AH540:AK540"/>
    <mergeCell ref="AC543:AF543"/>
    <mergeCell ref="AC542:AF542"/>
    <mergeCell ref="O538:AA538"/>
    <mergeCell ref="W465:Y465"/>
    <mergeCell ref="W471:Y471"/>
    <mergeCell ref="D468:V468"/>
    <mergeCell ref="AC530:AF530"/>
    <mergeCell ref="AH536:AK536"/>
    <mergeCell ref="AH537:AK537"/>
    <mergeCell ref="AH541:AK541"/>
    <mergeCell ref="AD484:AH485"/>
    <mergeCell ref="AC536:AF536"/>
    <mergeCell ref="B501:P502"/>
    <mergeCell ref="AC518:AF518"/>
    <mergeCell ref="Q501:R502"/>
    <mergeCell ref="AC513:AF513"/>
    <mergeCell ref="D210:M210"/>
    <mergeCell ref="AI227:AJ227"/>
    <mergeCell ref="AI225:AJ225"/>
    <mergeCell ref="M234:AE234"/>
    <mergeCell ref="AF242:AK242"/>
    <mergeCell ref="AH253:AK253"/>
    <mergeCell ref="AH261:AK261"/>
    <mergeCell ref="K403:AJ403"/>
    <mergeCell ref="AG446:AJ446"/>
    <mergeCell ref="Q566:S566"/>
    <mergeCell ref="AI563:AL563"/>
    <mergeCell ref="A556:AS557"/>
    <mergeCell ref="AC553:AF553"/>
    <mergeCell ref="I391:N391"/>
    <mergeCell ref="H413:AE414"/>
    <mergeCell ref="Q393:U393"/>
    <mergeCell ref="AC519:AF519"/>
    <mergeCell ref="AH519:AK519"/>
    <mergeCell ref="AH516:AK516"/>
    <mergeCell ref="AH530:AK530"/>
    <mergeCell ref="AH526:AK526"/>
    <mergeCell ref="AC527:AF527"/>
    <mergeCell ref="AC526:AF526"/>
    <mergeCell ref="O547:AA547"/>
    <mergeCell ref="Y486:AC486"/>
    <mergeCell ref="T487:X487"/>
    <mergeCell ref="AH514:AK514"/>
    <mergeCell ref="AC515:AF515"/>
    <mergeCell ref="AH531:AK531"/>
    <mergeCell ref="AC511:AK511"/>
    <mergeCell ref="AD487:AH487"/>
    <mergeCell ref="Q504:AK504"/>
    <mergeCell ref="H303:R303"/>
    <mergeCell ref="H302:R302"/>
    <mergeCell ref="AA307:AF307"/>
    <mergeCell ref="AI306:AK306"/>
    <mergeCell ref="H307:M307"/>
    <mergeCell ref="N370:Q370"/>
    <mergeCell ref="Q388:U38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H289:R289"/>
    <mergeCell ref="L278:AD278"/>
    <mergeCell ref="M232:AE232"/>
    <mergeCell ref="M263:AE263"/>
    <mergeCell ref="AA264:AK264"/>
    <mergeCell ref="H296:R296"/>
    <mergeCell ref="T194:U194"/>
    <mergeCell ref="E187:AE188"/>
    <mergeCell ref="I189:P189"/>
    <mergeCell ref="Y198:Z198"/>
    <mergeCell ref="J173:S173"/>
    <mergeCell ref="AH196:AI196"/>
    <mergeCell ref="N369:Q369"/>
    <mergeCell ref="V376:W376"/>
    <mergeCell ref="S376:T376"/>
    <mergeCell ref="AG448:AJ448"/>
    <mergeCell ref="D464:V464"/>
    <mergeCell ref="W467:Y467"/>
    <mergeCell ref="AG379:AH379"/>
    <mergeCell ref="N377:P377"/>
    <mergeCell ref="Y484:AC485"/>
    <mergeCell ref="C124:K124"/>
    <mergeCell ref="H288:R288"/>
    <mergeCell ref="AA303:AK303"/>
    <mergeCell ref="AA306:AF306"/>
    <mergeCell ref="AA314:AF314"/>
    <mergeCell ref="AA304:AK304"/>
    <mergeCell ref="AA290:AF290"/>
    <mergeCell ref="AI290:AK290"/>
    <mergeCell ref="H291:M291"/>
    <mergeCell ref="AA292:AK292"/>
    <mergeCell ref="L276:AD276"/>
    <mergeCell ref="T277:V277"/>
    <mergeCell ref="M258:AE258"/>
    <mergeCell ref="AA256:AK256"/>
    <mergeCell ref="M259:AE259"/>
    <mergeCell ref="M261:AE261"/>
    <mergeCell ref="H306:M306"/>
    <mergeCell ref="H313:R313"/>
    <mergeCell ref="H314:M314"/>
    <mergeCell ref="AA315:AF315"/>
    <mergeCell ref="H316:R316"/>
    <mergeCell ref="AA289:AK289"/>
    <mergeCell ref="AI298:AK298"/>
    <mergeCell ref="P306:R306"/>
    <mergeCell ref="O156:AH156"/>
    <mergeCell ref="O157:X157"/>
    <mergeCell ref="O158:R158"/>
    <mergeCell ref="W159:X159"/>
    <mergeCell ref="P204:U204"/>
    <mergeCell ref="H320:R320"/>
    <mergeCell ref="H321:R321"/>
    <mergeCell ref="AA330:AF330"/>
    <mergeCell ref="H292:R292"/>
    <mergeCell ref="H286:R286"/>
    <mergeCell ref="H319:R319"/>
    <mergeCell ref="H324:R324"/>
    <mergeCell ref="H300:R300"/>
    <mergeCell ref="H304:R304"/>
    <mergeCell ref="AA299:AF299"/>
    <mergeCell ref="H305:R305"/>
    <mergeCell ref="AA324:AK324"/>
    <mergeCell ref="AA326:AK326"/>
    <mergeCell ref="O159:T159"/>
    <mergeCell ref="X180:Y180"/>
    <mergeCell ref="M262:R262"/>
    <mergeCell ref="H294:R294"/>
    <mergeCell ref="H295:R295"/>
    <mergeCell ref="H297:R297"/>
    <mergeCell ref="P298:R298"/>
    <mergeCell ref="AC244:AE244"/>
    <mergeCell ref="M245:AE245"/>
    <mergeCell ref="W244:X244"/>
    <mergeCell ref="U246:W246"/>
    <mergeCell ref="X269:AC269"/>
    <mergeCell ref="AA287:AK287"/>
    <mergeCell ref="AI314:AK314"/>
    <mergeCell ref="P314:R314"/>
    <mergeCell ref="H322:M322"/>
    <mergeCell ref="O160:T160"/>
    <mergeCell ref="O161:AH161"/>
    <mergeCell ref="T193:AI193"/>
    <mergeCell ref="A221:AL222"/>
    <mergeCell ref="M237:T237"/>
    <mergeCell ref="Z203:AF205"/>
    <mergeCell ref="M254:R254"/>
    <mergeCell ref="H312:R312"/>
    <mergeCell ref="H311:R311"/>
    <mergeCell ref="H310:R310"/>
    <mergeCell ref="AA311:AK311"/>
    <mergeCell ref="AA313:AK313"/>
    <mergeCell ref="AA310:AK310"/>
    <mergeCell ref="AA312:AK312"/>
    <mergeCell ref="U235:W235"/>
    <mergeCell ref="Z254:AE254"/>
    <mergeCell ref="AA288:AK288"/>
    <mergeCell ref="H298:M298"/>
    <mergeCell ref="H299:M299"/>
    <mergeCell ref="H308:R308"/>
    <mergeCell ref="AA308:AK308"/>
    <mergeCell ref="AA300:AK300"/>
    <mergeCell ref="A169:AL170"/>
    <mergeCell ref="R177:S177"/>
    <mergeCell ref="M260:T260"/>
    <mergeCell ref="W260:X260"/>
    <mergeCell ref="U262:W262"/>
    <mergeCell ref="U254:W254"/>
    <mergeCell ref="T190:AE190"/>
    <mergeCell ref="X176:Y176"/>
    <mergeCell ref="AA339:AF339"/>
    <mergeCell ref="T195:U195"/>
    <mergeCell ref="D219:Z219"/>
    <mergeCell ref="AC233:AE233"/>
    <mergeCell ref="P290:R290"/>
    <mergeCell ref="AA296:AK296"/>
    <mergeCell ref="L273:AJ273"/>
    <mergeCell ref="H290:M290"/>
    <mergeCell ref="M244:T244"/>
    <mergeCell ref="D207:M207"/>
    <mergeCell ref="Z246:AE246"/>
    <mergeCell ref="D204:M204"/>
    <mergeCell ref="M264:T264"/>
    <mergeCell ref="V275:W275"/>
    <mergeCell ref="A281:AL282"/>
    <mergeCell ref="AA295:AK295"/>
    <mergeCell ref="Z262:AE262"/>
    <mergeCell ref="M235:R235"/>
    <mergeCell ref="Z235:AE235"/>
    <mergeCell ref="AA316:AK316"/>
    <mergeCell ref="M238:AE238"/>
    <mergeCell ref="AA237:AK237"/>
    <mergeCell ref="AA298:AF298"/>
    <mergeCell ref="AA286:AK28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Y132:AK132"/>
    <mergeCell ref="A11:AL11"/>
    <mergeCell ref="O155:AH155"/>
    <mergeCell ref="O153:AH153"/>
    <mergeCell ref="O154:AH154"/>
    <mergeCell ref="M236:AE236"/>
    <mergeCell ref="AI226:AJ226"/>
    <mergeCell ref="AI228:AJ228"/>
    <mergeCell ref="I185:AE185"/>
    <mergeCell ref="U175:V175"/>
    <mergeCell ref="I184:AE184"/>
    <mergeCell ref="D164:AH164"/>
    <mergeCell ref="M242:AE242"/>
    <mergeCell ref="AI178:AK178"/>
    <mergeCell ref="J174:Z174"/>
    <mergeCell ref="AO645:AS645"/>
    <mergeCell ref="AO643:AS643"/>
    <mergeCell ref="X646:AB646"/>
    <mergeCell ref="X647:AB647"/>
    <mergeCell ref="AA318:AK318"/>
    <mergeCell ref="H335:R335"/>
    <mergeCell ref="H327:R327"/>
    <mergeCell ref="AA319:AK319"/>
    <mergeCell ref="AA336:AK336"/>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P345:AE345"/>
    <mergeCell ref="AA338:AF338"/>
    <mergeCell ref="AI322:AK322"/>
    <mergeCell ref="AC529:AF529"/>
    <mergeCell ref="W563:Y563"/>
    <mergeCell ref="AC548:AF548"/>
    <mergeCell ref="D449:AF449"/>
    <mergeCell ref="D450:AJ451"/>
    <mergeCell ref="W469:Y469"/>
    <mergeCell ref="AD492:AH492"/>
    <mergeCell ref="K729:N729"/>
    <mergeCell ref="J715:O715"/>
    <mergeCell ref="J714:X714"/>
    <mergeCell ref="G731:J731"/>
    <mergeCell ref="G732:J732"/>
    <mergeCell ref="O724:S727"/>
    <mergeCell ref="W710:AK710"/>
    <mergeCell ref="AG691:AH691"/>
    <mergeCell ref="AE706:AI706"/>
    <mergeCell ref="H690:R690"/>
    <mergeCell ref="AA320:AK320"/>
    <mergeCell ref="N191:AE192"/>
    <mergeCell ref="T733:X733"/>
    <mergeCell ref="T734:X734"/>
    <mergeCell ref="T735:X735"/>
    <mergeCell ref="Z653:AK653"/>
    <mergeCell ref="AF644:AJ644"/>
    <mergeCell ref="AF645:AJ645"/>
    <mergeCell ref="L275:S275"/>
    <mergeCell ref="L277:Q277"/>
    <mergeCell ref="H315:M315"/>
    <mergeCell ref="AA305:AK305"/>
    <mergeCell ref="AA302:AK302"/>
    <mergeCell ref="D269:H269"/>
    <mergeCell ref="H287:R287"/>
    <mergeCell ref="AC260:AE260"/>
    <mergeCell ref="M253:AE253"/>
    <mergeCell ref="L274:AD274"/>
    <mergeCell ref="M233:T233"/>
    <mergeCell ref="W233:X233"/>
    <mergeCell ref="M231:AK231"/>
    <mergeCell ref="T266:X266"/>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U826:X826"/>
    <mergeCell ref="Y826:AB826"/>
    <mergeCell ref="Q827:T827"/>
    <mergeCell ref="T788:W788"/>
    <mergeCell ref="T789:W789"/>
    <mergeCell ref="T790:W790"/>
    <mergeCell ref="M824:P824"/>
    <mergeCell ref="J795:N795"/>
    <mergeCell ref="O795:S795"/>
    <mergeCell ref="O796:S796"/>
    <mergeCell ref="T791:W791"/>
    <mergeCell ref="T792:W792"/>
    <mergeCell ref="AC826:AF826"/>
    <mergeCell ref="Y824:AB824"/>
    <mergeCell ref="AC824:AF824"/>
    <mergeCell ref="Y747:AB747"/>
    <mergeCell ref="O774:S774"/>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O794:S794"/>
    <mergeCell ref="AG825:AJ825"/>
    <mergeCell ref="C828:H828"/>
    <mergeCell ref="W841:AC841"/>
    <mergeCell ref="AG828:AJ828"/>
    <mergeCell ref="B751:F751"/>
    <mergeCell ref="U825:X825"/>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J847:V847"/>
    <mergeCell ref="AC891:AH891"/>
    <mergeCell ref="W853:AC853"/>
    <mergeCell ref="AC890:AH890"/>
    <mergeCell ref="BD907:BF907"/>
    <mergeCell ref="BD901:BE901"/>
    <mergeCell ref="BD903:BE903"/>
    <mergeCell ref="BD904:BE904"/>
    <mergeCell ref="C830:L830"/>
    <mergeCell ref="Q830:T830"/>
    <mergeCell ref="M830:P830"/>
    <mergeCell ref="W851:AC851"/>
    <mergeCell ref="AC887:AH887"/>
    <mergeCell ref="W859:AC859"/>
    <mergeCell ref="M872:V872"/>
    <mergeCell ref="AC884:AH884"/>
    <mergeCell ref="AA930:AF930"/>
    <mergeCell ref="AA929:AF929"/>
    <mergeCell ref="F913:T914"/>
    <mergeCell ref="U917:Z917"/>
    <mergeCell ref="U927:Z927"/>
    <mergeCell ref="U923:Z923"/>
    <mergeCell ref="AA916:AF916"/>
    <mergeCell ref="W864:AC864"/>
    <mergeCell ref="W867:AC867"/>
    <mergeCell ref="AC886:AH886"/>
    <mergeCell ref="U915:Z915"/>
    <mergeCell ref="W868:AC868"/>
    <mergeCell ref="W870:AC870"/>
    <mergeCell ref="W873:AC873"/>
    <mergeCell ref="W872:AC872"/>
    <mergeCell ref="W855:AC855"/>
    <mergeCell ref="U932:Z932"/>
    <mergeCell ref="U926:Z926"/>
    <mergeCell ref="AA926:AF926"/>
    <mergeCell ref="AA915:AF915"/>
    <mergeCell ref="Z896:AE896"/>
    <mergeCell ref="AC882:AH882"/>
    <mergeCell ref="AE946:AK946"/>
    <mergeCell ref="AA922:AF922"/>
    <mergeCell ref="AE942:AK942"/>
    <mergeCell ref="AA952:AG952"/>
    <mergeCell ref="AE939:AK939"/>
    <mergeCell ref="AA951:AG951"/>
    <mergeCell ref="AA957:AG957"/>
    <mergeCell ref="M957:S957"/>
    <mergeCell ref="T856:V856"/>
    <mergeCell ref="T858:V858"/>
    <mergeCell ref="W865:AC865"/>
    <mergeCell ref="M952:S952"/>
    <mergeCell ref="AC885:AH885"/>
    <mergeCell ref="M955:S955"/>
    <mergeCell ref="I934:T934"/>
    <mergeCell ref="M942:S942"/>
    <mergeCell ref="AC892:AH892"/>
    <mergeCell ref="Z897:AE89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M940:S940"/>
    <mergeCell ref="AA933:AF933"/>
    <mergeCell ref="AA919:AF919"/>
    <mergeCell ref="U921:Z921"/>
    <mergeCell ref="AA920:AF920"/>
    <mergeCell ref="AB914:AE914"/>
    <mergeCell ref="AA924:AF924"/>
    <mergeCell ref="J941:S941"/>
    <mergeCell ref="AA956:AG956"/>
    <mergeCell ref="AE943:AK94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B734:F734"/>
    <mergeCell ref="W958:AG958"/>
    <mergeCell ref="AA955:AG95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B739:F739"/>
    <mergeCell ref="X776:AB776"/>
    <mergeCell ref="X768:AB771"/>
    <mergeCell ref="K750:N750"/>
    <mergeCell ref="O739:S739"/>
    <mergeCell ref="AH744:AL744"/>
    <mergeCell ref="T739:X739"/>
    <mergeCell ref="T740:X740"/>
    <mergeCell ref="AC740:AG740"/>
    <mergeCell ref="AC741:AG741"/>
    <mergeCell ref="J774:N774"/>
    <mergeCell ref="Y828:AB828"/>
    <mergeCell ref="U828:X828"/>
    <mergeCell ref="M821:P822"/>
    <mergeCell ref="Q821:T822"/>
    <mergeCell ref="Z807:AE807"/>
    <mergeCell ref="AH753:AL753"/>
    <mergeCell ref="T753:X753"/>
    <mergeCell ref="AH786:AL786"/>
    <mergeCell ref="AH787:AL787"/>
    <mergeCell ref="AH788:AL788"/>
    <mergeCell ref="Y745:AB745"/>
    <mergeCell ref="C823:H823"/>
    <mergeCell ref="C824:H824"/>
    <mergeCell ref="U827:X827"/>
    <mergeCell ref="Q824:T824"/>
    <mergeCell ref="Y821:AB822"/>
    <mergeCell ref="B742:F742"/>
    <mergeCell ref="P814:Y814"/>
    <mergeCell ref="Y825:AB825"/>
    <mergeCell ref="U823:X823"/>
    <mergeCell ref="Q825:T825"/>
    <mergeCell ref="W850:AC850"/>
    <mergeCell ref="Y729:AB729"/>
    <mergeCell ref="B738:F738"/>
    <mergeCell ref="G750:J750"/>
    <mergeCell ref="O728:S728"/>
    <mergeCell ref="T732:X732"/>
    <mergeCell ref="B731:F731"/>
    <mergeCell ref="O734:S734"/>
    <mergeCell ref="O735:S735"/>
    <mergeCell ref="O736:S736"/>
    <mergeCell ref="O737:S737"/>
    <mergeCell ref="O738:S738"/>
    <mergeCell ref="AC737:AG737"/>
    <mergeCell ref="B741:F741"/>
    <mergeCell ref="B729:F729"/>
    <mergeCell ref="B736:F736"/>
    <mergeCell ref="B733:F733"/>
    <mergeCell ref="B728:F728"/>
    <mergeCell ref="B730:F730"/>
    <mergeCell ref="G730:J730"/>
    <mergeCell ref="G748:J748"/>
    <mergeCell ref="G747:J747"/>
    <mergeCell ref="G745:J745"/>
    <mergeCell ref="G746:J746"/>
    <mergeCell ref="O745:S745"/>
    <mergeCell ref="B740:F740"/>
    <mergeCell ref="AC734:AG734"/>
    <mergeCell ref="AC730:AG730"/>
    <mergeCell ref="AC731:AG731"/>
    <mergeCell ref="B744:F744"/>
    <mergeCell ref="B746:F746"/>
    <mergeCell ref="Y744:AB74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E717:AK717"/>
    <mergeCell ref="B724:F727"/>
    <mergeCell ref="AC775:AG775"/>
    <mergeCell ref="J768:N771"/>
    <mergeCell ref="Y749:AB749"/>
    <mergeCell ref="G752:J752"/>
    <mergeCell ref="G744:J744"/>
    <mergeCell ref="Y742:AB742"/>
    <mergeCell ref="Y741:AB741"/>
    <mergeCell ref="AC736:AG736"/>
    <mergeCell ref="O733:S733"/>
    <mergeCell ref="O782:S785"/>
    <mergeCell ref="K734:N734"/>
    <mergeCell ref="K735:N735"/>
    <mergeCell ref="B737:F737"/>
    <mergeCell ref="Y738:AB738"/>
    <mergeCell ref="AO640:AS640"/>
    <mergeCell ref="AC640:AE640"/>
    <mergeCell ref="AC641:AE641"/>
    <mergeCell ref="AC642:AE642"/>
    <mergeCell ref="AC643:AE643"/>
    <mergeCell ref="AC644:AE644"/>
    <mergeCell ref="R715:T715"/>
    <mergeCell ref="G728:J728"/>
    <mergeCell ref="W713:AK713"/>
    <mergeCell ref="G688:R688"/>
    <mergeCell ref="W716:AK716"/>
    <mergeCell ref="AA698:AK698"/>
    <mergeCell ref="G693:R693"/>
    <mergeCell ref="AI681:AK681"/>
    <mergeCell ref="Z679:AK679"/>
    <mergeCell ref="G687:R687"/>
    <mergeCell ref="T736:X736"/>
    <mergeCell ref="Y732:AB732"/>
    <mergeCell ref="H666:R666"/>
    <mergeCell ref="G694:R694"/>
    <mergeCell ref="Z664:AK664"/>
    <mergeCell ref="AA690:AK690"/>
    <mergeCell ref="G681:L681"/>
    <mergeCell ref="O730:S730"/>
    <mergeCell ref="G673:L673"/>
    <mergeCell ref="Z687:AK687"/>
    <mergeCell ref="AE709:AI709"/>
    <mergeCell ref="AM733:AO733"/>
    <mergeCell ref="P657:R657"/>
    <mergeCell ref="AI657:AK657"/>
    <mergeCell ref="T729:X729"/>
    <mergeCell ref="T730:X730"/>
    <mergeCell ref="Z662:AK662"/>
    <mergeCell ref="G685:R685"/>
    <mergeCell ref="AA658:AK658"/>
    <mergeCell ref="N659:O659"/>
    <mergeCell ref="G686:R686"/>
    <mergeCell ref="G672:R672"/>
    <mergeCell ref="Y730:AB730"/>
    <mergeCell ref="Z688:AK688"/>
    <mergeCell ref="AC729:AG729"/>
    <mergeCell ref="AE708:AI708"/>
    <mergeCell ref="AG699:AH699"/>
    <mergeCell ref="AE703:AF703"/>
    <mergeCell ref="AE704:AF704"/>
    <mergeCell ref="G689:L689"/>
    <mergeCell ref="AM745:AO745"/>
    <mergeCell ref="AM743:AO743"/>
    <mergeCell ref="G734:J734"/>
    <mergeCell ref="K724:N727"/>
    <mergeCell ref="T737:X737"/>
    <mergeCell ref="AM738:AO738"/>
    <mergeCell ref="K736:N736"/>
    <mergeCell ref="Z694:AK694"/>
    <mergeCell ref="P697:R697"/>
    <mergeCell ref="Z696:AK696"/>
    <mergeCell ref="Z695:AK695"/>
    <mergeCell ref="AC733:AG733"/>
    <mergeCell ref="Y735:AB735"/>
    <mergeCell ref="AC738:AG738"/>
    <mergeCell ref="AH734:AL734"/>
    <mergeCell ref="AH735:AL735"/>
    <mergeCell ref="AH736:AL736"/>
    <mergeCell ref="T724:X727"/>
    <mergeCell ref="CC657:CG657"/>
    <mergeCell ref="CC650:CG650"/>
    <mergeCell ref="BX649:CB649"/>
    <mergeCell ref="O729:S729"/>
    <mergeCell ref="G695:R695"/>
    <mergeCell ref="H698:R698"/>
    <mergeCell ref="G729:J729"/>
    <mergeCell ref="G661:R661"/>
    <mergeCell ref="AM729:AO729"/>
    <mergeCell ref="G678:R678"/>
    <mergeCell ref="P681:R681"/>
    <mergeCell ref="AO651:AS651"/>
    <mergeCell ref="Z655:AK655"/>
    <mergeCell ref="BS655:BW655"/>
    <mergeCell ref="BS652:BW652"/>
    <mergeCell ref="BX655:CB655"/>
    <mergeCell ref="G653:R653"/>
    <mergeCell ref="G724:J727"/>
    <mergeCell ref="P673:R673"/>
    <mergeCell ref="G669:R669"/>
    <mergeCell ref="G671:R671"/>
    <mergeCell ref="G680:R680"/>
    <mergeCell ref="H682:R682"/>
    <mergeCell ref="BS649:BW649"/>
    <mergeCell ref="G697:L697"/>
    <mergeCell ref="AC728:AG728"/>
    <mergeCell ref="B649:AN649"/>
    <mergeCell ref="B650:AN650"/>
    <mergeCell ref="B651:AN651"/>
    <mergeCell ref="AE705:AI705"/>
    <mergeCell ref="N691:O691"/>
    <mergeCell ref="N683:O683"/>
    <mergeCell ref="AO638:AS638"/>
    <mergeCell ref="AO641:AS641"/>
    <mergeCell ref="AO648:AS648"/>
    <mergeCell ref="AO639:AS639"/>
    <mergeCell ref="AO646:AS646"/>
    <mergeCell ref="AO637:AS637"/>
    <mergeCell ref="AO647:AS647"/>
    <mergeCell ref="AF640:AJ640"/>
    <mergeCell ref="DC614:DG614"/>
    <mergeCell ref="CS615:CW615"/>
    <mergeCell ref="CX615:DB615"/>
    <mergeCell ref="CS620:CW620"/>
    <mergeCell ref="BS641:BW641"/>
    <mergeCell ref="AO642:AS642"/>
    <mergeCell ref="AO634:AS636"/>
    <mergeCell ref="G620:R620"/>
    <mergeCell ref="H624:R624"/>
    <mergeCell ref="Z614:AK614"/>
    <mergeCell ref="P623:R623"/>
    <mergeCell ref="Z622:AK622"/>
    <mergeCell ref="Z620:AK620"/>
    <mergeCell ref="G623:L623"/>
    <mergeCell ref="G622:R622"/>
    <mergeCell ref="Z621:AK621"/>
    <mergeCell ref="CX620:DB620"/>
    <mergeCell ref="DC620:DG620"/>
    <mergeCell ref="AG625:AH625"/>
    <mergeCell ref="N625:O625"/>
    <mergeCell ref="AK639:AN639"/>
    <mergeCell ref="AK640:AN640"/>
    <mergeCell ref="AK641:AN641"/>
    <mergeCell ref="AK642:AN642"/>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23:M323"/>
    <mergeCell ref="H318:R318"/>
    <mergeCell ref="DM609:DQ609"/>
    <mergeCell ref="H337:R337"/>
    <mergeCell ref="AA340:AK340"/>
    <mergeCell ref="P423:Q423"/>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CX609:DB609"/>
    <mergeCell ref="DH611:DL611"/>
    <mergeCell ref="DC609:DG609"/>
    <mergeCell ref="DM613:DQ613"/>
    <mergeCell ref="DR613:DV613"/>
    <mergeCell ref="CS612:CW612"/>
    <mergeCell ref="DM614:DQ614"/>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CX611:DB611"/>
    <mergeCell ref="CX612:DB612"/>
    <mergeCell ref="DC612:DG612"/>
    <mergeCell ref="DH612:DL612"/>
    <mergeCell ref="DH614:DL614"/>
    <mergeCell ref="DC613:DG613"/>
    <mergeCell ref="DH613:DL613"/>
    <mergeCell ref="DH619:DL619"/>
    <mergeCell ref="DR614:DV614"/>
    <mergeCell ref="CS613:CW613"/>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X644:CB644"/>
    <mergeCell ref="CC644:CG64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43:S743"/>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Z657:AE657"/>
    <mergeCell ref="H658:R658"/>
    <mergeCell ref="P665:R665"/>
    <mergeCell ref="Z672:AK672"/>
    <mergeCell ref="Z663:AK663"/>
    <mergeCell ref="AI665:AK665"/>
    <mergeCell ref="Z654:AK654"/>
    <mergeCell ref="G662:R662"/>
    <mergeCell ref="G657:L65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93:AK693"/>
    <mergeCell ref="C641:N641"/>
    <mergeCell ref="C642:N642"/>
    <mergeCell ref="C643:N643"/>
    <mergeCell ref="N675:O675"/>
    <mergeCell ref="G670:R670"/>
    <mergeCell ref="Z661:AK661"/>
    <mergeCell ref="O646:Q646"/>
    <mergeCell ref="O647:Q647"/>
    <mergeCell ref="AG659:AH659"/>
    <mergeCell ref="Z656:AK656"/>
    <mergeCell ref="AF648:AJ648"/>
    <mergeCell ref="Z677:AK677"/>
    <mergeCell ref="O732:S732"/>
    <mergeCell ref="K730:N730"/>
    <mergeCell ref="K731:N731"/>
    <mergeCell ref="T731:X731"/>
    <mergeCell ref="Z689:AE689"/>
    <mergeCell ref="A8:AL8"/>
    <mergeCell ref="S501:AK502"/>
    <mergeCell ref="I409:AE409"/>
    <mergeCell ref="AF178:AG178"/>
    <mergeCell ref="D1044:AK1049"/>
    <mergeCell ref="D1050:AK1055"/>
    <mergeCell ref="D1056:AK1062"/>
    <mergeCell ref="D1063:AK1065"/>
    <mergeCell ref="O648:Q648"/>
    <mergeCell ref="R640:T640"/>
    <mergeCell ref="R641:T641"/>
    <mergeCell ref="X639:AB639"/>
    <mergeCell ref="G663:R663"/>
    <mergeCell ref="AF639:AJ639"/>
    <mergeCell ref="R642:T642"/>
    <mergeCell ref="U641:W641"/>
    <mergeCell ref="U640:W640"/>
    <mergeCell ref="AK643:AN643"/>
    <mergeCell ref="AK644:AN644"/>
    <mergeCell ref="AK645:AN645"/>
    <mergeCell ref="AK646:AN646"/>
    <mergeCell ref="AK647:AN647"/>
    <mergeCell ref="AK648:AN648"/>
    <mergeCell ref="AC739:AG739"/>
    <mergeCell ref="O744:S744"/>
    <mergeCell ref="T738:X738"/>
    <mergeCell ref="AC735:AG735"/>
    <mergeCell ref="Y739:AB739"/>
    <mergeCell ref="AH740:AL740"/>
    <mergeCell ref="K740:N740"/>
    <mergeCell ref="K741:N741"/>
    <mergeCell ref="T741:X741"/>
    <mergeCell ref="G677:R677"/>
    <mergeCell ref="H674:R674"/>
    <mergeCell ref="G664:R664"/>
    <mergeCell ref="AI673:AK673"/>
    <mergeCell ref="Z671:AK671"/>
    <mergeCell ref="G679:R679"/>
    <mergeCell ref="AH724:AL727"/>
    <mergeCell ref="AH730:AL730"/>
    <mergeCell ref="Y724:AB727"/>
    <mergeCell ref="G740:J740"/>
    <mergeCell ref="K728:N728"/>
    <mergeCell ref="Y728:AB728"/>
    <mergeCell ref="Z680:AK680"/>
    <mergeCell ref="O731:S731"/>
    <mergeCell ref="Z681:AE681"/>
    <mergeCell ref="Z678:AK678"/>
    <mergeCell ref="Z697:AE697"/>
    <mergeCell ref="AI697:AK697"/>
    <mergeCell ref="AC724:AG727"/>
    <mergeCell ref="K732:N732"/>
    <mergeCell ref="K733:N733"/>
    <mergeCell ref="T728:X728"/>
    <mergeCell ref="Z686:AK686"/>
    <mergeCell ref="B735:F735"/>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AC749:AG749"/>
    <mergeCell ref="AC750:AG750"/>
    <mergeCell ref="J789:N789"/>
    <mergeCell ref="O789:S789"/>
    <mergeCell ref="AH749:AL749"/>
    <mergeCell ref="AC788:AG788"/>
    <mergeCell ref="AC789:AG789"/>
    <mergeCell ref="AC790:AG790"/>
    <mergeCell ref="O787:S787"/>
    <mergeCell ref="AC742:AG742"/>
    <mergeCell ref="AC743:AG743"/>
    <mergeCell ref="AC744:AG744"/>
    <mergeCell ref="AH792:AL792"/>
    <mergeCell ref="B753:F753"/>
    <mergeCell ref="O776:S776"/>
    <mergeCell ref="AC795:AG795"/>
    <mergeCell ref="B749:F749"/>
    <mergeCell ref="B750:F750"/>
    <mergeCell ref="B743:F743"/>
    <mergeCell ref="O751:S751"/>
    <mergeCell ref="O752:S752"/>
    <mergeCell ref="K742:N742"/>
    <mergeCell ref="K743:N743"/>
    <mergeCell ref="AC825:AF825"/>
    <mergeCell ref="B748:F748"/>
    <mergeCell ref="J791:N791"/>
    <mergeCell ref="AC796:AG796"/>
    <mergeCell ref="AC786:AG786"/>
    <mergeCell ref="AH789:AL789"/>
    <mergeCell ref="AH790:AL790"/>
    <mergeCell ref="AH791:AL791"/>
    <mergeCell ref="B747:F747"/>
    <mergeCell ref="B745:F745"/>
    <mergeCell ref="T794:W794"/>
    <mergeCell ref="AC745:AG745"/>
    <mergeCell ref="AC746:AG746"/>
    <mergeCell ref="AC747:AG747"/>
    <mergeCell ref="AC748:AG748"/>
    <mergeCell ref="O790:S790"/>
    <mergeCell ref="AH795:AL795"/>
    <mergeCell ref="Z815:AE815"/>
    <mergeCell ref="J788:N788"/>
    <mergeCell ref="O788:S788"/>
    <mergeCell ref="AH745:AL745"/>
    <mergeCell ref="AH746:AL746"/>
    <mergeCell ref="O793:S793"/>
    <mergeCell ref="J790:N790"/>
    <mergeCell ref="Y748:AB748"/>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AC791:AG791"/>
    <mergeCell ref="G749:J749"/>
    <mergeCell ref="AJ969:AQ969"/>
    <mergeCell ref="AJ970:AQ970"/>
    <mergeCell ref="AJ971:AQ971"/>
    <mergeCell ref="AH793:AL793"/>
    <mergeCell ref="AH794:AL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J793:N793"/>
    <mergeCell ref="AH748:AL748"/>
    <mergeCell ref="K748:N748"/>
    <mergeCell ref="K749:N749"/>
    <mergeCell ref="C835:AJ835"/>
    <mergeCell ref="E883:AB883"/>
    <mergeCell ref="W847:AC847"/>
    <mergeCell ref="AC787:AG787"/>
    <mergeCell ref="AC776:AG776"/>
    <mergeCell ref="J778:K778"/>
    <mergeCell ref="J786:N786"/>
    <mergeCell ref="O786:S786"/>
    <mergeCell ref="J776:N776"/>
    <mergeCell ref="AH782:AL785"/>
    <mergeCell ref="M956:S956"/>
    <mergeCell ref="M945:S945"/>
    <mergeCell ref="M959:S959"/>
    <mergeCell ref="M953:S953"/>
    <mergeCell ref="D968:Q968"/>
    <mergeCell ref="D969:Q969"/>
    <mergeCell ref="D970:Q970"/>
    <mergeCell ref="D971:Q971"/>
    <mergeCell ref="D972:Q972"/>
    <mergeCell ref="D973:Q973"/>
    <mergeCell ref="AJ968:AQ968"/>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G999:AH999"/>
    <mergeCell ref="AG1004:AH1004"/>
    <mergeCell ref="D995:AE995"/>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DX613:EB613"/>
    <mergeCell ref="EC613:EG613"/>
    <mergeCell ref="DX617:EB617"/>
    <mergeCell ref="EC617:EG617"/>
    <mergeCell ref="DX621:EB621"/>
    <mergeCell ref="EC621:EG621"/>
    <mergeCell ref="DX625:EB625"/>
    <mergeCell ref="EC625:EG625"/>
    <mergeCell ref="DX632:EB632"/>
    <mergeCell ref="EC632:EG632"/>
    <mergeCell ref="EC653:EG653"/>
    <mergeCell ref="DX662:EB662"/>
    <mergeCell ref="EC662:EG662"/>
    <mergeCell ref="EC663:EG663"/>
    <mergeCell ref="X643:AB643"/>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EH625:EL625"/>
    <mergeCell ref="EM625:EQ625"/>
    <mergeCell ref="ER625:EV625"/>
    <mergeCell ref="EW625:FA625"/>
    <mergeCell ref="DX626:EB626"/>
    <mergeCell ref="EC626:EG626"/>
    <mergeCell ref="EH626:EL626"/>
    <mergeCell ref="EM626:EQ626"/>
    <mergeCell ref="ER626:EV626"/>
    <mergeCell ref="EW626:FA626"/>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H632:EL632"/>
    <mergeCell ref="EM632:EQ632"/>
    <mergeCell ref="ER632:EV632"/>
    <mergeCell ref="EW632:FA63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H638:EL638"/>
    <mergeCell ref="EM638:EQ638"/>
    <mergeCell ref="ER638:EV638"/>
    <mergeCell ref="EW638:FA638"/>
    <mergeCell ref="DX639:EB639"/>
    <mergeCell ref="ER639:EV639"/>
    <mergeCell ref="EH639:EL639"/>
    <mergeCell ref="EM639:EQ639"/>
    <mergeCell ref="DX633:EB63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H655:EL655"/>
    <mergeCell ref="EM655:EQ655"/>
    <mergeCell ref="ER655:EV655"/>
    <mergeCell ref="EH662:EL662"/>
    <mergeCell ref="EM662:EQ662"/>
    <mergeCell ref="ER662:EV662"/>
    <mergeCell ref="EW662:FA662"/>
    <mergeCell ref="EH656:EL656"/>
    <mergeCell ref="EM653:EQ653"/>
    <mergeCell ref="BN652:BR652"/>
    <mergeCell ref="BN651:BR651"/>
    <mergeCell ref="BN649:BR649"/>
    <mergeCell ref="BN650:BR650"/>
    <mergeCell ref="AK637:AN637"/>
    <mergeCell ref="DX650:EB650"/>
    <mergeCell ref="EC650:EG650"/>
    <mergeCell ref="EC638:EG638"/>
    <mergeCell ref="X640:AB640"/>
    <mergeCell ref="DX643:EB643"/>
    <mergeCell ref="EC643:EG643"/>
    <mergeCell ref="EC639:EG639"/>
    <mergeCell ref="X641:AB641"/>
    <mergeCell ref="X642:AB642"/>
    <mergeCell ref="EW653:FA653"/>
    <mergeCell ref="ER653:EV653"/>
    <mergeCell ref="EH654:EL654"/>
    <mergeCell ref="EM654:EQ654"/>
    <mergeCell ref="EH653:EL653"/>
    <mergeCell ref="ER649:EV649"/>
    <mergeCell ref="EW649:FA649"/>
    <mergeCell ref="ER646:EV646"/>
    <mergeCell ref="ER651:EV651"/>
    <mergeCell ref="EW651:FA651"/>
    <mergeCell ref="ER654:EV654"/>
    <mergeCell ref="EW654:FA654"/>
    <mergeCell ref="EW650:FA650"/>
    <mergeCell ref="EH652:EL652"/>
    <mergeCell ref="ER650:EV650"/>
    <mergeCell ref="EM652:EQ652"/>
    <mergeCell ref="EW639:FA639"/>
    <mergeCell ref="EH643:EL64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EH663:EL663"/>
    <mergeCell ref="EM663:EQ663"/>
    <mergeCell ref="ER663:EV663"/>
    <mergeCell ref="DX653:EB653"/>
    <mergeCell ref="EC652:EG652"/>
    <mergeCell ref="EC651:EG651"/>
    <mergeCell ref="DX652:EB652"/>
    <mergeCell ref="EM656:EQ656"/>
    <mergeCell ref="ER656:EV656"/>
    <mergeCell ref="EM643:EQ643"/>
    <mergeCell ref="ER643:EV643"/>
    <mergeCell ref="ER640:EV640"/>
    <mergeCell ref="EH651:EL651"/>
    <mergeCell ref="EM651:EQ651"/>
    <mergeCell ref="DX655:EB655"/>
    <mergeCell ref="EC655:EG655"/>
    <mergeCell ref="DX654:EB654"/>
    <mergeCell ref="EC654:EG654"/>
    <mergeCell ref="DH652:DL652"/>
    <mergeCell ref="BN648:BR648"/>
    <mergeCell ref="BN641:BR641"/>
    <mergeCell ref="R643:T643"/>
    <mergeCell ref="R644:T644"/>
    <mergeCell ref="AO644:AS644"/>
    <mergeCell ref="BX640:CB640"/>
    <mergeCell ref="CM651:CQ651"/>
    <mergeCell ref="DR649:DV649"/>
    <mergeCell ref="DH650:DL650"/>
    <mergeCell ref="AO650:AS650"/>
    <mergeCell ref="DR650:DV650"/>
    <mergeCell ref="DM651:DQ651"/>
    <mergeCell ref="DR651:DV651"/>
    <mergeCell ref="AO649:AS649"/>
    <mergeCell ref="AF646:AJ646"/>
    <mergeCell ref="AC646:AE646"/>
    <mergeCell ref="AC647:AE647"/>
    <mergeCell ref="AC648:AE648"/>
    <mergeCell ref="U643:W643"/>
    <mergeCell ref="U644:W644"/>
    <mergeCell ref="U645:W645"/>
    <mergeCell ref="U646:W646"/>
    <mergeCell ref="U647:W647"/>
    <mergeCell ref="AF647:AJ647"/>
    <mergeCell ref="AF643:AJ643"/>
    <mergeCell ref="CH649:CL649"/>
    <mergeCell ref="BS650:BW650"/>
    <mergeCell ref="AC645:AE645"/>
    <mergeCell ref="BS651:BW651"/>
    <mergeCell ref="BS640:BW640"/>
    <mergeCell ref="BN640:BR640"/>
    <mergeCell ref="X648:AB648"/>
    <mergeCell ref="AM742:AO742"/>
    <mergeCell ref="AH729:AL729"/>
    <mergeCell ref="AH732:AL732"/>
    <mergeCell ref="BN663:BR663"/>
    <mergeCell ref="BN654:BR654"/>
    <mergeCell ref="BN653:BR653"/>
    <mergeCell ref="AM744:AO744"/>
    <mergeCell ref="CM663:CQ663"/>
    <mergeCell ref="CM652:CQ652"/>
    <mergeCell ref="BX657:CB657"/>
    <mergeCell ref="CC652:CG652"/>
    <mergeCell ref="CC653:CG653"/>
    <mergeCell ref="CC655:CG655"/>
    <mergeCell ref="DR656:DV656"/>
    <mergeCell ref="CS657:CW657"/>
    <mergeCell ref="CX657:DB657"/>
    <mergeCell ref="DC657:DG657"/>
    <mergeCell ref="DH657:DL657"/>
    <mergeCell ref="DM657:DQ657"/>
    <mergeCell ref="DR657:DV657"/>
    <mergeCell ref="CS654:CW654"/>
    <mergeCell ref="CS653:CW653"/>
    <mergeCell ref="DR654:DV654"/>
    <mergeCell ref="BS656:BW656"/>
    <mergeCell ref="BS657:BW657"/>
    <mergeCell ref="CX654:DB654"/>
    <mergeCell ref="DC654:DG654"/>
    <mergeCell ref="DH654:DL654"/>
    <mergeCell ref="DM654:DQ654"/>
    <mergeCell ref="CS652:CW652"/>
    <mergeCell ref="CX652:DB652"/>
    <mergeCell ref="DC652:DG652"/>
    <mergeCell ref="AM747:AO747"/>
    <mergeCell ref="AM751:AO751"/>
    <mergeCell ref="AM753:AO753"/>
    <mergeCell ref="AM734:AO734"/>
    <mergeCell ref="AM748:AO748"/>
    <mergeCell ref="AM746:AO746"/>
    <mergeCell ref="AH739:AL739"/>
    <mergeCell ref="AM730:AO730"/>
    <mergeCell ref="AI689:AK689"/>
    <mergeCell ref="AG667:AH667"/>
    <mergeCell ref="BS663:BW663"/>
    <mergeCell ref="AH731:AL731"/>
    <mergeCell ref="CH663:CL663"/>
    <mergeCell ref="BS653:BW653"/>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M652:DQ652"/>
    <mergeCell ref="CX653:DB653"/>
    <mergeCell ref="DC653:DG653"/>
    <mergeCell ref="DH653:DL653"/>
    <mergeCell ref="DM653:DQ653"/>
    <mergeCell ref="G582:L582"/>
    <mergeCell ref="O634:Q636"/>
    <mergeCell ref="R634:T636"/>
    <mergeCell ref="B634:N636"/>
    <mergeCell ref="DH649:DL649"/>
    <mergeCell ref="DM649:DQ649"/>
    <mergeCell ref="CS650:CW650"/>
    <mergeCell ref="CX650:DB650"/>
    <mergeCell ref="DC650:DG650"/>
    <mergeCell ref="O641:Q641"/>
    <mergeCell ref="O642:Q642"/>
    <mergeCell ref="O637:Q637"/>
    <mergeCell ref="CS634:CW634"/>
    <mergeCell ref="CX634:DB634"/>
    <mergeCell ref="AC639:AE639"/>
    <mergeCell ref="AF641:AJ641"/>
    <mergeCell ref="AF642:AJ642"/>
    <mergeCell ref="DM650:DQ650"/>
    <mergeCell ref="CS651:CW651"/>
    <mergeCell ref="CX651:DB651"/>
    <mergeCell ref="DC651:DG651"/>
    <mergeCell ref="DH651:DL651"/>
    <mergeCell ref="AA624:AK624"/>
    <mergeCell ref="U634:W636"/>
    <mergeCell ref="U637:W637"/>
    <mergeCell ref="U639:W639"/>
    <mergeCell ref="G621:R621"/>
    <mergeCell ref="H600:R600"/>
    <mergeCell ref="N585:O585"/>
    <mergeCell ref="Z595:AK595"/>
    <mergeCell ref="N593:O593"/>
    <mergeCell ref="C644:N644"/>
    <mergeCell ref="C645:N645"/>
    <mergeCell ref="C646:N646"/>
    <mergeCell ref="C647:N647"/>
    <mergeCell ref="C648:N648"/>
    <mergeCell ref="O643:Q643"/>
    <mergeCell ref="X638:AB638"/>
    <mergeCell ref="O645:Q645"/>
    <mergeCell ref="U648:W648"/>
    <mergeCell ref="Z615:AE615"/>
    <mergeCell ref="Z619:AK619"/>
    <mergeCell ref="G619:R619"/>
    <mergeCell ref="AI623:AK623"/>
    <mergeCell ref="R645:T645"/>
    <mergeCell ref="R646:T646"/>
    <mergeCell ref="R647:T647"/>
    <mergeCell ref="R648:T648"/>
    <mergeCell ref="AC638:AE638"/>
    <mergeCell ref="AC637:AE637"/>
    <mergeCell ref="R637:T637"/>
    <mergeCell ref="R639:T639"/>
    <mergeCell ref="X637:AB637"/>
    <mergeCell ref="X644:AB644"/>
    <mergeCell ref="X645:AB645"/>
    <mergeCell ref="U642:W642"/>
    <mergeCell ref="AK638:AN638"/>
    <mergeCell ref="AF637:AJ637"/>
    <mergeCell ref="AF638:AJ638"/>
    <mergeCell ref="H326:R326"/>
    <mergeCell ref="AJ356:AK356"/>
    <mergeCell ref="AA334:AK334"/>
    <mergeCell ref="AA329:AK329"/>
    <mergeCell ref="AA332:AK332"/>
    <mergeCell ref="P342:AE342"/>
    <mergeCell ref="M354:N354"/>
    <mergeCell ref="AG389:AJ389"/>
    <mergeCell ref="N371:Q371"/>
    <mergeCell ref="X634:AB636"/>
    <mergeCell ref="M356:N356"/>
    <mergeCell ref="R410:S410"/>
    <mergeCell ref="G472:V472"/>
    <mergeCell ref="C564:P564"/>
    <mergeCell ref="C565:P565"/>
    <mergeCell ref="G580:R580"/>
    <mergeCell ref="A627:AS628"/>
    <mergeCell ref="AF634:AJ636"/>
    <mergeCell ref="T566:V566"/>
    <mergeCell ref="G579:R579"/>
    <mergeCell ref="H330:M330"/>
    <mergeCell ref="H340:R340"/>
    <mergeCell ref="H339:M339"/>
    <mergeCell ref="AH515:AK515"/>
    <mergeCell ref="T490:X490"/>
    <mergeCell ref="Q500:AK500"/>
    <mergeCell ref="T491:X491"/>
    <mergeCell ref="Y488:AC488"/>
    <mergeCell ref="AH518:AK518"/>
    <mergeCell ref="L520:AB520"/>
    <mergeCell ref="T492:X492"/>
    <mergeCell ref="A478:AL479"/>
    <mergeCell ref="P344:AE344"/>
    <mergeCell ref="AI338:AK338"/>
    <mergeCell ref="AA337:AK337"/>
    <mergeCell ref="J384:U384"/>
    <mergeCell ref="V380:W380"/>
    <mergeCell ref="AC346:AE346"/>
    <mergeCell ref="Q390:U390"/>
    <mergeCell ref="AD376:AE376"/>
    <mergeCell ref="J385:U385"/>
    <mergeCell ref="AC541:AF541"/>
    <mergeCell ref="AH539:AK539"/>
    <mergeCell ref="O544:AA544"/>
    <mergeCell ref="N609:O609"/>
    <mergeCell ref="P346:Z346"/>
    <mergeCell ref="DR652:DV652"/>
    <mergeCell ref="DR653:DV653"/>
    <mergeCell ref="Z612:AK612"/>
    <mergeCell ref="Z623:AE623"/>
    <mergeCell ref="Z611:AK611"/>
    <mergeCell ref="AK634:AN636"/>
    <mergeCell ref="AC634:AE636"/>
    <mergeCell ref="M584:R584"/>
    <mergeCell ref="P591:R591"/>
    <mergeCell ref="AG609:AH609"/>
    <mergeCell ref="AI607:AK607"/>
    <mergeCell ref="AG601:AH601"/>
    <mergeCell ref="Z599:AE599"/>
    <mergeCell ref="Z606:AK606"/>
    <mergeCell ref="AF584:AK584"/>
    <mergeCell ref="O644:Q644"/>
    <mergeCell ref="O639:Q639"/>
    <mergeCell ref="O640:Q64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3" zoomScale="90" zoomScaleNormal="100" zoomScaleSheetLayoutView="90" workbookViewId="0">
      <selection activeCell="B104" sqref="B104"/>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0" t="s">
        <v>656</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393</v>
      </c>
      <c r="D2" s="208" t="s">
        <v>392</v>
      </c>
      <c r="E2" s="208" t="s">
        <v>25</v>
      </c>
      <c r="F2" s="209" t="str">
        <f>Application!B637&amp;Application!C637</f>
        <v>1)Align Finance - Series A1 New Bonds</v>
      </c>
      <c r="G2" s="209" t="str">
        <f>Application!B638&amp;Application!C638</f>
        <v>2)NOI during lease up</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1175000</v>
      </c>
      <c r="C4" s="217">
        <v>1175000</v>
      </c>
      <c r="D4" s="217"/>
      <c r="E4" s="217">
        <v>1175000</v>
      </c>
      <c r="F4" s="217"/>
      <c r="G4" s="217"/>
      <c r="H4" s="217"/>
      <c r="I4" s="217"/>
      <c r="J4" s="217"/>
      <c r="K4" s="217"/>
      <c r="L4" s="217"/>
      <c r="M4" s="217"/>
      <c r="N4" s="217"/>
      <c r="O4" s="217"/>
      <c r="P4" s="217"/>
      <c r="Q4" s="217"/>
      <c r="R4" s="881">
        <f>SUM(E4:Q4)</f>
        <v>1175000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100000</v>
      </c>
      <c r="C6" s="217">
        <v>100000</v>
      </c>
      <c r="D6" s="217"/>
      <c r="E6" s="217">
        <v>100000</v>
      </c>
      <c r="F6" s="217"/>
      <c r="G6" s="217"/>
      <c r="H6" s="217"/>
      <c r="I6" s="217"/>
      <c r="J6" s="217"/>
      <c r="K6" s="217"/>
      <c r="L6" s="217"/>
      <c r="M6" s="217"/>
      <c r="N6" s="217"/>
      <c r="O6" s="217"/>
      <c r="P6" s="217"/>
      <c r="Q6" s="217"/>
      <c r="R6" s="881">
        <f>SUM(E6:Q6)</f>
        <v>100000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1275000</v>
      </c>
      <c r="C8" s="216">
        <f t="shared" ref="C8:Q8" si="0">SUM(C4:C7)</f>
        <v>1275000</v>
      </c>
      <c r="D8" s="216">
        <f t="shared" si="0"/>
        <v>0</v>
      </c>
      <c r="E8" s="216">
        <f t="shared" si="0"/>
        <v>1275000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1275000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1275000</v>
      </c>
      <c r="C12" s="216">
        <f t="shared" si="2"/>
        <v>1275000</v>
      </c>
      <c r="D12" s="216">
        <f t="shared" si="2"/>
        <v>0</v>
      </c>
      <c r="E12" s="216">
        <f t="shared" si="2"/>
        <v>1275000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1275000</v>
      </c>
      <c r="S12" s="218"/>
      <c r="T12" s="218"/>
      <c r="U12" s="213"/>
    </row>
    <row r="13" spans="1:21" s="214" customFormat="1">
      <c r="A13" s="450" t="s">
        <v>973</v>
      </c>
      <c r="B13" s="216">
        <f>SUM(C13+D13)</f>
        <v>100000</v>
      </c>
      <c r="C13" s="217">
        <v>100000</v>
      </c>
      <c r="D13" s="217"/>
      <c r="E13" s="217">
        <v>100000</v>
      </c>
      <c r="F13" s="217"/>
      <c r="G13" s="217"/>
      <c r="H13" s="217"/>
      <c r="I13" s="217"/>
      <c r="J13" s="217"/>
      <c r="K13" s="217"/>
      <c r="L13" s="217"/>
      <c r="M13" s="217"/>
      <c r="N13" s="217"/>
      <c r="O13" s="217"/>
      <c r="P13" s="217"/>
      <c r="Q13" s="217"/>
      <c r="R13" s="881">
        <f>SUM(E13:Q13)</f>
        <v>100000</v>
      </c>
      <c r="S13" s="217">
        <v>100000</v>
      </c>
      <c r="T13" s="217"/>
      <c r="U13" s="213"/>
    </row>
    <row r="14" spans="1:21" s="214" customFormat="1" ht="24">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2089244</v>
      </c>
      <c r="C29" s="217">
        <v>2089244</v>
      </c>
      <c r="D29" s="217"/>
      <c r="E29" s="217">
        <v>2089244</v>
      </c>
      <c r="F29" s="217"/>
      <c r="G29" s="217"/>
      <c r="H29" s="217"/>
      <c r="I29" s="217"/>
      <c r="J29" s="217"/>
      <c r="K29" s="217"/>
      <c r="L29" s="217"/>
      <c r="M29" s="217"/>
      <c r="N29" s="217"/>
      <c r="O29" s="217"/>
      <c r="P29" s="217"/>
      <c r="Q29" s="217"/>
      <c r="R29" s="881">
        <f t="shared" ref="R29:R37" si="7">SUM(E29:Q29)</f>
        <v>2089244</v>
      </c>
      <c r="S29" s="217">
        <v>2089244</v>
      </c>
      <c r="T29" s="217"/>
      <c r="U29" s="213"/>
    </row>
    <row r="30" spans="1:21" s="214" customFormat="1">
      <c r="A30" s="215" t="s">
        <v>634</v>
      </c>
      <c r="B30" s="216">
        <f t="shared" si="6"/>
        <v>30000000</v>
      </c>
      <c r="C30" s="217">
        <v>30000000</v>
      </c>
      <c r="D30" s="217"/>
      <c r="E30" s="217">
        <v>4550000</v>
      </c>
      <c r="F30" s="217">
        <v>25450000</v>
      </c>
      <c r="G30" s="217"/>
      <c r="H30" s="217"/>
      <c r="I30" s="217"/>
      <c r="J30" s="217"/>
      <c r="K30" s="217"/>
      <c r="L30" s="217"/>
      <c r="M30" s="217"/>
      <c r="N30" s="217"/>
      <c r="O30" s="217"/>
      <c r="P30" s="217"/>
      <c r="Q30" s="217"/>
      <c r="R30" s="881">
        <f t="shared" si="7"/>
        <v>30000000</v>
      </c>
      <c r="S30" s="217">
        <v>30000000</v>
      </c>
      <c r="T30" s="217"/>
      <c r="U30" s="213"/>
    </row>
    <row r="31" spans="1:21" s="214" customFormat="1">
      <c r="A31" s="215" t="s">
        <v>635</v>
      </c>
      <c r="B31" s="216">
        <f t="shared" si="6"/>
        <v>2423988</v>
      </c>
      <c r="C31" s="217">
        <v>2423988</v>
      </c>
      <c r="D31" s="217"/>
      <c r="E31" s="217">
        <v>2423988</v>
      </c>
      <c r="F31" s="217"/>
      <c r="G31" s="217"/>
      <c r="H31" s="1706" t="s">
        <v>257</v>
      </c>
      <c r="I31" s="217"/>
      <c r="J31" s="217"/>
      <c r="K31" s="217"/>
      <c r="L31" s="217"/>
      <c r="M31" s="217"/>
      <c r="N31" s="217"/>
      <c r="O31" s="217"/>
      <c r="P31" s="217"/>
      <c r="Q31" s="217"/>
      <c r="R31" s="881">
        <f t="shared" si="7"/>
        <v>2423988</v>
      </c>
      <c r="S31" s="217">
        <v>2423988</v>
      </c>
      <c r="T31" s="217"/>
      <c r="U31" s="213"/>
    </row>
    <row r="32" spans="1:21" s="214" customFormat="1">
      <c r="A32" s="215" t="s">
        <v>142</v>
      </c>
      <c r="B32" s="216">
        <f t="shared" si="6"/>
        <v>1224759</v>
      </c>
      <c r="C32" s="217">
        <v>1224759</v>
      </c>
      <c r="D32" s="217"/>
      <c r="E32" s="217">
        <v>1224759</v>
      </c>
      <c r="F32" s="217"/>
      <c r="G32" s="217"/>
      <c r="H32" s="217"/>
      <c r="I32" s="217"/>
      <c r="J32" s="217"/>
      <c r="K32" s="217"/>
      <c r="L32" s="217"/>
      <c r="M32" s="217"/>
      <c r="N32" s="217"/>
      <c r="O32" s="217"/>
      <c r="P32" s="217"/>
      <c r="Q32" s="217"/>
      <c r="R32" s="881">
        <f t="shared" si="7"/>
        <v>1224759</v>
      </c>
      <c r="S32" s="217">
        <v>1224759</v>
      </c>
      <c r="T32" s="217"/>
      <c r="U32" s="213"/>
    </row>
    <row r="33" spans="1:21" s="214" customFormat="1">
      <c r="A33" s="215" t="s">
        <v>143</v>
      </c>
      <c r="B33" s="216">
        <f t="shared" si="6"/>
        <v>1000000</v>
      </c>
      <c r="C33" s="217">
        <v>1000000</v>
      </c>
      <c r="D33" s="217"/>
      <c r="E33" s="217">
        <v>1000000</v>
      </c>
      <c r="F33" s="217"/>
      <c r="G33" s="217"/>
      <c r="H33" s="217"/>
      <c r="I33" s="217"/>
      <c r="J33" s="217"/>
      <c r="K33" s="217"/>
      <c r="L33" s="217"/>
      <c r="M33" s="217"/>
      <c r="N33" s="217"/>
      <c r="O33" s="217"/>
      <c r="P33" s="217"/>
      <c r="Q33" s="217"/>
      <c r="R33" s="881">
        <f t="shared" si="7"/>
        <v>1000000</v>
      </c>
      <c r="S33" s="217">
        <v>1000000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695033</v>
      </c>
      <c r="C35" s="217">
        <v>695033</v>
      </c>
      <c r="D35" s="217"/>
      <c r="E35" s="217">
        <v>695033</v>
      </c>
      <c r="F35" s="217"/>
      <c r="G35" s="217"/>
      <c r="H35" s="217"/>
      <c r="I35" s="217"/>
      <c r="J35" s="217"/>
      <c r="K35" s="217"/>
      <c r="L35" s="217"/>
      <c r="M35" s="217"/>
      <c r="N35" s="217"/>
      <c r="O35" s="217"/>
      <c r="P35" s="217"/>
      <c r="Q35" s="217"/>
      <c r="R35" s="881">
        <f t="shared" si="7"/>
        <v>695033</v>
      </c>
      <c r="S35" s="217">
        <v>695033</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37433024</v>
      </c>
      <c r="C38" s="216">
        <f>SUM(C29:C37)</f>
        <v>37433024</v>
      </c>
      <c r="D38" s="216">
        <f t="shared" ref="D38:Q38" si="8">SUM(D29:D37)</f>
        <v>0</v>
      </c>
      <c r="E38" s="216">
        <f t="shared" si="8"/>
        <v>11983024</v>
      </c>
      <c r="F38" s="216">
        <f t="shared" si="8"/>
        <v>25450000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37433024</v>
      </c>
      <c r="S38" s="220">
        <f>SUM(S29:S37)</f>
        <v>37433024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1473000</v>
      </c>
      <c r="C40" s="217">
        <v>1473000</v>
      </c>
      <c r="D40" s="217"/>
      <c r="E40" s="217">
        <v>1473000</v>
      </c>
      <c r="F40" s="217"/>
      <c r="G40" s="217"/>
      <c r="H40" s="217"/>
      <c r="I40" s="217"/>
      <c r="J40" s="217"/>
      <c r="K40" s="217"/>
      <c r="L40" s="217"/>
      <c r="M40" s="217"/>
      <c r="N40" s="217"/>
      <c r="O40" s="217"/>
      <c r="P40" s="217"/>
      <c r="Q40" s="217"/>
      <c r="R40" s="881">
        <f>SUM(E40:Q40)</f>
        <v>1473000</v>
      </c>
      <c r="S40" s="217">
        <v>1473000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1473000</v>
      </c>
      <c r="C42" s="216">
        <f>SUM(C39:C41)</f>
        <v>1473000</v>
      </c>
      <c r="D42" s="216">
        <f>SUM(D39:D41)</f>
        <v>0</v>
      </c>
      <c r="E42" s="216">
        <f t="shared" ref="E42:T42" si="9">SUM(E40:E41)</f>
        <v>1473000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1473000</v>
      </c>
      <c r="S42" s="220">
        <f t="shared" si="9"/>
        <v>1473000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3180012</v>
      </c>
      <c r="C45" s="217">
        <v>3180012</v>
      </c>
      <c r="D45" s="217"/>
      <c r="E45" s="217">
        <v>3180012</v>
      </c>
      <c r="F45" s="217"/>
      <c r="G45" s="217"/>
      <c r="H45" s="217"/>
      <c r="I45" s="217"/>
      <c r="J45" s="217"/>
      <c r="K45" s="217"/>
      <c r="L45" s="217"/>
      <c r="M45" s="217"/>
      <c r="N45" s="217"/>
      <c r="O45" s="217"/>
      <c r="P45" s="217"/>
      <c r="Q45" s="217"/>
      <c r="R45" s="881">
        <f t="shared" ref="R45:R53" si="11">SUM(E45:Q45)</f>
        <v>3180012</v>
      </c>
      <c r="S45" s="217">
        <v>1855732</v>
      </c>
      <c r="T45" s="217"/>
      <c r="U45" s="213"/>
    </row>
    <row r="46" spans="1:21" s="214" customFormat="1">
      <c r="A46" s="215" t="s">
        <v>156</v>
      </c>
      <c r="B46" s="216">
        <f t="shared" si="10"/>
        <v>530460</v>
      </c>
      <c r="C46" s="217">
        <v>530460</v>
      </c>
      <c r="D46" s="217"/>
      <c r="E46" s="217">
        <v>530460</v>
      </c>
      <c r="F46" s="217"/>
      <c r="G46" s="217"/>
      <c r="H46" s="217"/>
      <c r="I46" s="217"/>
      <c r="J46" s="217"/>
      <c r="K46" s="217"/>
      <c r="L46" s="217"/>
      <c r="M46" s="217"/>
      <c r="N46" s="217"/>
      <c r="O46" s="217"/>
      <c r="P46" s="217"/>
      <c r="Q46" s="217"/>
      <c r="R46" s="881">
        <f t="shared" si="11"/>
        <v>530460</v>
      </c>
      <c r="S46" s="217">
        <v>159138</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598136</v>
      </c>
      <c r="C49" s="217">
        <v>598136</v>
      </c>
      <c r="D49" s="217"/>
      <c r="E49" s="217">
        <v>598136</v>
      </c>
      <c r="F49" s="217"/>
      <c r="G49" s="217"/>
      <c r="H49" s="217"/>
      <c r="I49" s="217"/>
      <c r="J49" s="217"/>
      <c r="K49" s="217"/>
      <c r="L49" s="217"/>
      <c r="M49" s="217"/>
      <c r="N49" s="217"/>
      <c r="O49" s="217"/>
      <c r="P49" s="217"/>
      <c r="Q49" s="217"/>
      <c r="R49" s="881">
        <f t="shared" si="11"/>
        <v>598136</v>
      </c>
      <c r="S49" s="217">
        <v>355841</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81">
        <f t="shared" si="11"/>
        <v>80000</v>
      </c>
      <c r="S50" s="217">
        <v>80000</v>
      </c>
      <c r="T50" s="217"/>
      <c r="U50" s="213"/>
    </row>
    <row r="51" spans="1:21" s="214" customFormat="1">
      <c r="A51" s="441" t="s">
        <v>159</v>
      </c>
      <c r="B51" s="216">
        <f t="shared" si="10"/>
        <v>989</v>
      </c>
      <c r="C51" s="217">
        <v>989</v>
      </c>
      <c r="D51" s="217"/>
      <c r="E51" s="217">
        <v>989</v>
      </c>
      <c r="F51" s="217"/>
      <c r="G51" s="217"/>
      <c r="H51" s="217"/>
      <c r="I51" s="217"/>
      <c r="J51" s="217"/>
      <c r="K51" s="217"/>
      <c r="L51" s="217"/>
      <c r="M51" s="217"/>
      <c r="N51" s="217"/>
      <c r="O51" s="217"/>
      <c r="P51" s="217"/>
      <c r="Q51" s="217"/>
      <c r="R51" s="881">
        <f t="shared" si="11"/>
        <v>989</v>
      </c>
      <c r="S51" s="217"/>
      <c r="T51" s="217"/>
      <c r="U51" s="213"/>
    </row>
    <row r="52" spans="1:21" s="214" customFormat="1">
      <c r="A52" s="215" t="s">
        <v>160</v>
      </c>
      <c r="B52" s="216">
        <f t="shared" si="10"/>
        <v>133667</v>
      </c>
      <c r="C52" s="217">
        <v>133667</v>
      </c>
      <c r="D52" s="217"/>
      <c r="E52" s="217">
        <v>133667</v>
      </c>
      <c r="F52" s="217"/>
      <c r="G52" s="217"/>
      <c r="H52" s="217"/>
      <c r="I52" s="217"/>
      <c r="J52" s="217"/>
      <c r="K52" s="217"/>
      <c r="L52" s="217"/>
      <c r="M52" s="217"/>
      <c r="N52" s="217"/>
      <c r="O52" s="217"/>
      <c r="P52" s="217"/>
      <c r="Q52" s="217"/>
      <c r="R52" s="881">
        <f t="shared" si="11"/>
        <v>133667</v>
      </c>
      <c r="S52" s="217">
        <v>133667</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81">
        <f t="shared" si="11"/>
        <v>0</v>
      </c>
      <c r="S53" s="217"/>
      <c r="T53" s="217"/>
      <c r="U53" s="213"/>
    </row>
    <row r="54" spans="1:21" s="224" customFormat="1">
      <c r="A54" s="219" t="s">
        <v>162</v>
      </c>
      <c r="B54" s="220">
        <f>SUM(C54:D54)</f>
        <v>4523264</v>
      </c>
      <c r="C54" s="220">
        <f t="shared" ref="C54:T54" si="12">SUM(C45:C53)</f>
        <v>4523264</v>
      </c>
      <c r="D54" s="220">
        <f t="shared" si="12"/>
        <v>0</v>
      </c>
      <c r="E54" s="220">
        <f t="shared" si="12"/>
        <v>4523264</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4523264</v>
      </c>
      <c r="S54" s="220">
        <f t="shared" si="12"/>
        <v>2584378</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83000</v>
      </c>
      <c r="C56" s="217">
        <v>83000</v>
      </c>
      <c r="D56" s="217"/>
      <c r="E56" s="217">
        <v>83000</v>
      </c>
      <c r="F56" s="217"/>
      <c r="G56" s="217"/>
      <c r="H56" s="217"/>
      <c r="I56" s="217"/>
      <c r="J56" s="217"/>
      <c r="K56" s="217"/>
      <c r="L56" s="217"/>
      <c r="M56" s="217"/>
      <c r="N56" s="217"/>
      <c r="O56" s="217"/>
      <c r="P56" s="217"/>
      <c r="Q56" s="217"/>
      <c r="R56" s="881">
        <f t="shared" ref="R56:R61" si="14">SUM(E56:Q56)</f>
        <v>83000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20000</v>
      </c>
      <c r="C58" s="217">
        <v>20000</v>
      </c>
      <c r="D58" s="217"/>
      <c r="E58" s="217">
        <v>20000</v>
      </c>
      <c r="F58" s="217"/>
      <c r="G58" s="217"/>
      <c r="H58" s="217"/>
      <c r="I58" s="217"/>
      <c r="J58" s="217"/>
      <c r="K58" s="217"/>
      <c r="L58" s="217"/>
      <c r="M58" s="217"/>
      <c r="N58" s="217"/>
      <c r="O58" s="217"/>
      <c r="P58" s="217"/>
      <c r="Q58" s="217"/>
      <c r="R58" s="881">
        <f t="shared" si="14"/>
        <v>20000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310</v>
      </c>
      <c r="B62" s="216">
        <f>SUM(C62:D62)</f>
        <v>103000</v>
      </c>
      <c r="C62" s="216">
        <f t="shared" ref="C62:R62" si="15">SUM(C56:C61)</f>
        <v>103000</v>
      </c>
      <c r="D62" s="216">
        <f t="shared" si="15"/>
        <v>0</v>
      </c>
      <c r="E62" s="216">
        <f t="shared" si="15"/>
        <v>103000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103000</v>
      </c>
      <c r="S62" s="218"/>
      <c r="T62" s="218"/>
      <c r="U62" s="213"/>
    </row>
    <row r="63" spans="1:21" s="214" customFormat="1">
      <c r="A63" s="225" t="s">
        <v>311</v>
      </c>
      <c r="B63" s="216">
        <f t="shared" ref="B63:R63" si="16">SUM(B8+B11+B13+B14+B15+B26+B27+B38+B42+B43+B54+B62)</f>
        <v>44907288</v>
      </c>
      <c r="C63" s="216">
        <f t="shared" si="16"/>
        <v>44907288</v>
      </c>
      <c r="D63" s="216">
        <f t="shared" si="16"/>
        <v>0</v>
      </c>
      <c r="E63" s="216">
        <f t="shared" si="16"/>
        <v>19457288</v>
      </c>
      <c r="F63" s="216">
        <f t="shared" si="16"/>
        <v>25450000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44907288</v>
      </c>
      <c r="S63" s="216">
        <f>SUM(S10+S13+S14+S15+S26+S27+S38+S42+S43+S54)</f>
        <v>41590402</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v>70000</v>
      </c>
      <c r="F65" s="217"/>
      <c r="G65" s="217"/>
      <c r="H65" s="217"/>
      <c r="I65" s="217"/>
      <c r="J65" s="217"/>
      <c r="K65" s="217"/>
      <c r="L65" s="217"/>
      <c r="M65" s="217"/>
      <c r="N65" s="217"/>
      <c r="O65" s="217"/>
      <c r="P65" s="217"/>
      <c r="Q65" s="217"/>
      <c r="R65" s="881">
        <f>SUM(E65:Q65)</f>
        <v>70000</v>
      </c>
      <c r="S65" s="217">
        <v>70000</v>
      </c>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1854" t="s">
        <v>2596</v>
      </c>
      <c r="B69" s="216">
        <f>SUM(C69+D69)</f>
        <v>131500</v>
      </c>
      <c r="C69" s="217">
        <v>131500</v>
      </c>
      <c r="D69" s="217"/>
      <c r="E69" s="217">
        <v>131500</v>
      </c>
      <c r="F69" s="217"/>
      <c r="G69" s="217"/>
      <c r="H69" s="217"/>
      <c r="I69" s="217"/>
      <c r="J69" s="217"/>
      <c r="K69" s="217"/>
      <c r="L69" s="217"/>
      <c r="M69" s="217"/>
      <c r="N69" s="217"/>
      <c r="O69" s="217"/>
      <c r="P69" s="217"/>
      <c r="Q69" s="217"/>
      <c r="R69" s="881">
        <f>SUM(E69:Q69)</f>
        <v>131500</v>
      </c>
      <c r="S69" s="217">
        <v>0</v>
      </c>
      <c r="T69" s="217"/>
      <c r="U69" s="213"/>
    </row>
    <row r="70" spans="1:21" s="214" customFormat="1">
      <c r="A70" s="219" t="s">
        <v>2013</v>
      </c>
      <c r="B70" s="216">
        <f>SUM(C70:D70)</f>
        <v>201500</v>
      </c>
      <c r="C70" s="216">
        <f>SUM(C65:C69)</f>
        <v>201500</v>
      </c>
      <c r="D70" s="216">
        <f>SUM(D65:D69)</f>
        <v>0</v>
      </c>
      <c r="E70" s="216">
        <f t="shared" ref="E70:T70" si="18">SUM(E65:E69)</f>
        <v>201500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201500</v>
      </c>
      <c r="S70" s="220">
        <f t="shared" si="18"/>
        <v>70000</v>
      </c>
      <c r="T70" s="220">
        <f t="shared" si="1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735826</v>
      </c>
      <c r="C75" s="217">
        <v>735826</v>
      </c>
      <c r="D75" s="217"/>
      <c r="E75" s="217">
        <v>735826</v>
      </c>
      <c r="F75" s="217"/>
      <c r="G75" s="217"/>
      <c r="H75" s="217"/>
      <c r="I75" s="217"/>
      <c r="J75" s="217"/>
      <c r="K75" s="217"/>
      <c r="L75" s="217"/>
      <c r="M75" s="217"/>
      <c r="N75" s="217"/>
      <c r="O75" s="217"/>
      <c r="P75" s="217"/>
      <c r="Q75" s="217"/>
      <c r="R75" s="881">
        <f>SUM(E75:Q75)</f>
        <v>735826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641</v>
      </c>
      <c r="B77" s="216">
        <f>SUM(C77:D77)</f>
        <v>735826</v>
      </c>
      <c r="C77" s="216">
        <f>SUM(C72:C76)</f>
        <v>735826</v>
      </c>
      <c r="D77" s="216">
        <f>SUM(D72:D76)</f>
        <v>0</v>
      </c>
      <c r="E77" s="216">
        <f t="shared" ref="E77:Q77" si="19">SUM(E72:E76)</f>
        <v>735826</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735826</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1725662</v>
      </c>
      <c r="C79" s="217">
        <v>1725662</v>
      </c>
      <c r="D79" s="217"/>
      <c r="E79" s="217">
        <v>1725662</v>
      </c>
      <c r="F79" s="217"/>
      <c r="G79" s="217"/>
      <c r="H79" s="217"/>
      <c r="I79" s="217"/>
      <c r="J79" s="217"/>
      <c r="K79" s="217"/>
      <c r="L79" s="217"/>
      <c r="M79" s="217"/>
      <c r="N79" s="217"/>
      <c r="O79" s="217"/>
      <c r="P79" s="217"/>
      <c r="Q79" s="217"/>
      <c r="R79" s="881">
        <f>SUM(E79:Q79)</f>
        <v>1725662</v>
      </c>
      <c r="S79" s="217">
        <v>1725662</v>
      </c>
      <c r="T79" s="217"/>
      <c r="U79" s="213"/>
    </row>
    <row r="80" spans="1:21" s="214" customFormat="1">
      <c r="A80" s="441" t="s">
        <v>61</v>
      </c>
      <c r="B80" s="216">
        <f>SUM(C80:D80)</f>
        <v>507985</v>
      </c>
      <c r="C80" s="217">
        <v>507985</v>
      </c>
      <c r="D80" s="217"/>
      <c r="E80" s="217">
        <v>507985</v>
      </c>
      <c r="F80" s="217"/>
      <c r="G80" s="217"/>
      <c r="H80" s="217"/>
      <c r="I80" s="217"/>
      <c r="J80" s="217"/>
      <c r="K80" s="217"/>
      <c r="L80" s="217"/>
      <c r="M80" s="217"/>
      <c r="N80" s="217"/>
      <c r="O80" s="217"/>
      <c r="P80" s="217"/>
      <c r="Q80" s="217"/>
      <c r="R80" s="881">
        <f>SUM(E80:Q80)</f>
        <v>507985</v>
      </c>
      <c r="S80" s="217">
        <v>431788</v>
      </c>
      <c r="T80" s="217"/>
      <c r="U80" s="213"/>
    </row>
    <row r="81" spans="1:21" s="214" customFormat="1">
      <c r="A81" s="219" t="s">
        <v>1425</v>
      </c>
      <c r="B81" s="216">
        <f>SUM(C81:D81)</f>
        <v>2233647</v>
      </c>
      <c r="C81" s="861">
        <f>SUM(C79:C80)</f>
        <v>2233647</v>
      </c>
      <c r="D81" s="861">
        <f t="shared" ref="D81:T81" si="20">SUM(D79:D80)</f>
        <v>0</v>
      </c>
      <c r="E81" s="861">
        <f t="shared" si="20"/>
        <v>2233647</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2233647</v>
      </c>
      <c r="S81" s="861">
        <f t="shared" si="20"/>
        <v>2157450</v>
      </c>
      <c r="T81" s="861">
        <f t="shared" si="20"/>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826</v>
      </c>
      <c r="B83" s="216">
        <f t="shared" ref="B83:B95" si="21">SUM(C83+D83)</f>
        <v>110750</v>
      </c>
      <c r="C83" s="217">
        <v>110750</v>
      </c>
      <c r="D83" s="217"/>
      <c r="E83" s="217">
        <v>110750</v>
      </c>
      <c r="F83" s="217"/>
      <c r="G83" s="217"/>
      <c r="H83" s="217"/>
      <c r="I83" s="217"/>
      <c r="J83" s="217"/>
      <c r="K83" s="217"/>
      <c r="L83" s="217"/>
      <c r="M83" s="217"/>
      <c r="N83" s="217"/>
      <c r="O83" s="217"/>
      <c r="P83" s="217"/>
      <c r="Q83" s="217"/>
      <c r="R83" s="881">
        <f t="shared" ref="R83:R95" si="22">SUM(E83:Q83)</f>
        <v>110750</v>
      </c>
      <c r="S83" s="218"/>
      <c r="T83" s="218"/>
      <c r="U83" s="213"/>
    </row>
    <row r="84" spans="1:21" s="214" customFormat="1">
      <c r="A84" s="215" t="s">
        <v>827</v>
      </c>
      <c r="B84" s="216">
        <f t="shared" si="21"/>
        <v>635875</v>
      </c>
      <c r="C84" s="217">
        <v>635875</v>
      </c>
      <c r="D84" s="217"/>
      <c r="E84" s="217">
        <v>635875</v>
      </c>
      <c r="F84" s="217"/>
      <c r="G84" s="217"/>
      <c r="H84" s="217"/>
      <c r="I84" s="217"/>
      <c r="J84" s="217"/>
      <c r="K84" s="217"/>
      <c r="L84" s="217"/>
      <c r="M84" s="217"/>
      <c r="N84" s="217"/>
      <c r="O84" s="217"/>
      <c r="P84" s="217"/>
      <c r="Q84" s="217"/>
      <c r="R84" s="881">
        <f t="shared" si="22"/>
        <v>635875</v>
      </c>
      <c r="S84" s="217">
        <v>635875</v>
      </c>
      <c r="T84" s="217"/>
      <c r="U84" s="213"/>
    </row>
    <row r="85" spans="1:21" s="214" customFormat="1">
      <c r="A85" s="215" t="s">
        <v>828</v>
      </c>
      <c r="B85" s="216">
        <f t="shared" si="21"/>
        <v>4000000</v>
      </c>
      <c r="C85" s="217">
        <v>4000000</v>
      </c>
      <c r="D85" s="217"/>
      <c r="E85" s="217">
        <v>4000000</v>
      </c>
      <c r="F85" s="217"/>
      <c r="G85" s="217"/>
      <c r="H85" s="217"/>
      <c r="I85" s="217"/>
      <c r="J85" s="217"/>
      <c r="K85" s="217"/>
      <c r="L85" s="217"/>
      <c r="M85" s="217"/>
      <c r="N85" s="217"/>
      <c r="O85" s="217"/>
      <c r="P85" s="217"/>
      <c r="Q85" s="217"/>
      <c r="R85" s="881">
        <f t="shared" si="22"/>
        <v>4000000</v>
      </c>
      <c r="S85" s="217">
        <v>4000000</v>
      </c>
      <c r="T85" s="217"/>
      <c r="U85" s="213"/>
    </row>
    <row r="86" spans="1:21" s="214" customFormat="1">
      <c r="A86" s="215" t="s">
        <v>829</v>
      </c>
      <c r="B86" s="216">
        <f t="shared" si="21"/>
        <v>1378844</v>
      </c>
      <c r="C86" s="217">
        <v>1378844</v>
      </c>
      <c r="D86" s="217"/>
      <c r="E86" s="217">
        <v>1378844</v>
      </c>
      <c r="F86" s="217"/>
      <c r="G86" s="217"/>
      <c r="H86" s="217"/>
      <c r="I86" s="217"/>
      <c r="J86" s="217"/>
      <c r="K86" s="217"/>
      <c r="L86" s="217"/>
      <c r="M86" s="217"/>
      <c r="N86" s="217"/>
      <c r="O86" s="217"/>
      <c r="P86" s="217"/>
      <c r="Q86" s="217"/>
      <c r="R86" s="881">
        <f t="shared" si="22"/>
        <v>1378844</v>
      </c>
      <c r="S86" s="217">
        <v>1378844</v>
      </c>
      <c r="T86" s="217"/>
      <c r="U86" s="213"/>
    </row>
    <row r="87" spans="1:21" s="214" customFormat="1">
      <c r="A87" s="215" t="s">
        <v>830</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831</v>
      </c>
      <c r="B88" s="216">
        <f t="shared" si="21"/>
        <v>153226</v>
      </c>
      <c r="C88" s="217">
        <v>153226</v>
      </c>
      <c r="D88" s="217"/>
      <c r="E88" s="217">
        <v>153226</v>
      </c>
      <c r="F88" s="217"/>
      <c r="G88" s="217"/>
      <c r="H88" s="217"/>
      <c r="I88" s="217"/>
      <c r="J88" s="217"/>
      <c r="K88" s="217"/>
      <c r="L88" s="217"/>
      <c r="M88" s="217"/>
      <c r="N88" s="217"/>
      <c r="O88" s="217"/>
      <c r="P88" s="217"/>
      <c r="Q88" s="217"/>
      <c r="R88" s="881">
        <f t="shared" si="22"/>
        <v>153226</v>
      </c>
      <c r="S88" s="218"/>
      <c r="T88" s="218"/>
      <c r="U88" s="213"/>
    </row>
    <row r="89" spans="1:21" s="214" customFormat="1">
      <c r="A89" s="215" t="s">
        <v>832</v>
      </c>
      <c r="B89" s="216">
        <f t="shared" si="21"/>
        <v>290000</v>
      </c>
      <c r="C89" s="217">
        <v>290000</v>
      </c>
      <c r="D89" s="217"/>
      <c r="E89" s="217">
        <v>290000</v>
      </c>
      <c r="F89" s="217"/>
      <c r="G89" s="217"/>
      <c r="H89" s="217"/>
      <c r="I89" s="217"/>
      <c r="J89" s="217"/>
      <c r="K89" s="217"/>
      <c r="L89" s="217"/>
      <c r="M89" s="217"/>
      <c r="N89" s="217"/>
      <c r="O89" s="217"/>
      <c r="P89" s="217"/>
      <c r="Q89" s="217"/>
      <c r="R89" s="881">
        <f t="shared" si="22"/>
        <v>290000</v>
      </c>
      <c r="S89" s="217">
        <v>290000</v>
      </c>
      <c r="T89" s="217"/>
      <c r="U89" s="213"/>
    </row>
    <row r="90" spans="1:21" s="214" customFormat="1">
      <c r="A90" s="215" t="s">
        <v>833</v>
      </c>
      <c r="B90" s="216">
        <f t="shared" si="21"/>
        <v>11000</v>
      </c>
      <c r="C90" s="217">
        <v>11000</v>
      </c>
      <c r="D90" s="217"/>
      <c r="E90" s="217">
        <v>11000</v>
      </c>
      <c r="F90" s="217"/>
      <c r="G90" s="217"/>
      <c r="H90" s="217"/>
      <c r="I90" s="217"/>
      <c r="J90" s="217"/>
      <c r="K90" s="217"/>
      <c r="L90" s="217"/>
      <c r="M90" s="217"/>
      <c r="N90" s="217"/>
      <c r="O90" s="217"/>
      <c r="P90" s="217"/>
      <c r="Q90" s="217"/>
      <c r="R90" s="881">
        <f t="shared" si="22"/>
        <v>11000</v>
      </c>
      <c r="S90" s="217">
        <v>11000</v>
      </c>
      <c r="T90" s="217"/>
      <c r="U90" s="213"/>
    </row>
    <row r="91" spans="1:21" s="214" customFormat="1">
      <c r="A91" s="1828" t="s">
        <v>391</v>
      </c>
      <c r="B91" s="216">
        <f t="shared" si="21"/>
        <v>45000</v>
      </c>
      <c r="C91" s="217">
        <v>45000</v>
      </c>
      <c r="D91" s="217"/>
      <c r="E91" s="217">
        <v>45000</v>
      </c>
      <c r="F91" s="217"/>
      <c r="G91" s="217"/>
      <c r="H91" s="217"/>
      <c r="I91" s="217"/>
      <c r="J91" s="217"/>
      <c r="K91" s="217"/>
      <c r="L91" s="217"/>
      <c r="M91" s="217"/>
      <c r="N91" s="217"/>
      <c r="O91" s="217"/>
      <c r="P91" s="217"/>
      <c r="Q91" s="217"/>
      <c r="R91" s="881">
        <f t="shared" si="22"/>
        <v>45000</v>
      </c>
      <c r="S91" s="217">
        <v>22500</v>
      </c>
      <c r="T91" s="217"/>
      <c r="U91" s="213"/>
    </row>
    <row r="92" spans="1:21" s="214" customFormat="1">
      <c r="A92" s="1827" t="s">
        <v>1427</v>
      </c>
      <c r="B92" s="216">
        <f t="shared" si="21"/>
        <v>8000</v>
      </c>
      <c r="C92" s="217">
        <v>8000</v>
      </c>
      <c r="D92" s="217"/>
      <c r="E92" s="217">
        <v>8000</v>
      </c>
      <c r="F92" s="217"/>
      <c r="G92" s="217"/>
      <c r="H92" s="217"/>
      <c r="I92" s="217"/>
      <c r="J92" s="217"/>
      <c r="K92" s="217"/>
      <c r="L92" s="217"/>
      <c r="M92" s="217"/>
      <c r="N92" s="217"/>
      <c r="O92" s="217"/>
      <c r="P92" s="217"/>
      <c r="Q92" s="217"/>
      <c r="R92" s="881">
        <f t="shared" si="22"/>
        <v>8000</v>
      </c>
      <c r="S92" s="217">
        <v>8000</v>
      </c>
      <c r="T92" s="217"/>
      <c r="U92" s="213"/>
    </row>
    <row r="93" spans="1:21" s="214" customFormat="1">
      <c r="A93" s="1854" t="s">
        <v>2523</v>
      </c>
      <c r="B93" s="216">
        <f t="shared" si="21"/>
        <v>88000</v>
      </c>
      <c r="C93" s="217">
        <v>88000</v>
      </c>
      <c r="D93" s="217"/>
      <c r="E93" s="217">
        <v>88000</v>
      </c>
      <c r="F93" s="217"/>
      <c r="G93" s="217"/>
      <c r="H93" s="217"/>
      <c r="I93" s="217"/>
      <c r="J93" s="217"/>
      <c r="K93" s="217"/>
      <c r="L93" s="217"/>
      <c r="M93" s="217"/>
      <c r="N93" s="217"/>
      <c r="O93" s="217"/>
      <c r="P93" s="217"/>
      <c r="Q93" s="217"/>
      <c r="R93" s="881">
        <f t="shared" si="22"/>
        <v>88000</v>
      </c>
      <c r="S93" s="217"/>
      <c r="T93" s="217"/>
      <c r="U93" s="213"/>
    </row>
    <row r="94" spans="1:21" s="214" customFormat="1">
      <c r="A94" s="1854" t="s">
        <v>2593</v>
      </c>
      <c r="B94" s="216">
        <f t="shared" si="21"/>
        <v>54000</v>
      </c>
      <c r="C94" s="217">
        <v>54000</v>
      </c>
      <c r="D94" s="217"/>
      <c r="E94" s="217">
        <v>54000</v>
      </c>
      <c r="F94" s="217"/>
      <c r="G94" s="217"/>
      <c r="H94" s="217"/>
      <c r="I94" s="217"/>
      <c r="J94" s="217"/>
      <c r="K94" s="217"/>
      <c r="L94" s="217"/>
      <c r="M94" s="217"/>
      <c r="N94" s="217"/>
      <c r="O94" s="217"/>
      <c r="P94" s="217"/>
      <c r="Q94" s="217"/>
      <c r="R94" s="881">
        <f t="shared" si="22"/>
        <v>54000</v>
      </c>
      <c r="S94" s="217">
        <v>54000</v>
      </c>
      <c r="T94" s="217"/>
      <c r="U94" s="213"/>
    </row>
    <row r="95" spans="1:21" s="214" customFormat="1">
      <c r="A95" s="1854" t="s">
        <v>2539</v>
      </c>
      <c r="B95" s="216">
        <f t="shared" si="21"/>
        <v>45000</v>
      </c>
      <c r="C95" s="217">
        <v>45000</v>
      </c>
      <c r="D95" s="217"/>
      <c r="E95" s="217">
        <v>45000</v>
      </c>
      <c r="F95" s="217"/>
      <c r="G95" s="217"/>
      <c r="H95" s="217"/>
      <c r="I95" s="217"/>
      <c r="J95" s="217"/>
      <c r="K95" s="217"/>
      <c r="L95" s="217"/>
      <c r="M95" s="217"/>
      <c r="N95" s="217"/>
      <c r="O95" s="217"/>
      <c r="P95" s="217"/>
      <c r="Q95" s="217"/>
      <c r="R95" s="881">
        <f t="shared" si="22"/>
        <v>45000</v>
      </c>
      <c r="S95" s="217"/>
      <c r="T95" s="217"/>
      <c r="U95" s="213"/>
    </row>
    <row r="96" spans="1:21" s="214" customFormat="1">
      <c r="A96" s="219" t="s">
        <v>834</v>
      </c>
      <c r="B96" s="216">
        <f>SUM(C96:D96)</f>
        <v>6819695</v>
      </c>
      <c r="C96" s="216">
        <f t="shared" ref="C96:R96" si="23">SUM(C83:C95)</f>
        <v>6819695</v>
      </c>
      <c r="D96" s="216">
        <f t="shared" si="23"/>
        <v>0</v>
      </c>
      <c r="E96" s="216">
        <f t="shared" si="23"/>
        <v>6819695</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6819695</v>
      </c>
      <c r="S96" s="220">
        <f>SUM(S84:S87,S89:S95)</f>
        <v>6400219</v>
      </c>
      <c r="T96" s="216">
        <f>SUM(T84:T87,T89:T95)</f>
        <v>0</v>
      </c>
      <c r="U96" s="213"/>
    </row>
    <row r="97" spans="1:21" s="214" customFormat="1">
      <c r="A97" s="219" t="s">
        <v>835</v>
      </c>
      <c r="B97" s="216">
        <f>SUM(C97:D97)</f>
        <v>54897956</v>
      </c>
      <c r="C97" s="216">
        <f t="shared" ref="C97:R97" si="24">SUM(C63+C70+C77+C81+C96)</f>
        <v>54897956</v>
      </c>
      <c r="D97" s="216">
        <f t="shared" si="24"/>
        <v>0</v>
      </c>
      <c r="E97" s="216">
        <f t="shared" si="24"/>
        <v>29447956</v>
      </c>
      <c r="F97" s="216">
        <f t="shared" si="24"/>
        <v>25450000</v>
      </c>
      <c r="G97" s="216">
        <f t="shared" si="24"/>
        <v>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54897956</v>
      </c>
      <c r="S97" s="216">
        <f>SUM(S63+S70+S81+S96)</f>
        <v>50218071</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7532710</v>
      </c>
      <c r="C99" s="1706">
        <v>7532710</v>
      </c>
      <c r="D99" s="1706"/>
      <c r="E99" s="1706">
        <v>2601331</v>
      </c>
      <c r="F99" s="217"/>
      <c r="G99" s="217">
        <v>539676</v>
      </c>
      <c r="H99" s="217">
        <v>4391703</v>
      </c>
      <c r="I99" s="217"/>
      <c r="J99" s="217"/>
      <c r="K99" s="217"/>
      <c r="L99" s="217"/>
      <c r="M99" s="217"/>
      <c r="N99" s="217"/>
      <c r="O99" s="217"/>
      <c r="P99" s="217"/>
      <c r="Q99" s="217"/>
      <c r="R99" s="881">
        <f t="shared" ref="R99:R103" si="25">SUM(E99:Q99)</f>
        <v>7532710</v>
      </c>
      <c r="S99" s="217">
        <v>7532710</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838</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839</v>
      </c>
      <c r="B104" s="216">
        <f>SUM(C104:D104)</f>
        <v>7532710</v>
      </c>
      <c r="C104" s="216">
        <f>SUM(C99:C103)</f>
        <v>7532710</v>
      </c>
      <c r="D104" s="216">
        <f t="shared" ref="D104:T104" si="27">SUM(D99:D103)</f>
        <v>0</v>
      </c>
      <c r="E104" s="216">
        <f t="shared" si="27"/>
        <v>2601331</v>
      </c>
      <c r="F104" s="216">
        <f t="shared" si="27"/>
        <v>0</v>
      </c>
      <c r="G104" s="216">
        <f t="shared" si="27"/>
        <v>539676</v>
      </c>
      <c r="H104" s="216">
        <f t="shared" si="27"/>
        <v>4391703</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7532710</v>
      </c>
      <c r="S104" s="220">
        <f t="shared" si="27"/>
        <v>7532710</v>
      </c>
      <c r="T104" s="220">
        <f t="shared" si="27"/>
        <v>0</v>
      </c>
      <c r="U104" s="213"/>
    </row>
    <row r="105" spans="1:21" s="214" customFormat="1">
      <c r="A105" s="219" t="s">
        <v>840</v>
      </c>
      <c r="B105" s="220">
        <f>SUM(C105:D105)</f>
        <v>62430666</v>
      </c>
      <c r="C105" s="220">
        <f t="shared" ref="C105:R105" si="28">SUM(C97+C104)</f>
        <v>62430666</v>
      </c>
      <c r="D105" s="220">
        <f t="shared" si="28"/>
        <v>0</v>
      </c>
      <c r="E105" s="220">
        <f t="shared" si="28"/>
        <v>32049287</v>
      </c>
      <c r="F105" s="220">
        <f t="shared" si="28"/>
        <v>25450000</v>
      </c>
      <c r="G105" s="220">
        <f t="shared" si="28"/>
        <v>539676</v>
      </c>
      <c r="H105" s="220">
        <f t="shared" si="28"/>
        <v>4391703</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62430666</v>
      </c>
      <c r="S105" s="220">
        <f>S97+S104</f>
        <v>57750781</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57750781</v>
      </c>
      <c r="T107" s="234">
        <f>T105+T106</f>
        <v>0</v>
      </c>
    </row>
    <row r="108" spans="1:21" s="301" customFormat="1">
      <c r="A108" s="233" t="s">
        <v>946</v>
      </c>
      <c r="B108" s="228"/>
      <c r="C108" s="228"/>
      <c r="D108" s="228"/>
      <c r="E108" s="465">
        <f>Application!AO650</f>
        <v>32049287</v>
      </c>
      <c r="F108" s="465">
        <f>Application!AO637</f>
        <v>25450000</v>
      </c>
      <c r="G108" s="465">
        <f>Application!AO638</f>
        <v>539676</v>
      </c>
      <c r="H108" s="465">
        <f>Application!AO639</f>
        <v>4391703</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86" t="s">
        <v>1098</v>
      </c>
      <c r="E122" s="2586"/>
      <c r="F122" s="2586"/>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89" t="s">
        <v>1445</v>
      </c>
      <c r="E123" s="2590"/>
      <c r="F123" s="2590"/>
      <c r="G123" s="2590"/>
      <c r="H123" s="2590"/>
      <c r="I123" s="2590"/>
      <c r="J123" s="2590"/>
      <c r="K123" s="2590"/>
      <c r="L123" s="2590"/>
      <c r="M123" s="2590"/>
      <c r="N123" s="2590"/>
      <c r="O123" s="2590"/>
      <c r="P123" s="2590"/>
      <c r="Q123" s="2590"/>
      <c r="R123" s="2590"/>
      <c r="S123" s="2590"/>
      <c r="T123" s="515"/>
      <c r="U123" s="517"/>
    </row>
    <row r="124" spans="1:21" ht="12.75">
      <c r="A124" s="514" t="s">
        <v>1100</v>
      </c>
      <c r="B124" s="524"/>
      <c r="C124" s="514"/>
      <c r="D124" s="2590"/>
      <c r="E124" s="2590"/>
      <c r="F124" s="2590"/>
      <c r="G124" s="2590"/>
      <c r="H124" s="2590"/>
      <c r="I124" s="2590"/>
      <c r="J124" s="2590"/>
      <c r="K124" s="2590"/>
      <c r="L124" s="2590"/>
      <c r="M124" s="2590"/>
      <c r="N124" s="2590"/>
      <c r="O124" s="2590"/>
      <c r="P124" s="2590"/>
      <c r="Q124" s="2590"/>
      <c r="R124" s="2590"/>
      <c r="S124" s="2590"/>
      <c r="T124" s="515"/>
      <c r="U124" s="517"/>
    </row>
    <row r="125" spans="1:21" ht="12.75">
      <c r="A125" s="514" t="s">
        <v>1101</v>
      </c>
      <c r="B125" s="524"/>
      <c r="C125" s="514"/>
      <c r="D125" s="2590"/>
      <c r="E125" s="2590"/>
      <c r="F125" s="2590"/>
      <c r="G125" s="2590"/>
      <c r="H125" s="2590"/>
      <c r="I125" s="2590"/>
      <c r="J125" s="2590"/>
      <c r="K125" s="2590"/>
      <c r="L125" s="2590"/>
      <c r="M125" s="2590"/>
      <c r="N125" s="2590"/>
      <c r="O125" s="2590"/>
      <c r="P125" s="2590"/>
      <c r="Q125" s="2590"/>
      <c r="R125" s="2590"/>
      <c r="S125" s="2590"/>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3"/>
      <c r="E128" s="2583"/>
      <c r="F128" s="2583"/>
      <c r="G128" s="2583"/>
      <c r="H128" s="2583"/>
      <c r="I128" s="514"/>
      <c r="J128" s="2584"/>
      <c r="K128" s="2584"/>
      <c r="L128" s="514"/>
      <c r="M128" s="514"/>
      <c r="N128" s="514"/>
      <c r="O128" s="514"/>
      <c r="P128" s="514"/>
      <c r="Q128" s="514"/>
      <c r="R128" s="514"/>
      <c r="S128" s="514"/>
      <c r="T128" s="515"/>
      <c r="U128" s="517"/>
    </row>
    <row r="129" spans="1:21" ht="12.75">
      <c r="A129" s="514" t="s">
        <v>309</v>
      </c>
      <c r="B129" s="524"/>
      <c r="C129" s="514"/>
      <c r="D129" s="2585" t="s">
        <v>1105</v>
      </c>
      <c r="E129" s="2585"/>
      <c r="F129" s="2585"/>
      <c r="G129" s="2585"/>
      <c r="H129" s="2585"/>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563"/>
      <c r="E131" s="2563"/>
      <c r="F131" s="2563"/>
      <c r="G131" s="2563"/>
      <c r="H131" s="2563"/>
      <c r="I131" s="514"/>
      <c r="J131" s="2563"/>
      <c r="K131" s="2563"/>
      <c r="L131" s="2563"/>
      <c r="M131" s="2563"/>
      <c r="N131" s="514"/>
      <c r="O131" s="514"/>
      <c r="P131" s="514"/>
      <c r="Q131" s="514"/>
      <c r="R131" s="514"/>
      <c r="S131" s="514"/>
      <c r="T131" s="515"/>
      <c r="U131" s="517"/>
    </row>
    <row r="132" spans="1:21" ht="12" customHeight="1">
      <c r="A132" s="528"/>
      <c r="B132" s="514"/>
      <c r="C132" s="514"/>
      <c r="D132" s="2591" t="s">
        <v>1108</v>
      </c>
      <c r="E132" s="2591"/>
      <c r="F132" s="2591"/>
      <c r="G132" s="2591"/>
      <c r="H132" s="2591"/>
      <c r="I132" s="514"/>
      <c r="J132" s="2591" t="s">
        <v>1109</v>
      </c>
      <c r="K132" s="2591"/>
      <c r="L132" s="2591"/>
      <c r="M132" s="259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2"/>
      <c r="B138" s="2593"/>
      <c r="C138" s="2593"/>
      <c r="D138" s="519"/>
      <c r="E138" s="2584"/>
      <c r="F138" s="2584"/>
      <c r="G138" s="514"/>
      <c r="H138" s="514"/>
      <c r="I138" s="514"/>
      <c r="J138" s="514"/>
      <c r="K138" s="514"/>
      <c r="L138" s="514"/>
      <c r="M138" s="514"/>
      <c r="N138" s="514"/>
      <c r="O138" s="514"/>
      <c r="P138" s="514"/>
      <c r="Q138" s="514"/>
      <c r="R138" s="514"/>
      <c r="S138" s="514"/>
      <c r="T138" s="521"/>
      <c r="U138" s="522"/>
    </row>
    <row r="139" spans="1:21" ht="12.75">
      <c r="A139" s="2587" t="s">
        <v>1112</v>
      </c>
      <c r="B139" s="2588"/>
      <c r="C139" s="2588"/>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3" sqref="C13"/>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600" t="s">
        <v>1448</v>
      </c>
      <c r="B1" s="2601"/>
      <c r="C1" s="2601"/>
      <c r="D1" s="2601"/>
      <c r="E1" s="2601"/>
      <c r="F1" s="2601"/>
      <c r="G1" s="2601"/>
      <c r="H1" s="2601"/>
      <c r="I1" s="2601"/>
      <c r="J1" s="2602"/>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1175000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100000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1275000</v>
      </c>
      <c r="C8" s="566">
        <f>SUM(C4:C7)</f>
        <v>0</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631</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1275000</v>
      </c>
      <c r="C12" s="566">
        <f>SUM(C8+C11)</f>
        <v>0</v>
      </c>
      <c r="D12" s="566">
        <f>SUM(D8+D11)</f>
        <v>0</v>
      </c>
      <c r="E12" s="568"/>
      <c r="F12" s="568"/>
      <c r="G12" s="568"/>
      <c r="H12" s="568"/>
      <c r="I12" s="568"/>
      <c r="J12" s="568"/>
      <c r="K12" s="564"/>
    </row>
    <row r="13" spans="1:11" s="565" customFormat="1">
      <c r="A13" s="571" t="s">
        <v>973</v>
      </c>
      <c r="B13" s="566">
        <f>'Sources and Uses Budget'!C13</f>
        <v>100000</v>
      </c>
      <c r="C13" s="567"/>
      <c r="D13" s="567"/>
      <c r="E13" s="566">
        <f>'Sources and Uses Budget'!S13</f>
        <v>100000</v>
      </c>
      <c r="F13" s="567"/>
      <c r="G13" s="567"/>
      <c r="H13" s="566">
        <f>'Sources and Uses Budget'!T13</f>
        <v>0</v>
      </c>
      <c r="I13" s="567"/>
      <c r="J13" s="567"/>
      <c r="K13" s="564"/>
    </row>
    <row r="14" spans="1:11" s="565" customFormat="1" ht="24">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2089244</v>
      </c>
      <c r="C29" s="567"/>
      <c r="D29" s="567"/>
      <c r="E29" s="566">
        <f>'Sources and Uses Budget'!S29</f>
        <v>2089244</v>
      </c>
      <c r="F29" s="567"/>
      <c r="G29" s="567"/>
      <c r="H29" s="566">
        <f>'Sources and Uses Budget'!T29</f>
        <v>0</v>
      </c>
      <c r="I29" s="567"/>
      <c r="J29" s="567"/>
      <c r="K29" s="564"/>
    </row>
    <row r="30" spans="1:11" s="565" customFormat="1">
      <c r="A30" s="215" t="s">
        <v>634</v>
      </c>
      <c r="B30" s="566">
        <f>'Sources and Uses Budget'!C30</f>
        <v>30000000</v>
      </c>
      <c r="C30" s="567"/>
      <c r="D30" s="567"/>
      <c r="E30" s="566">
        <f>'Sources and Uses Budget'!S30</f>
        <v>30000000</v>
      </c>
      <c r="F30" s="567"/>
      <c r="G30" s="567"/>
      <c r="H30" s="566">
        <f>'Sources and Uses Budget'!T30</f>
        <v>0</v>
      </c>
      <c r="I30" s="567"/>
      <c r="J30" s="567"/>
      <c r="K30" s="564"/>
    </row>
    <row r="31" spans="1:11" s="565" customFormat="1">
      <c r="A31" s="215" t="s">
        <v>635</v>
      </c>
      <c r="B31" s="566">
        <f>'Sources and Uses Budget'!C31</f>
        <v>2423988</v>
      </c>
      <c r="C31" s="567"/>
      <c r="D31" s="567"/>
      <c r="E31" s="566">
        <f>'Sources and Uses Budget'!S31</f>
        <v>2423988</v>
      </c>
      <c r="F31" s="567"/>
      <c r="G31" s="567"/>
      <c r="H31" s="566">
        <f>'Sources and Uses Budget'!T31</f>
        <v>0</v>
      </c>
      <c r="I31" s="567"/>
      <c r="J31" s="567"/>
      <c r="K31" s="564"/>
    </row>
    <row r="32" spans="1:11" s="565" customFormat="1">
      <c r="A32" s="215" t="s">
        <v>142</v>
      </c>
      <c r="B32" s="566">
        <f>'Sources and Uses Budget'!C32</f>
        <v>1224759</v>
      </c>
      <c r="C32" s="567"/>
      <c r="D32" s="567"/>
      <c r="E32" s="566">
        <f>'Sources and Uses Budget'!S32</f>
        <v>1224759</v>
      </c>
      <c r="F32" s="567"/>
      <c r="G32" s="567"/>
      <c r="H32" s="566">
        <f>'Sources and Uses Budget'!T32</f>
        <v>0</v>
      </c>
      <c r="I32" s="567"/>
      <c r="J32" s="567"/>
      <c r="K32" s="564"/>
    </row>
    <row r="33" spans="1:11" s="565" customFormat="1">
      <c r="A33" s="215" t="s">
        <v>143</v>
      </c>
      <c r="B33" s="566">
        <f>'Sources and Uses Budget'!C33</f>
        <v>1000000</v>
      </c>
      <c r="C33" s="567"/>
      <c r="D33" s="567"/>
      <c r="E33" s="566">
        <f>'Sources and Uses Budget'!S33</f>
        <v>1000000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695033</v>
      </c>
      <c r="C35" s="567"/>
      <c r="D35" s="567"/>
      <c r="E35" s="566">
        <f>'Sources and Uses Budget'!S35</f>
        <v>695033</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37433024</v>
      </c>
      <c r="C38" s="566">
        <f>SUM(C29:C37)</f>
        <v>0</v>
      </c>
      <c r="D38" s="566">
        <f>SUM(D29:D37)</f>
        <v>0</v>
      </c>
      <c r="E38" s="566">
        <f>'Sources and Uses Budget'!S38</f>
        <v>37433024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1473000</v>
      </c>
      <c r="C40" s="567"/>
      <c r="D40" s="567"/>
      <c r="E40" s="566">
        <f>'Sources and Uses Budget'!S40</f>
        <v>1473000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1473000</v>
      </c>
      <c r="C42" s="566">
        <f>SUM(C39:C41)</f>
        <v>0</v>
      </c>
      <c r="D42" s="566">
        <f>SUM(D39:D41)</f>
        <v>0</v>
      </c>
      <c r="E42" s="566">
        <f>'Sources and Uses Budget'!S42</f>
        <v>1473000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3180012</v>
      </c>
      <c r="C45" s="567"/>
      <c r="D45" s="567"/>
      <c r="E45" s="566">
        <f>'Sources and Uses Budget'!S45</f>
        <v>1855732</v>
      </c>
      <c r="F45" s="567"/>
      <c r="G45" s="567"/>
      <c r="H45" s="566">
        <f>'Sources and Uses Budget'!T45</f>
        <v>0</v>
      </c>
      <c r="I45" s="567"/>
      <c r="J45" s="567"/>
      <c r="K45" s="564"/>
    </row>
    <row r="46" spans="1:11" s="565" customFormat="1">
      <c r="A46" s="569" t="s">
        <v>156</v>
      </c>
      <c r="B46" s="566">
        <f>'Sources and Uses Budget'!C46</f>
        <v>530460</v>
      </c>
      <c r="C46" s="567"/>
      <c r="D46" s="567"/>
      <c r="E46" s="566">
        <f>'Sources and Uses Budget'!S46</f>
        <v>159138</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598136</v>
      </c>
      <c r="C49" s="567"/>
      <c r="D49" s="567"/>
      <c r="E49" s="566">
        <f>'Sources and Uses Budget'!S49</f>
        <v>355841</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989</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133667</v>
      </c>
      <c r="C52" s="567"/>
      <c r="D52" s="567"/>
      <c r="E52" s="566">
        <f>'Sources and Uses Budget'!S52</f>
        <v>133667</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4523264</v>
      </c>
      <c r="C54" s="573">
        <f>SUM(C45:C53)</f>
        <v>0</v>
      </c>
      <c r="D54" s="573">
        <f>SUM(D45:D53)</f>
        <v>0</v>
      </c>
      <c r="E54" s="566">
        <f>'Sources and Uses Budget'!S54</f>
        <v>2584378</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83000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310</v>
      </c>
      <c r="B62" s="566">
        <f>'Sources and Uses Budget'!C62</f>
        <v>103000</v>
      </c>
      <c r="C62" s="566">
        <f>SUM(C56:C61)</f>
        <v>0</v>
      </c>
      <c r="D62" s="566">
        <f>SUM(D56:D61)</f>
        <v>0</v>
      </c>
      <c r="E62" s="568"/>
      <c r="F62" s="568"/>
      <c r="G62" s="568"/>
      <c r="H62" s="568"/>
      <c r="I62" s="568"/>
      <c r="J62" s="568"/>
      <c r="K62" s="564"/>
    </row>
    <row r="63" spans="1:11" s="565" customFormat="1">
      <c r="A63" s="577" t="s">
        <v>311</v>
      </c>
      <c r="B63" s="566">
        <f>'Sources and Uses Budget'!C63</f>
        <v>44907288</v>
      </c>
      <c r="C63" s="566">
        <f>SUM(C8+C11+C13+C14+C15+C26+C27+C38+C42+C43+C54+C62)</f>
        <v>0</v>
      </c>
      <c r="D63" s="566">
        <f>SUM(D8+D11+D13+D14+D15+D26+D27+D38+D42+D43+D54+D62)</f>
        <v>0</v>
      </c>
      <c r="E63" s="566">
        <f>'Sources and Uses Budget'!S63</f>
        <v>41590402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175</v>
      </c>
      <c r="B65" s="566">
        <f>'Sources and Uses Budget'!C65</f>
        <v>70000</v>
      </c>
      <c r="C65" s="567"/>
      <c r="D65" s="567"/>
      <c r="E65" s="566">
        <f>'Sources and Uses Budget'!S65</f>
        <v>70000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(Corporate Legal)</v>
      </c>
      <c r="B69" s="566">
        <f>'Sources and Uses Budget'!C69</f>
        <v>131500</v>
      </c>
      <c r="C69" s="567"/>
      <c r="D69" s="567"/>
      <c r="E69" s="566">
        <f>'Sources and Uses Budget'!S69</f>
        <v>0</v>
      </c>
      <c r="F69" s="567"/>
      <c r="G69" s="567"/>
      <c r="H69" s="566">
        <f>'Sources and Uses Budget'!T69</f>
        <v>0</v>
      </c>
      <c r="I69" s="567"/>
      <c r="J69" s="567"/>
      <c r="K69" s="564"/>
    </row>
    <row r="70" spans="1:11" s="565" customFormat="1">
      <c r="A70" s="570" t="s">
        <v>636</v>
      </c>
      <c r="B70" s="566">
        <f>'Sources and Uses Budget'!C70</f>
        <v>201500</v>
      </c>
      <c r="C70" s="566">
        <f>SUM(C64:C69)</f>
        <v>0</v>
      </c>
      <c r="D70" s="566">
        <f>SUM(D64:D69)</f>
        <v>0</v>
      </c>
      <c r="E70" s="566">
        <f>'Sources and Uses Budget'!S70</f>
        <v>70000</v>
      </c>
      <c r="F70" s="573">
        <f>SUM(F65:F69)</f>
        <v>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640</v>
      </c>
      <c r="B75" s="566">
        <f>'Sources and Uses Budget'!C75</f>
        <v>735826</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641</v>
      </c>
      <c r="B77" s="566">
        <f>'Sources and Uses Budget'!C77</f>
        <v>735826</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1725662</v>
      </c>
      <c r="C79" s="567"/>
      <c r="D79" s="567"/>
      <c r="E79" s="566">
        <f>'Sources and Uses Budget'!S79</f>
        <v>1725662</v>
      </c>
      <c r="F79" s="567"/>
      <c r="G79" s="567"/>
      <c r="H79" s="566">
        <f>'Sources and Uses Budget'!T79</f>
        <v>0</v>
      </c>
      <c r="I79" s="567"/>
      <c r="J79" s="567"/>
      <c r="K79" s="564"/>
    </row>
    <row r="80" spans="1:11" s="565" customFormat="1">
      <c r="A80" s="569" t="s">
        <v>61</v>
      </c>
      <c r="B80" s="566">
        <f>'Sources and Uses Budget'!C80</f>
        <v>507985</v>
      </c>
      <c r="C80" s="567"/>
      <c r="D80" s="567"/>
      <c r="E80" s="566">
        <f>'Sources and Uses Budget'!S80</f>
        <v>431788</v>
      </c>
      <c r="F80" s="567"/>
      <c r="G80" s="567"/>
      <c r="H80" s="566">
        <f>'Sources and Uses Budget'!T80</f>
        <v>0</v>
      </c>
      <c r="I80" s="567"/>
      <c r="J80" s="567"/>
      <c r="K80" s="564"/>
    </row>
    <row r="81" spans="1:11" s="565" customFormat="1">
      <c r="A81" s="570" t="s">
        <v>1425</v>
      </c>
      <c r="B81" s="566">
        <f>'Sources and Uses Budget'!C81</f>
        <v>2233647</v>
      </c>
      <c r="C81" s="566">
        <f>SUM(C79:C80)</f>
        <v>0</v>
      </c>
      <c r="D81" s="566">
        <f>SUM(D79:D80)</f>
        <v>0</v>
      </c>
      <c r="E81" s="566">
        <f>'Sources and Uses Budget'!S81</f>
        <v>2157450</v>
      </c>
      <c r="F81" s="566">
        <f>SUM(F79:F80)</f>
        <v>0</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 customHeight="1">
      <c r="A83" s="215" t="s">
        <v>826</v>
      </c>
      <c r="B83" s="566">
        <f>'Sources and Uses Budget'!C83</f>
        <v>110750</v>
      </c>
      <c r="C83" s="567"/>
      <c r="D83" s="567"/>
      <c r="E83" s="568"/>
      <c r="F83" s="568"/>
      <c r="G83" s="568"/>
      <c r="H83" s="568"/>
      <c r="I83" s="568"/>
      <c r="J83" s="568"/>
      <c r="K83" s="564"/>
    </row>
    <row r="84" spans="1:11" s="565" customFormat="1">
      <c r="A84" s="215" t="s">
        <v>827</v>
      </c>
      <c r="B84" s="566">
        <f>'Sources and Uses Budget'!C84</f>
        <v>635875</v>
      </c>
      <c r="C84" s="567"/>
      <c r="D84" s="567"/>
      <c r="E84" s="566">
        <f>'Sources and Uses Budget'!S84</f>
        <v>635875</v>
      </c>
      <c r="F84" s="567"/>
      <c r="G84" s="567"/>
      <c r="H84" s="566">
        <f>'Sources and Uses Budget'!T84</f>
        <v>0</v>
      </c>
      <c r="I84" s="567"/>
      <c r="J84" s="567"/>
      <c r="K84" s="564"/>
    </row>
    <row r="85" spans="1:11" s="565" customFormat="1">
      <c r="A85" s="215" t="s">
        <v>828</v>
      </c>
      <c r="B85" s="566">
        <f>'Sources and Uses Budget'!C85</f>
        <v>4000000</v>
      </c>
      <c r="C85" s="567"/>
      <c r="D85" s="567"/>
      <c r="E85" s="566">
        <f>'Sources and Uses Budget'!S85</f>
        <v>4000000</v>
      </c>
      <c r="F85" s="567"/>
      <c r="G85" s="567"/>
      <c r="H85" s="566">
        <f>'Sources and Uses Budget'!T85</f>
        <v>0</v>
      </c>
      <c r="I85" s="567"/>
      <c r="J85" s="567"/>
      <c r="K85" s="564"/>
    </row>
    <row r="86" spans="1:11" s="565" customFormat="1">
      <c r="A86" s="215" t="s">
        <v>829</v>
      </c>
      <c r="B86" s="566">
        <f>'Sources and Uses Budget'!C86</f>
        <v>1378844</v>
      </c>
      <c r="C86" s="567"/>
      <c r="D86" s="567"/>
      <c r="E86" s="566">
        <f>'Sources and Uses Budget'!S86</f>
        <v>1378844</v>
      </c>
      <c r="F86" s="567"/>
      <c r="G86" s="567"/>
      <c r="H86" s="566">
        <f>'Sources and Uses Budget'!T86</f>
        <v>0</v>
      </c>
      <c r="I86" s="567"/>
      <c r="J86" s="567"/>
      <c r="K86" s="564"/>
    </row>
    <row r="87" spans="1:11" s="565" customFormat="1">
      <c r="A87" s="215" t="s">
        <v>830</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831</v>
      </c>
      <c r="B88" s="566">
        <f>'Sources and Uses Budget'!C88</f>
        <v>153226</v>
      </c>
      <c r="C88" s="567"/>
      <c r="D88" s="567"/>
      <c r="E88" s="568"/>
      <c r="F88" s="568"/>
      <c r="G88" s="568"/>
      <c r="H88" s="568"/>
      <c r="I88" s="568"/>
      <c r="J88" s="568"/>
      <c r="K88" s="564"/>
    </row>
    <row r="89" spans="1:11" s="565" customFormat="1">
      <c r="A89" s="215" t="s">
        <v>832</v>
      </c>
      <c r="B89" s="566">
        <f>'Sources and Uses Budget'!C89</f>
        <v>290000</v>
      </c>
      <c r="C89" s="567"/>
      <c r="D89" s="567"/>
      <c r="E89" s="566">
        <f>'Sources and Uses Budget'!S89</f>
        <v>290000</v>
      </c>
      <c r="F89" s="567"/>
      <c r="G89" s="567"/>
      <c r="H89" s="566">
        <f>'Sources and Uses Budget'!T89</f>
        <v>0</v>
      </c>
      <c r="I89" s="567"/>
      <c r="J89" s="567"/>
      <c r="K89" s="564"/>
    </row>
    <row r="90" spans="1:11" s="565" customFormat="1">
      <c r="A90" s="215" t="s">
        <v>833</v>
      </c>
      <c r="B90" s="566">
        <f>'Sources and Uses Budget'!C90</f>
        <v>11000</v>
      </c>
      <c r="C90" s="567"/>
      <c r="D90" s="567"/>
      <c r="E90" s="566">
        <f>'Sources and Uses Budget'!S90</f>
        <v>11000</v>
      </c>
      <c r="F90" s="567"/>
      <c r="G90" s="567"/>
      <c r="H90" s="566">
        <f>'Sources and Uses Budget'!T90</f>
        <v>0</v>
      </c>
      <c r="I90" s="567"/>
      <c r="J90" s="567"/>
      <c r="K90" s="564"/>
    </row>
    <row r="91" spans="1:11" s="565" customFormat="1">
      <c r="A91" s="226" t="s">
        <v>391</v>
      </c>
      <c r="B91" s="566">
        <f>'Sources and Uses Budget'!C91</f>
        <v>45000</v>
      </c>
      <c r="C91" s="567"/>
      <c r="D91" s="567"/>
      <c r="E91" s="566">
        <f>'Sources and Uses Budget'!S91</f>
        <v>22500</v>
      </c>
      <c r="F91" s="567"/>
      <c r="G91" s="567"/>
      <c r="H91" s="566">
        <f>'Sources and Uses Budget'!T91</f>
        <v>0</v>
      </c>
      <c r="I91" s="567"/>
      <c r="J91" s="567"/>
      <c r="K91" s="564"/>
    </row>
    <row r="92" spans="1:11" s="565" customFormat="1">
      <c r="A92" s="860" t="s">
        <v>1427</v>
      </c>
      <c r="B92" s="566">
        <f>'Sources and Uses Budget'!C92</f>
        <v>8000</v>
      </c>
      <c r="C92" s="567"/>
      <c r="D92" s="567"/>
      <c r="E92" s="566">
        <f>'Sources and Uses Budget'!S92</f>
        <v>8000</v>
      </c>
      <c r="F92" s="567"/>
      <c r="G92" s="567"/>
      <c r="H92" s="566">
        <f>'Sources and Uses Budget'!T92</f>
        <v>0</v>
      </c>
      <c r="I92" s="567"/>
      <c r="J92" s="567"/>
      <c r="K92" s="564"/>
    </row>
    <row r="93" spans="1:11" s="565" customFormat="1">
      <c r="A93" s="572" t="str">
        <f>'Sources and Uses Budget'!$A93</f>
        <v>Other: Washer &amp; Dryers</v>
      </c>
      <c r="B93" s="566">
        <f>'Sources and Uses Budget'!C93</f>
        <v>88000</v>
      </c>
      <c r="C93" s="567"/>
      <c r="D93" s="567"/>
      <c r="E93" s="566">
        <f>'Sources and Uses Budget'!S93</f>
        <v>0</v>
      </c>
      <c r="F93" s="567"/>
      <c r="G93" s="567"/>
      <c r="H93" s="566">
        <f>'Sources and Uses Budget'!T93</f>
        <v>0</v>
      </c>
      <c r="I93" s="567"/>
      <c r="J93" s="567"/>
      <c r="K93" s="564"/>
    </row>
    <row r="94" spans="1:11" s="565" customFormat="1">
      <c r="A94" s="572" t="str">
        <f>'Sources and Uses Budget'!$A94</f>
        <v>Construction Inpections</v>
      </c>
      <c r="B94" s="566">
        <f>'Sources and Uses Budget'!C94</f>
        <v>54000</v>
      </c>
      <c r="C94" s="567"/>
      <c r="D94" s="567"/>
      <c r="E94" s="566">
        <f>'Sources and Uses Budget'!S94</f>
        <v>54000</v>
      </c>
      <c r="F94" s="567"/>
      <c r="G94" s="567"/>
      <c r="H94" s="566">
        <f>'Sources and Uses Budget'!T94</f>
        <v>0</v>
      </c>
      <c r="I94" s="567"/>
      <c r="J94" s="567"/>
      <c r="K94" s="564"/>
    </row>
    <row r="95" spans="1:11" s="565" customFormat="1">
      <c r="A95" s="572" t="str">
        <f>'Sources and Uses Budget'!$A95</f>
        <v>Other: Audit</v>
      </c>
      <c r="B95" s="566">
        <f>'Sources and Uses Budget'!C95</f>
        <v>45000</v>
      </c>
      <c r="C95" s="567"/>
      <c r="D95" s="567"/>
      <c r="E95" s="566">
        <f>'Sources and Uses Budget'!S95</f>
        <v>0</v>
      </c>
      <c r="F95" s="567"/>
      <c r="G95" s="567"/>
      <c r="H95" s="566">
        <f>'Sources and Uses Budget'!T95</f>
        <v>0</v>
      </c>
      <c r="I95" s="567"/>
      <c r="J95" s="567"/>
      <c r="K95" s="564"/>
    </row>
    <row r="96" spans="1:11" s="565" customFormat="1">
      <c r="A96" s="570" t="s">
        <v>834</v>
      </c>
      <c r="B96" s="566">
        <f>'Sources and Uses Budget'!C96</f>
        <v>6819695</v>
      </c>
      <c r="C96" s="566">
        <f>SUM(C83:C95)</f>
        <v>0</v>
      </c>
      <c r="D96" s="566">
        <f>SUM(D83:D95)</f>
        <v>0</v>
      </c>
      <c r="E96" s="566">
        <f>'Sources and Uses Budget'!S96</f>
        <v>6400219</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54897956</v>
      </c>
      <c r="C97" s="566">
        <f>SUM(C63+C70+C77+C81+C96)</f>
        <v>0</v>
      </c>
      <c r="D97" s="566">
        <f>SUM(D63+D70+D77+D81+D96)</f>
        <v>0</v>
      </c>
      <c r="E97" s="566">
        <f>'Sources and Uses Budget'!S97</f>
        <v>50218071</v>
      </c>
      <c r="F97" s="573">
        <f>SUM(+F63+F70+F81+F96)</f>
        <v>0</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7532710</v>
      </c>
      <c r="C99" s="567"/>
      <c r="D99" s="567"/>
      <c r="E99" s="566">
        <f>'Sources and Uses Budget'!S99</f>
        <v>7532710</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7532710</v>
      </c>
      <c r="C104" s="566">
        <f>SUM(C99:C103)</f>
        <v>0</v>
      </c>
      <c r="D104" s="566">
        <f>SUM(D99:D103)</f>
        <v>0</v>
      </c>
      <c r="E104" s="566">
        <f>'Sources and Uses Budget'!S104</f>
        <v>7532710</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62430666</v>
      </c>
      <c r="C105" s="573">
        <f>SUM(C97+C104)</f>
        <v>0</v>
      </c>
      <c r="D105" s="573">
        <f>SUM(D97+D104)</f>
        <v>0</v>
      </c>
      <c r="E105" s="566">
        <f>'Sources and Uses Budget'!S105</f>
        <v>57750781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57750781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4"/>
      <c r="E124" s="2595"/>
      <c r="F124" s="2595"/>
      <c r="G124" s="2595"/>
      <c r="H124" s="2595"/>
      <c r="I124" s="2595"/>
      <c r="J124" s="584"/>
      <c r="K124" s="564"/>
    </row>
    <row r="125" spans="1:11" s="565" customFormat="1" ht="12.75">
      <c r="A125" s="595"/>
      <c r="B125" s="594"/>
      <c r="C125" s="595"/>
      <c r="D125" s="2595"/>
      <c r="E125" s="2595"/>
      <c r="F125" s="2595"/>
      <c r="G125" s="2595"/>
      <c r="H125" s="2595"/>
      <c r="I125" s="2595"/>
      <c r="J125" s="584"/>
      <c r="K125" s="564"/>
    </row>
    <row r="126" spans="1:11" s="565" customFormat="1" ht="12.75">
      <c r="A126" s="595"/>
      <c r="B126" s="594"/>
      <c r="C126" s="595"/>
      <c r="D126" s="2595"/>
      <c r="E126" s="2595"/>
      <c r="F126" s="2595"/>
      <c r="G126" s="2595"/>
      <c r="H126" s="2595"/>
      <c r="I126" s="2595"/>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6"/>
      <c r="B139" s="2597"/>
      <c r="C139" s="2597"/>
      <c r="D139" s="607"/>
      <c r="E139" s="595"/>
      <c r="F139" s="595"/>
      <c r="G139" s="595"/>
    </row>
    <row r="140" spans="1:11" ht="12" customHeight="1">
      <c r="A140" s="2598"/>
      <c r="B140" s="2599"/>
      <c r="C140" s="2599"/>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9" zoomScale="120" zoomScaleNormal="120" workbookViewId="0">
      <selection activeCell="N150" sqref="N150:T150"/>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91" t="s">
        <v>2047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3"/>
    </row>
    <row r="2" spans="1:58" ht="15.75" customHeight="1">
      <c r="A2" s="2994" t="s">
        <v>2048</v>
      </c>
      <c r="B2" s="2995"/>
      <c r="C2" s="2995"/>
      <c r="D2" s="2995"/>
      <c r="E2" s="2995"/>
      <c r="F2" s="2995"/>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5"/>
      <c r="AZ2" s="2995"/>
      <c r="BA2" s="2995"/>
      <c r="BB2" s="2995"/>
      <c r="BC2" s="2995"/>
      <c r="BD2" s="2995"/>
      <c r="BE2" s="299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997" t="str">
        <f>IF(Application!H18="","",Application!H18)</f>
        <v>Anton Power Inn</v>
      </c>
      <c r="M4" s="2998"/>
      <c r="N4" s="2998"/>
      <c r="O4" s="2998"/>
      <c r="P4" s="2998"/>
      <c r="Q4" s="2998"/>
      <c r="R4" s="2998"/>
      <c r="S4" s="2998"/>
      <c r="T4" s="2998"/>
      <c r="U4" s="2998"/>
      <c r="V4" s="2998"/>
      <c r="W4" s="2998"/>
      <c r="X4" s="2998"/>
      <c r="Y4" s="2998"/>
      <c r="Z4" s="2998"/>
      <c r="AA4" s="2998"/>
      <c r="AB4" s="2998"/>
      <c r="AC4" s="2999"/>
      <c r="AD4" s="1531"/>
      <c r="AE4" s="1531"/>
      <c r="AF4" s="2698" t="s">
        <v>2049</v>
      </c>
      <c r="AG4" s="2699"/>
      <c r="AH4" s="2699"/>
      <c r="AI4" s="2699"/>
      <c r="AJ4" s="2699"/>
      <c r="AK4" s="2699"/>
      <c r="AL4" s="2699"/>
      <c r="AM4" s="2699"/>
      <c r="AN4" s="2699"/>
      <c r="AO4" s="2699"/>
      <c r="AP4" s="3000">
        <v>44470</v>
      </c>
      <c r="AQ4" s="2970"/>
      <c r="AR4" s="2970"/>
      <c r="AS4" s="2970"/>
      <c r="AT4" s="2970"/>
      <c r="AU4" s="297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16" t="s">
        <v>2050</v>
      </c>
      <c r="AG5" s="2717"/>
      <c r="AH5" s="2717"/>
      <c r="AI5" s="2717"/>
      <c r="AJ5" s="2717"/>
      <c r="AK5" s="2717"/>
      <c r="AL5" s="2717"/>
      <c r="AM5" s="2717"/>
      <c r="AN5" s="2717"/>
      <c r="AO5" s="2717"/>
      <c r="AP5" s="3000">
        <v>44256</v>
      </c>
      <c r="AQ5" s="2970"/>
      <c r="AR5" s="2970"/>
      <c r="AS5" s="2970"/>
      <c r="AT5" s="2970"/>
      <c r="AU5" s="2971"/>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76" t="str">
        <f>IF(Application!H16="","",Application!H16)</f>
        <v>Anton DevCo, Inc.</v>
      </c>
      <c r="M6" s="2977"/>
      <c r="N6" s="2977"/>
      <c r="O6" s="2977"/>
      <c r="P6" s="2977"/>
      <c r="Q6" s="2977"/>
      <c r="R6" s="2977"/>
      <c r="S6" s="2977"/>
      <c r="T6" s="2977"/>
      <c r="U6" s="2977"/>
      <c r="V6" s="2977"/>
      <c r="W6" s="2977"/>
      <c r="X6" s="2977"/>
      <c r="Y6" s="2977"/>
      <c r="Z6" s="2977"/>
      <c r="AA6" s="2977"/>
      <c r="AB6" s="2977"/>
      <c r="AC6" s="297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79" t="str">
        <f>Application!T196</f>
        <v>No</v>
      </c>
      <c r="AC8" s="2980"/>
      <c r="AD8" s="298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2053</v>
      </c>
      <c r="C10" s="1533"/>
      <c r="D10" s="1533"/>
      <c r="E10" s="1533"/>
      <c r="F10" s="1533"/>
      <c r="G10" s="1533"/>
      <c r="H10" s="1533"/>
      <c r="I10" s="1533"/>
      <c r="J10" s="1533"/>
      <c r="K10" s="1533"/>
      <c r="L10" s="1533"/>
      <c r="M10" s="1531"/>
      <c r="N10" s="2982">
        <f>VLOOKUP("CalHFA Permanent Loan",Application!C564:AS575,37,TRUE)</f>
        <v>5109996</v>
      </c>
      <c r="O10" s="2983"/>
      <c r="P10" s="2983"/>
      <c r="Q10" s="2983"/>
      <c r="R10" s="2983"/>
      <c r="S10" s="2983"/>
      <c r="T10" s="2984"/>
      <c r="U10" s="1531"/>
      <c r="V10" s="1531"/>
      <c r="W10" s="1531"/>
      <c r="X10" s="2700" t="s">
        <v>2054</v>
      </c>
      <c r="Y10" s="2701"/>
      <c r="Z10" s="2701"/>
      <c r="AA10" s="2701"/>
      <c r="AB10" s="2701"/>
      <c r="AC10" s="2701"/>
      <c r="AD10" s="2701"/>
      <c r="AE10" s="2701"/>
      <c r="AF10" s="2701"/>
      <c r="AG10" s="2701"/>
      <c r="AH10" s="2701"/>
      <c r="AI10" s="2701"/>
      <c r="AJ10" s="2701"/>
      <c r="AK10" s="2702"/>
      <c r="AL10" s="3004">
        <f>Application!W471</f>
        <v>29</v>
      </c>
      <c r="AM10" s="3005"/>
      <c r="AN10" s="3005"/>
      <c r="AO10" s="3005"/>
      <c r="AP10" s="3006"/>
      <c r="AQ10" s="1534"/>
      <c r="AR10" s="1534"/>
      <c r="AS10" s="1534"/>
      <c r="AT10" s="1534"/>
      <c r="AU10" s="1534"/>
      <c r="AV10" s="1534"/>
      <c r="AW10" s="1534"/>
      <c r="AX10" s="1531"/>
      <c r="AY10" s="1531"/>
      <c r="AZ10" s="1531"/>
      <c r="BA10" s="1531"/>
      <c r="BB10" s="1531"/>
      <c r="BC10" s="1531"/>
      <c r="BD10" s="1531"/>
      <c r="BE10" s="1532"/>
    </row>
    <row r="11" spans="1:58" thickBot="1">
      <c r="A11" s="1835"/>
      <c r="B11" s="1533" t="s">
        <v>2055</v>
      </c>
      <c r="C11" s="1533"/>
      <c r="D11" s="1533"/>
      <c r="E11" s="1533"/>
      <c r="F11" s="1533"/>
      <c r="G11" s="1533"/>
      <c r="H11" s="1533"/>
      <c r="I11" s="1533"/>
      <c r="J11" s="1533"/>
      <c r="K11" s="1533"/>
      <c r="L11" s="1533"/>
      <c r="M11" s="1531"/>
      <c r="N11" s="2985">
        <f>Application!AA925</f>
        <v>0</v>
      </c>
      <c r="O11" s="2986"/>
      <c r="P11" s="2986"/>
      <c r="Q11" s="2986"/>
      <c r="R11" s="2986"/>
      <c r="S11" s="2986"/>
      <c r="T11" s="2987"/>
      <c r="U11" s="1531"/>
      <c r="V11" s="1531"/>
      <c r="W11" s="1531"/>
      <c r="X11" s="2988" t="s">
        <v>2056</v>
      </c>
      <c r="Y11" s="2989"/>
      <c r="Z11" s="2989"/>
      <c r="AA11" s="2989"/>
      <c r="AB11" s="2989"/>
      <c r="AC11" s="2989"/>
      <c r="AD11" s="2989"/>
      <c r="AE11" s="2989"/>
      <c r="AF11" s="2989"/>
      <c r="AG11" s="2989"/>
      <c r="AH11" s="2989"/>
      <c r="AI11" s="2989"/>
      <c r="AJ11" s="2989"/>
      <c r="AK11" s="2990"/>
      <c r="AL11" s="3001">
        <v>44221</v>
      </c>
      <c r="AM11" s="3002"/>
      <c r="AN11" s="3002"/>
      <c r="AO11" s="3002"/>
      <c r="AP11" s="3003"/>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700" t="s">
        <v>2057</v>
      </c>
      <c r="Y12" s="2701"/>
      <c r="Z12" s="2701"/>
      <c r="AA12" s="2701"/>
      <c r="AB12" s="2701"/>
      <c r="AC12" s="2701"/>
      <c r="AD12" s="2701"/>
      <c r="AE12" s="2701"/>
      <c r="AF12" s="2701"/>
      <c r="AG12" s="2701"/>
      <c r="AH12" s="2701"/>
      <c r="AI12" s="2701"/>
      <c r="AJ12" s="2701"/>
      <c r="AK12" s="2702"/>
      <c r="AL12" s="3001">
        <v>44230</v>
      </c>
      <c r="AM12" s="3002"/>
      <c r="AN12" s="3002"/>
      <c r="AO12" s="3002"/>
      <c r="AP12" s="3003"/>
      <c r="AQ12" s="1534"/>
      <c r="AR12" s="1534"/>
      <c r="AS12" s="1534"/>
      <c r="AT12" s="1534"/>
      <c r="AU12" s="1534"/>
      <c r="AV12" s="1531"/>
      <c r="AW12" s="1531"/>
      <c r="AX12" s="1531"/>
      <c r="AY12" s="1531"/>
      <c r="AZ12" s="1531"/>
      <c r="BA12" s="1531"/>
      <c r="BB12" s="1531"/>
      <c r="BC12" s="1531"/>
      <c r="BD12" s="1531"/>
      <c r="BE12" s="1537"/>
    </row>
    <row r="13" spans="1:58" thickBot="1">
      <c r="A13" s="1836"/>
      <c r="B13" s="2700" t="s">
        <v>2058</v>
      </c>
      <c r="C13" s="2701"/>
      <c r="D13" s="2701"/>
      <c r="E13" s="2701"/>
      <c r="F13" s="2701"/>
      <c r="G13" s="2701"/>
      <c r="H13" s="2701"/>
      <c r="I13" s="2701"/>
      <c r="J13" s="2701"/>
      <c r="K13" s="2701"/>
      <c r="L13" s="2701"/>
      <c r="M13" s="2701"/>
      <c r="N13" s="2701"/>
      <c r="O13" s="2701"/>
      <c r="P13" s="2702"/>
      <c r="Q13" s="2969" t="s">
        <v>706</v>
      </c>
      <c r="R13" s="2970"/>
      <c r="S13" s="2970"/>
      <c r="T13" s="297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72" t="s">
        <v>2059</v>
      </c>
      <c r="C15" s="2972"/>
      <c r="D15" s="2972"/>
      <c r="E15" s="2972"/>
      <c r="F15" s="2972"/>
      <c r="G15" s="2972"/>
      <c r="H15" s="2972"/>
      <c r="I15" s="2972"/>
      <c r="J15" s="2972"/>
      <c r="K15" s="2972"/>
      <c r="L15" s="2973"/>
      <c r="M15" s="2698" t="s">
        <v>2060</v>
      </c>
      <c r="N15" s="2699"/>
      <c r="O15" s="2699"/>
      <c r="P15" s="2699"/>
      <c r="Q15" s="2699"/>
      <c r="R15" s="2699"/>
      <c r="S15" s="2974" t="str">
        <f>IF(Application!AB214="","",Application!AB214)</f>
        <v/>
      </c>
      <c r="T15" s="2974"/>
      <c r="U15" s="2974"/>
      <c r="V15" s="2974"/>
      <c r="W15" s="297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70" t="s">
        <v>2061</v>
      </c>
      <c r="C17" s="2771"/>
      <c r="D17" s="2771"/>
      <c r="E17" s="2771"/>
      <c r="F17" s="2771"/>
      <c r="G17" s="2771"/>
      <c r="H17" s="2771"/>
      <c r="I17" s="2771"/>
      <c r="J17" s="2771"/>
      <c r="K17" s="2771"/>
      <c r="L17" s="2771"/>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c r="AS17" s="2771"/>
      <c r="AT17" s="2771"/>
      <c r="AU17" s="2771"/>
      <c r="AV17" s="2771"/>
      <c r="AW17" s="2771"/>
      <c r="AX17" s="2771"/>
      <c r="AY17" s="2834"/>
      <c r="AZ17" s="1531"/>
      <c r="BA17" s="1531"/>
      <c r="BB17" s="1531"/>
      <c r="BC17" s="1531"/>
      <c r="BD17" s="1531"/>
      <c r="BE17" s="1537"/>
      <c r="BF17" s="1529"/>
    </row>
    <row r="18" spans="1:58" ht="15.75" customHeight="1">
      <c r="A18" s="1836"/>
      <c r="B18" s="2965" t="s">
        <v>2062</v>
      </c>
      <c r="C18" s="2966"/>
      <c r="D18" s="2966"/>
      <c r="E18" s="2966"/>
      <c r="F18" s="2966"/>
      <c r="G18" s="2966"/>
      <c r="H18" s="2966"/>
      <c r="I18" s="2967"/>
      <c r="J18" s="2951" t="s">
        <v>1893</v>
      </c>
      <c r="K18" s="2952"/>
      <c r="L18" s="2952"/>
      <c r="M18" s="2952"/>
      <c r="N18" s="2952"/>
      <c r="O18" s="2953"/>
      <c r="P18" s="2951" t="s">
        <v>334</v>
      </c>
      <c r="Q18" s="2952"/>
      <c r="R18" s="2952"/>
      <c r="S18" s="2952"/>
      <c r="T18" s="2952"/>
      <c r="U18" s="2953"/>
      <c r="V18" s="2951" t="s">
        <v>335</v>
      </c>
      <c r="W18" s="2952"/>
      <c r="X18" s="2952"/>
      <c r="Y18" s="2952"/>
      <c r="Z18" s="2952"/>
      <c r="AA18" s="2953"/>
      <c r="AB18" s="2951" t="s">
        <v>168</v>
      </c>
      <c r="AC18" s="2952"/>
      <c r="AD18" s="2952"/>
      <c r="AE18" s="2952"/>
      <c r="AF18" s="2952"/>
      <c r="AG18" s="2953"/>
      <c r="AH18" s="2951" t="s">
        <v>169</v>
      </c>
      <c r="AI18" s="2952"/>
      <c r="AJ18" s="2952"/>
      <c r="AK18" s="2952"/>
      <c r="AL18" s="2952"/>
      <c r="AM18" s="2953"/>
      <c r="AN18" s="2951" t="s">
        <v>170</v>
      </c>
      <c r="AO18" s="2952"/>
      <c r="AP18" s="2952"/>
      <c r="AQ18" s="2952"/>
      <c r="AR18" s="2952"/>
      <c r="AS18" s="2953"/>
      <c r="AT18" s="2951" t="s">
        <v>2063</v>
      </c>
      <c r="AU18" s="2952"/>
      <c r="AV18" s="2952"/>
      <c r="AW18" s="2952"/>
      <c r="AX18" s="2952"/>
      <c r="AY18" s="2968"/>
      <c r="AZ18" s="1531"/>
      <c r="BA18" s="1531"/>
      <c r="BB18" s="1531"/>
      <c r="BC18" s="1531"/>
      <c r="BD18" s="1531"/>
      <c r="BE18" s="1537"/>
    </row>
    <row r="19" spans="1:58" ht="15">
      <c r="A19" s="1836"/>
      <c r="B19" s="2963">
        <v>0.2</v>
      </c>
      <c r="C19" s="2964"/>
      <c r="D19" s="2964"/>
      <c r="E19" s="2964"/>
      <c r="F19" s="2964"/>
      <c r="G19" s="2964"/>
      <c r="H19" s="2964"/>
      <c r="I19" s="2964"/>
      <c r="J19" s="2951">
        <f>SUM(P19:AS19)</f>
        <v>0</v>
      </c>
      <c r="K19" s="2952"/>
      <c r="L19" s="2952"/>
      <c r="M19" s="2952"/>
      <c r="N19" s="2952"/>
      <c r="O19" s="2953"/>
      <c r="P19" s="2957" cm="1">
        <f t="array" ref="P19">SUMPRODUCT((Application!$B$728:$B$752 = 'CalHFA Addendum'!P$18)*(Application!$AH$728:$AH$752 = 'CalHFA Addendum'!$B19),Application!$G$728:$G$752)</f>
        <v>0</v>
      </c>
      <c r="Q19" s="2958"/>
      <c r="R19" s="2958"/>
      <c r="S19" s="2958"/>
      <c r="T19" s="2958"/>
      <c r="U19" s="2959"/>
      <c r="V19" s="2957" cm="1">
        <f t="array" ref="V19">SUMPRODUCT((Application!$B$728:$B$752 = 'CalHFA Addendum'!V$18)*(Application!$AH$728:$AH$752 = 'CalHFA Addendum'!$B19),Application!$G$728:$G$752)</f>
        <v>0</v>
      </c>
      <c r="W19" s="2958"/>
      <c r="X19" s="2958"/>
      <c r="Y19" s="2958"/>
      <c r="Z19" s="2958"/>
      <c r="AA19" s="2959"/>
      <c r="AB19" s="2957" cm="1">
        <f t="array" ref="AB19">SUMPRODUCT((Application!$B$728:$B$752 = 'CalHFA Addendum'!AB$18)*(Application!$AH$728:$AH$752 = 'CalHFA Addendum'!$B19),Application!$G$728:$G$752)</f>
        <v>0</v>
      </c>
      <c r="AC19" s="2958"/>
      <c r="AD19" s="2958"/>
      <c r="AE19" s="2958"/>
      <c r="AF19" s="2958"/>
      <c r="AG19" s="2959"/>
      <c r="AH19" s="2957" cm="1">
        <f t="array" ref="AH19">SUMPRODUCT((Application!$B$728:$B$752 = 'CalHFA Addendum'!AH$18)*(Application!$AH$728:$AH$752 = 'CalHFA Addendum'!$B19),Application!$G$728:$G$752)</f>
        <v>0</v>
      </c>
      <c r="AI19" s="2958"/>
      <c r="AJ19" s="2958"/>
      <c r="AK19" s="2958"/>
      <c r="AL19" s="2958"/>
      <c r="AM19" s="2959"/>
      <c r="AN19" s="2957" cm="1">
        <f t="array" ref="AN19">SUMPRODUCT((Application!$B$728:$B$752 = 'CalHFA Addendum'!AN$18)*(Application!$AH$728:$AH$752 = 'CalHFA Addendum'!$B19),Application!$G$728:$G$752)</f>
        <v>0</v>
      </c>
      <c r="AO19" s="2958"/>
      <c r="AP19" s="2958"/>
      <c r="AQ19" s="2958"/>
      <c r="AR19" s="2958"/>
      <c r="AS19" s="2959"/>
      <c r="AT19" s="2960">
        <f t="shared" ref="AT19:AT27" si="0">J19/$J$29</f>
        <v>0</v>
      </c>
      <c r="AU19" s="2961"/>
      <c r="AV19" s="2961"/>
      <c r="AW19" s="2961"/>
      <c r="AX19" s="2961"/>
      <c r="AY19" s="2962"/>
      <c r="AZ19" s="1538"/>
      <c r="BA19" s="1531"/>
      <c r="BB19" s="1531"/>
      <c r="BC19" s="1531"/>
      <c r="BD19" s="1531"/>
      <c r="BE19" s="1537"/>
    </row>
    <row r="20" spans="1:58" ht="15" customHeight="1">
      <c r="A20" s="1836"/>
      <c r="B20" s="2963">
        <v>0.3</v>
      </c>
      <c r="C20" s="2964"/>
      <c r="D20" s="2964"/>
      <c r="E20" s="2964"/>
      <c r="F20" s="2964"/>
      <c r="G20" s="2964"/>
      <c r="H20" s="2964"/>
      <c r="I20" s="2964"/>
      <c r="J20" s="2951">
        <f t="shared" ref="J20:J27" si="1">SUM(P20:AS20)</f>
        <v>20</v>
      </c>
      <c r="K20" s="2952"/>
      <c r="L20" s="2952"/>
      <c r="M20" s="2952"/>
      <c r="N20" s="2952"/>
      <c r="O20" s="2953"/>
      <c r="P20" s="2957" cm="1">
        <f t="array" ref="P20">SUMPRODUCT((Application!$B$728:$B$752 = 'CalHFA Addendum'!P$18)*(Application!$AH$728:$AH$752 = 'CalHFA Addendum'!$B20),Application!$G$728:$G$752)</f>
        <v>0</v>
      </c>
      <c r="Q20" s="2958"/>
      <c r="R20" s="2958"/>
      <c r="S20" s="2958"/>
      <c r="T20" s="2958"/>
      <c r="U20" s="2959"/>
      <c r="V20" s="2957" cm="1">
        <f t="array" ref="V20">SUMPRODUCT((Application!$B$728:$B$752 = 'CalHFA Addendum'!V$18)*(Application!$AH$728:$AH$752 = 'CalHFA Addendum'!$B20),Application!$G$728:$G$752)</f>
        <v>10</v>
      </c>
      <c r="W20" s="2958"/>
      <c r="X20" s="2958"/>
      <c r="Y20" s="2958"/>
      <c r="Z20" s="2958"/>
      <c r="AA20" s="2959"/>
      <c r="AB20" s="2957" cm="1">
        <f t="array" ref="AB20">SUMPRODUCT((Application!$B$728:$B$752 = 'CalHFA Addendum'!AB$18)*(Application!$AH$728:$AH$752 = 'CalHFA Addendum'!$B20),Application!$G$728:$G$752)</f>
        <v>5</v>
      </c>
      <c r="AC20" s="2958"/>
      <c r="AD20" s="2958"/>
      <c r="AE20" s="2958"/>
      <c r="AF20" s="2958"/>
      <c r="AG20" s="2959"/>
      <c r="AH20" s="2957" cm="1">
        <f t="array" ref="AH20">SUMPRODUCT((Application!$B$728:$B$752 = 'CalHFA Addendum'!AH$18)*(Application!$AH$728:$AH$752 = 'CalHFA Addendum'!$B20),Application!$G$728:$G$752)</f>
        <v>5</v>
      </c>
      <c r="AI20" s="2958"/>
      <c r="AJ20" s="2958"/>
      <c r="AK20" s="2958"/>
      <c r="AL20" s="2958"/>
      <c r="AM20" s="2959"/>
      <c r="AN20" s="2957" cm="1">
        <f t="array" ref="AN20">SUMPRODUCT((Application!$B$728:$B$752 = 'CalHFA Addendum'!AN$18)*(Application!$AH$728:$AH$752 = 'CalHFA Addendum'!$B20),Application!$G$728:$G$752)</f>
        <v>0</v>
      </c>
      <c r="AO20" s="2958"/>
      <c r="AP20" s="2958"/>
      <c r="AQ20" s="2958"/>
      <c r="AR20" s="2958"/>
      <c r="AS20" s="2959"/>
      <c r="AT20" s="2960">
        <f t="shared" si="0"/>
        <v>0.10362694300518134</v>
      </c>
      <c r="AU20" s="2961"/>
      <c r="AV20" s="2961"/>
      <c r="AW20" s="2961"/>
      <c r="AX20" s="2961"/>
      <c r="AY20" s="2962"/>
      <c r="AZ20" s="1531"/>
      <c r="BA20" s="1531"/>
      <c r="BB20" s="1531"/>
      <c r="BC20" s="1531"/>
      <c r="BD20" s="1531"/>
      <c r="BE20" s="1537"/>
    </row>
    <row r="21" spans="1:58" ht="15">
      <c r="A21" s="1836"/>
      <c r="B21" s="2963">
        <v>0.4</v>
      </c>
      <c r="C21" s="2964"/>
      <c r="D21" s="2964"/>
      <c r="E21" s="2964"/>
      <c r="F21" s="2964"/>
      <c r="G21" s="2964"/>
      <c r="H21" s="2964"/>
      <c r="I21" s="2964"/>
      <c r="J21" s="2951">
        <f t="shared" si="1"/>
        <v>0</v>
      </c>
      <c r="K21" s="2952"/>
      <c r="L21" s="2952"/>
      <c r="M21" s="2952"/>
      <c r="N21" s="2952"/>
      <c r="O21" s="2953"/>
      <c r="P21" s="2957" cm="1">
        <f t="array" ref="P21">SUMPRODUCT((Application!$B$728:$B$752 = 'CalHFA Addendum'!P$18)*(Application!$AH$728:$AH$752 = 'CalHFA Addendum'!$B21),Application!$G$728:$G$752)</f>
        <v>0</v>
      </c>
      <c r="Q21" s="2958"/>
      <c r="R21" s="2958"/>
      <c r="S21" s="2958"/>
      <c r="T21" s="2958"/>
      <c r="U21" s="2959"/>
      <c r="V21" s="2957" cm="1">
        <f t="array" ref="V21">SUMPRODUCT((Application!$B$728:$B$752 = 'CalHFA Addendum'!V$18)*(Application!$AH$728:$AH$752 = 'CalHFA Addendum'!$B21),Application!$G$728:$G$752)</f>
        <v>0</v>
      </c>
      <c r="W21" s="2958"/>
      <c r="X21" s="2958"/>
      <c r="Y21" s="2958"/>
      <c r="Z21" s="2958"/>
      <c r="AA21" s="2959"/>
      <c r="AB21" s="2957" cm="1">
        <f t="array" ref="AB21">SUMPRODUCT((Application!$B$728:$B$752 = 'CalHFA Addendum'!AB$18)*(Application!$AH$728:$AH$752 = 'CalHFA Addendum'!$B21),Application!$G$728:$G$752)</f>
        <v>0</v>
      </c>
      <c r="AC21" s="2958"/>
      <c r="AD21" s="2958"/>
      <c r="AE21" s="2958"/>
      <c r="AF21" s="2958"/>
      <c r="AG21" s="2959"/>
      <c r="AH21" s="2957" cm="1">
        <f t="array" ref="AH21">SUMPRODUCT((Application!$B$728:$B$752 = 'CalHFA Addendum'!AH$18)*(Application!$AH$728:$AH$752 = 'CalHFA Addendum'!$B21),Application!$G$728:$G$752)</f>
        <v>0</v>
      </c>
      <c r="AI21" s="2958"/>
      <c r="AJ21" s="2958"/>
      <c r="AK21" s="2958"/>
      <c r="AL21" s="2958"/>
      <c r="AM21" s="2959"/>
      <c r="AN21" s="2957" cm="1">
        <f t="array" ref="AN21">SUMPRODUCT((Application!$B$728:$B$752 = 'CalHFA Addendum'!AN$18)*(Application!$AH$728:$AH$752 = 'CalHFA Addendum'!$B21),Application!$G$728:$G$752)</f>
        <v>0</v>
      </c>
      <c r="AO21" s="2958"/>
      <c r="AP21" s="2958"/>
      <c r="AQ21" s="2958"/>
      <c r="AR21" s="2958"/>
      <c r="AS21" s="2959"/>
      <c r="AT21" s="2960">
        <f t="shared" si="0"/>
        <v>0</v>
      </c>
      <c r="AU21" s="2961"/>
      <c r="AV21" s="2961"/>
      <c r="AW21" s="2961"/>
      <c r="AX21" s="2961"/>
      <c r="AY21" s="2962"/>
      <c r="AZ21" s="1531"/>
      <c r="BA21" s="1531"/>
      <c r="BB21" s="1531"/>
      <c r="BC21" s="1531"/>
      <c r="BD21" s="1531"/>
      <c r="BE21" s="1537"/>
    </row>
    <row r="22" spans="1:58" ht="15">
      <c r="A22" s="1836"/>
      <c r="B22" s="2963">
        <v>0.5</v>
      </c>
      <c r="C22" s="2964"/>
      <c r="D22" s="2964"/>
      <c r="E22" s="2964"/>
      <c r="F22" s="2964"/>
      <c r="G22" s="2964"/>
      <c r="H22" s="2964"/>
      <c r="I22" s="2964"/>
      <c r="J22" s="2951">
        <f t="shared" si="1"/>
        <v>20</v>
      </c>
      <c r="K22" s="2952"/>
      <c r="L22" s="2952"/>
      <c r="M22" s="2952"/>
      <c r="N22" s="2952"/>
      <c r="O22" s="2953"/>
      <c r="P22" s="2957" cm="1">
        <f t="array" ref="P22">SUMPRODUCT((Application!$B$728:$B$752 = 'CalHFA Addendum'!P$18)*(Application!$AH$728:$AH$752 = 'CalHFA Addendum'!$B22),Application!$G$728:$G$752)</f>
        <v>0</v>
      </c>
      <c r="Q22" s="2958"/>
      <c r="R22" s="2958"/>
      <c r="S22" s="2958"/>
      <c r="T22" s="2958"/>
      <c r="U22" s="2959"/>
      <c r="V22" s="2957" cm="1">
        <f t="array" ref="V22">SUMPRODUCT((Application!$B$728:$B$752 = 'CalHFA Addendum'!V$18)*(Application!$AH$728:$AH$752 = 'CalHFA Addendum'!$B22),Application!$G$728:$G$752)</f>
        <v>10</v>
      </c>
      <c r="W22" s="2958"/>
      <c r="X22" s="2958"/>
      <c r="Y22" s="2958"/>
      <c r="Z22" s="2958"/>
      <c r="AA22" s="2959"/>
      <c r="AB22" s="2957" cm="1">
        <f t="array" ref="AB22">SUMPRODUCT((Application!$B$728:$B$752 = 'CalHFA Addendum'!AB$18)*(Application!$AH$728:$AH$752 = 'CalHFA Addendum'!$B22),Application!$G$728:$G$752)</f>
        <v>5</v>
      </c>
      <c r="AC22" s="2958"/>
      <c r="AD22" s="2958"/>
      <c r="AE22" s="2958"/>
      <c r="AF22" s="2958"/>
      <c r="AG22" s="2959"/>
      <c r="AH22" s="2957" cm="1">
        <f t="array" ref="AH22">SUMPRODUCT((Application!$B$728:$B$752 = 'CalHFA Addendum'!AH$18)*(Application!$AH$728:$AH$752 = 'CalHFA Addendum'!$B22),Application!$G$728:$G$752)</f>
        <v>5</v>
      </c>
      <c r="AI22" s="2958"/>
      <c r="AJ22" s="2958"/>
      <c r="AK22" s="2958"/>
      <c r="AL22" s="2958"/>
      <c r="AM22" s="2959"/>
      <c r="AN22" s="2957" cm="1">
        <f t="array" ref="AN22">SUMPRODUCT((Application!$B$728:$B$752 = 'CalHFA Addendum'!AN$18)*(Application!$AH$728:$AH$752 = 'CalHFA Addendum'!$B22),Application!$G$728:$G$752)</f>
        <v>0</v>
      </c>
      <c r="AO22" s="2958"/>
      <c r="AP22" s="2958"/>
      <c r="AQ22" s="2958"/>
      <c r="AR22" s="2958"/>
      <c r="AS22" s="2959"/>
      <c r="AT22" s="2960">
        <f t="shared" si="0"/>
        <v>0.10362694300518134</v>
      </c>
      <c r="AU22" s="2961"/>
      <c r="AV22" s="2961"/>
      <c r="AW22" s="2961"/>
      <c r="AX22" s="2961"/>
      <c r="AY22" s="2962"/>
      <c r="AZ22" s="1531"/>
      <c r="BA22" s="1531"/>
      <c r="BB22" s="1531"/>
      <c r="BC22" s="1531"/>
      <c r="BD22" s="1531"/>
      <c r="BE22" s="1537"/>
    </row>
    <row r="23" spans="1:58" ht="15">
      <c r="A23" s="1836"/>
      <c r="B23" s="2963">
        <v>0.6</v>
      </c>
      <c r="C23" s="2964"/>
      <c r="D23" s="2964"/>
      <c r="E23" s="2964"/>
      <c r="F23" s="2964"/>
      <c r="G23" s="2964"/>
      <c r="H23" s="2964"/>
      <c r="I23" s="2964"/>
      <c r="J23" s="2951">
        <f t="shared" si="1"/>
        <v>92</v>
      </c>
      <c r="K23" s="2952"/>
      <c r="L23" s="2952"/>
      <c r="M23" s="2952"/>
      <c r="N23" s="2952"/>
      <c r="O23" s="2953"/>
      <c r="P23" s="2957" cm="1">
        <f t="array" ref="P23">SUMPRODUCT((Application!$B$728:$B$752 = 'CalHFA Addendum'!P$18)*(Application!$AH$728:$AH$752 = 'CalHFA Addendum'!$B23),Application!$G$728:$G$752)</f>
        <v>0</v>
      </c>
      <c r="Q23" s="2958"/>
      <c r="R23" s="2958"/>
      <c r="S23" s="2958"/>
      <c r="T23" s="2958"/>
      <c r="U23" s="2959"/>
      <c r="V23" s="2957" cm="1">
        <f t="array" ref="V23">SUMPRODUCT((Application!$B$728:$B$752 = 'CalHFA Addendum'!V$18)*(Application!$AH$728:$AH$752 = 'CalHFA Addendum'!$B23),Application!$G$728:$G$752)</f>
        <v>64</v>
      </c>
      <c r="W23" s="2958"/>
      <c r="X23" s="2958"/>
      <c r="Y23" s="2958"/>
      <c r="Z23" s="2958"/>
      <c r="AA23" s="2959"/>
      <c r="AB23" s="2957" cm="1">
        <f t="array" ref="AB23">SUMPRODUCT((Application!$B$728:$B$752 = 'CalHFA Addendum'!AB$18)*(Application!$AH$728:$AH$752 = 'CalHFA Addendum'!$B23),Application!$G$728:$G$752)</f>
        <v>15</v>
      </c>
      <c r="AC23" s="2958"/>
      <c r="AD23" s="2958"/>
      <c r="AE23" s="2958"/>
      <c r="AF23" s="2958"/>
      <c r="AG23" s="2959"/>
      <c r="AH23" s="2957" cm="1">
        <f t="array" ref="AH23">SUMPRODUCT((Application!$B$728:$B$752 = 'CalHFA Addendum'!AH$18)*(Application!$AH$728:$AH$752 = 'CalHFA Addendum'!$B23),Application!$G$728:$G$752)</f>
        <v>13</v>
      </c>
      <c r="AI23" s="2958"/>
      <c r="AJ23" s="2958"/>
      <c r="AK23" s="2958"/>
      <c r="AL23" s="2958"/>
      <c r="AM23" s="2959"/>
      <c r="AN23" s="2957" cm="1">
        <f t="array" ref="AN23">SUMPRODUCT((Application!$B$728:$B$752 = 'CalHFA Addendum'!AN$18)*(Application!$AH$728:$AH$752 = 'CalHFA Addendum'!$B23),Application!$G$728:$G$752)</f>
        <v>0</v>
      </c>
      <c r="AO23" s="2958"/>
      <c r="AP23" s="2958"/>
      <c r="AQ23" s="2958"/>
      <c r="AR23" s="2958"/>
      <c r="AS23" s="2959"/>
      <c r="AT23" s="2960">
        <f t="shared" si="0"/>
        <v>0.47668393782383417</v>
      </c>
      <c r="AU23" s="2961"/>
      <c r="AV23" s="2961"/>
      <c r="AW23" s="2961"/>
      <c r="AX23" s="2961"/>
      <c r="AY23" s="2962"/>
      <c r="AZ23" s="1531"/>
      <c r="BA23" s="1531"/>
      <c r="BB23" s="1531"/>
      <c r="BC23" s="1531"/>
      <c r="BD23" s="1531"/>
      <c r="BE23" s="1537"/>
    </row>
    <row r="24" spans="1:58" ht="15">
      <c r="A24" s="1836"/>
      <c r="B24" s="2963">
        <v>0.7</v>
      </c>
      <c r="C24" s="2964"/>
      <c r="D24" s="2964"/>
      <c r="E24" s="2964"/>
      <c r="F24" s="2964"/>
      <c r="G24" s="2964"/>
      <c r="H24" s="2964"/>
      <c r="I24" s="2964"/>
      <c r="J24" s="2951">
        <f t="shared" si="1"/>
        <v>60</v>
      </c>
      <c r="K24" s="2952"/>
      <c r="L24" s="2952"/>
      <c r="M24" s="2952"/>
      <c r="N24" s="2952"/>
      <c r="O24" s="2953"/>
      <c r="P24" s="2957" cm="1">
        <f t="array" ref="P24">SUMPRODUCT((Application!$B$728:$B$752 = 'CalHFA Addendum'!P$18)*(Application!$AH$728:$AH$752 = 'CalHFA Addendum'!$B24),Application!$G$728:$G$752)</f>
        <v>0</v>
      </c>
      <c r="Q24" s="2958"/>
      <c r="R24" s="2958"/>
      <c r="S24" s="2958"/>
      <c r="T24" s="2958"/>
      <c r="U24" s="2959"/>
      <c r="V24" s="2957" cm="1">
        <f t="array" ref="V24">SUMPRODUCT((Application!$B$728:$B$752 = 'CalHFA Addendum'!V$18)*(Application!$AH$728:$AH$752 = 'CalHFA Addendum'!$B24),Application!$G$728:$G$752)</f>
        <v>12</v>
      </c>
      <c r="W24" s="2958"/>
      <c r="X24" s="2958"/>
      <c r="Y24" s="2958"/>
      <c r="Z24" s="2958"/>
      <c r="AA24" s="2959"/>
      <c r="AB24" s="2957" cm="1">
        <f t="array" ref="AB24">SUMPRODUCT((Application!$B$728:$B$752 = 'CalHFA Addendum'!AB$18)*(Application!$AH$728:$AH$752 = 'CalHFA Addendum'!$B24),Application!$G$728:$G$752)</f>
        <v>23</v>
      </c>
      <c r="AC24" s="2958"/>
      <c r="AD24" s="2958"/>
      <c r="AE24" s="2958"/>
      <c r="AF24" s="2958"/>
      <c r="AG24" s="2959"/>
      <c r="AH24" s="2957" cm="1">
        <f t="array" ref="AH24">SUMPRODUCT((Application!$B$728:$B$752 = 'CalHFA Addendum'!AH$18)*(Application!$AH$728:$AH$752 = 'CalHFA Addendum'!$B24),Application!$G$728:$G$752)</f>
        <v>25</v>
      </c>
      <c r="AI24" s="2958"/>
      <c r="AJ24" s="2958"/>
      <c r="AK24" s="2958"/>
      <c r="AL24" s="2958"/>
      <c r="AM24" s="2959"/>
      <c r="AN24" s="2957" cm="1">
        <f t="array" ref="AN24">SUMPRODUCT((Application!$B$728:$B$752 = 'CalHFA Addendum'!AN$18)*(Application!$AH$728:$AH$752 = 'CalHFA Addendum'!$B24),Application!$G$728:$G$752)</f>
        <v>0</v>
      </c>
      <c r="AO24" s="2958"/>
      <c r="AP24" s="2958"/>
      <c r="AQ24" s="2958"/>
      <c r="AR24" s="2958"/>
      <c r="AS24" s="2959"/>
      <c r="AT24" s="2960">
        <f t="shared" si="0"/>
        <v>0.31088082901554404</v>
      </c>
      <c r="AU24" s="2961"/>
      <c r="AV24" s="2961"/>
      <c r="AW24" s="2961"/>
      <c r="AX24" s="2961"/>
      <c r="AY24" s="2962"/>
      <c r="AZ24" s="1531"/>
      <c r="BA24" s="1531"/>
      <c r="BB24" s="1531"/>
      <c r="BC24" s="1531"/>
      <c r="BD24" s="1531"/>
      <c r="BE24" s="1537"/>
    </row>
    <row r="25" spans="1:58" ht="15">
      <c r="A25" s="1836"/>
      <c r="B25" s="2963">
        <v>0.8</v>
      </c>
      <c r="C25" s="2964"/>
      <c r="D25" s="2964"/>
      <c r="E25" s="2964"/>
      <c r="F25" s="2964"/>
      <c r="G25" s="2964"/>
      <c r="H25" s="2964"/>
      <c r="I25" s="2964"/>
      <c r="J25" s="2951">
        <f t="shared" si="1"/>
        <v>0</v>
      </c>
      <c r="K25" s="2952"/>
      <c r="L25" s="2952"/>
      <c r="M25" s="2952"/>
      <c r="N25" s="2952"/>
      <c r="O25" s="2953"/>
      <c r="P25" s="2957" cm="1">
        <f t="array" ref="P25">SUMPRODUCT((Application!$B$728:$B$752 = 'CalHFA Addendum'!P$18)*(Application!$AH$728:$AH$752 = 'CalHFA Addendum'!$B25),Application!$G$728:$G$752)</f>
        <v>0</v>
      </c>
      <c r="Q25" s="2958"/>
      <c r="R25" s="2958"/>
      <c r="S25" s="2958"/>
      <c r="T25" s="2958"/>
      <c r="U25" s="2959"/>
      <c r="V25" s="2957" cm="1">
        <f t="array" ref="V25">SUMPRODUCT((Application!$B$728:$B$752 = 'CalHFA Addendum'!V$18)*(Application!$AH$728:$AH$752 = 'CalHFA Addendum'!$B25),Application!$G$728:$G$752)</f>
        <v>0</v>
      </c>
      <c r="W25" s="2958"/>
      <c r="X25" s="2958"/>
      <c r="Y25" s="2958"/>
      <c r="Z25" s="2958"/>
      <c r="AA25" s="2959"/>
      <c r="AB25" s="2957" cm="1">
        <f t="array" ref="AB25">SUMPRODUCT((Application!$B$728:$B$752 = 'CalHFA Addendum'!AB$18)*(Application!$AH$728:$AH$752 = 'CalHFA Addendum'!$B25),Application!$G$728:$G$752)</f>
        <v>0</v>
      </c>
      <c r="AC25" s="2958"/>
      <c r="AD25" s="2958"/>
      <c r="AE25" s="2958"/>
      <c r="AF25" s="2958"/>
      <c r="AG25" s="2959"/>
      <c r="AH25" s="2957" cm="1">
        <f t="array" ref="AH25">SUMPRODUCT((Application!$B$728:$B$752 = 'CalHFA Addendum'!AH$18)*(Application!$AH$728:$AH$752 = 'CalHFA Addendum'!$B25),Application!$G$728:$G$752)</f>
        <v>0</v>
      </c>
      <c r="AI25" s="2958"/>
      <c r="AJ25" s="2958"/>
      <c r="AK25" s="2958"/>
      <c r="AL25" s="2958"/>
      <c r="AM25" s="2959"/>
      <c r="AN25" s="2957" cm="1">
        <f t="array" ref="AN25">SUMPRODUCT((Application!$B$728:$B$752 = 'CalHFA Addendum'!AN$18)*(Application!$AH$728:$AH$752 = 'CalHFA Addendum'!$B25),Application!$G$728:$G$752)</f>
        <v>0</v>
      </c>
      <c r="AO25" s="2958"/>
      <c r="AP25" s="2958"/>
      <c r="AQ25" s="2958"/>
      <c r="AR25" s="2958"/>
      <c r="AS25" s="2959"/>
      <c r="AT25" s="2960">
        <f t="shared" si="0"/>
        <v>0</v>
      </c>
      <c r="AU25" s="2961"/>
      <c r="AV25" s="2961"/>
      <c r="AW25" s="2961"/>
      <c r="AX25" s="2961"/>
      <c r="AY25" s="2962"/>
      <c r="AZ25" s="1531"/>
      <c r="BA25" s="1531"/>
      <c r="BB25" s="1531"/>
      <c r="BC25" s="1531"/>
      <c r="BD25" s="1531"/>
      <c r="BE25" s="1537"/>
    </row>
    <row r="26" spans="1:58" ht="15">
      <c r="A26" s="1836"/>
      <c r="B26" s="2963">
        <v>0.9</v>
      </c>
      <c r="C26" s="2964"/>
      <c r="D26" s="2964"/>
      <c r="E26" s="2964"/>
      <c r="F26" s="2964"/>
      <c r="G26" s="2964"/>
      <c r="H26" s="2964"/>
      <c r="I26" s="2964"/>
      <c r="J26" s="2951">
        <f t="shared" si="1"/>
        <v>0</v>
      </c>
      <c r="K26" s="2952"/>
      <c r="L26" s="2952"/>
      <c r="M26" s="2952"/>
      <c r="N26" s="2952"/>
      <c r="O26" s="2953"/>
      <c r="P26" s="2957" cm="1">
        <f t="array" ref="P26">SUMPRODUCT((Application!$B$728:$B$752 = 'CalHFA Addendum'!P$18)*(Application!$AH$728:$AH$752 = 'CalHFA Addendum'!$B26),Application!$G$728:$G$752)</f>
        <v>0</v>
      </c>
      <c r="Q26" s="2958"/>
      <c r="R26" s="2958"/>
      <c r="S26" s="2958"/>
      <c r="T26" s="2958"/>
      <c r="U26" s="2959"/>
      <c r="V26" s="2957" cm="1">
        <f t="array" ref="V26">SUMPRODUCT((Application!$B$728:$B$752 = 'CalHFA Addendum'!V$18)*(Application!$AH$728:$AH$752 = 'CalHFA Addendum'!$B26),Application!$G$728:$G$752)</f>
        <v>0</v>
      </c>
      <c r="W26" s="2958"/>
      <c r="X26" s="2958"/>
      <c r="Y26" s="2958"/>
      <c r="Z26" s="2958"/>
      <c r="AA26" s="2959"/>
      <c r="AB26" s="2957" cm="1">
        <f t="array" ref="AB26">SUMPRODUCT((Application!$B$728:$B$752 = 'CalHFA Addendum'!AB$18)*(Application!$AH$728:$AH$752 = 'CalHFA Addendum'!$B26),Application!$G$728:$G$752)</f>
        <v>0</v>
      </c>
      <c r="AC26" s="2958"/>
      <c r="AD26" s="2958"/>
      <c r="AE26" s="2958"/>
      <c r="AF26" s="2958"/>
      <c r="AG26" s="2959"/>
      <c r="AH26" s="2957" cm="1">
        <f t="array" ref="AH26">SUMPRODUCT((Application!$B$728:$B$752 = 'CalHFA Addendum'!AH$18)*(Application!$AH$728:$AH$752 = 'CalHFA Addendum'!$B26),Application!$G$728:$G$752)</f>
        <v>0</v>
      </c>
      <c r="AI26" s="2958"/>
      <c r="AJ26" s="2958"/>
      <c r="AK26" s="2958"/>
      <c r="AL26" s="2958"/>
      <c r="AM26" s="2959"/>
      <c r="AN26" s="2957" cm="1">
        <f t="array" ref="AN26">SUMPRODUCT((Application!$B$728:$B$752 = 'CalHFA Addendum'!AN$18)*(Application!$AH$728:$AH$752 = 'CalHFA Addendum'!$B26),Application!$G$728:$G$752)</f>
        <v>0</v>
      </c>
      <c r="AO26" s="2958"/>
      <c r="AP26" s="2958"/>
      <c r="AQ26" s="2958"/>
      <c r="AR26" s="2958"/>
      <c r="AS26" s="2959"/>
      <c r="AT26" s="2960">
        <f t="shared" si="0"/>
        <v>0</v>
      </c>
      <c r="AU26" s="2961"/>
      <c r="AV26" s="2961"/>
      <c r="AW26" s="2961"/>
      <c r="AX26" s="2961"/>
      <c r="AY26" s="2962"/>
      <c r="AZ26" s="1531"/>
      <c r="BA26" s="1531"/>
      <c r="BB26" s="1531"/>
      <c r="BC26" s="1531"/>
      <c r="BD26" s="1531"/>
      <c r="BE26" s="1537"/>
    </row>
    <row r="27" spans="1:58" ht="15">
      <c r="A27" s="1836"/>
      <c r="B27" s="2963">
        <v>1</v>
      </c>
      <c r="C27" s="2964"/>
      <c r="D27" s="2964"/>
      <c r="E27" s="2964"/>
      <c r="F27" s="2964"/>
      <c r="G27" s="2964"/>
      <c r="H27" s="2964"/>
      <c r="I27" s="2964"/>
      <c r="J27" s="2951">
        <f t="shared" si="1"/>
        <v>0</v>
      </c>
      <c r="K27" s="2952"/>
      <c r="L27" s="2952"/>
      <c r="M27" s="2952"/>
      <c r="N27" s="2952"/>
      <c r="O27" s="2953"/>
      <c r="P27" s="2957" cm="1">
        <f t="array" ref="P27">SUMPRODUCT((Application!$B$728:$B$752 = 'CalHFA Addendum'!P$18)*(Application!$AH$728:$AH$752 = 'CalHFA Addendum'!$B27),Application!$G$728:$G$752)</f>
        <v>0</v>
      </c>
      <c r="Q27" s="2958"/>
      <c r="R27" s="2958"/>
      <c r="S27" s="2958"/>
      <c r="T27" s="2958"/>
      <c r="U27" s="2959"/>
      <c r="V27" s="2957" cm="1">
        <f t="array" ref="V27">SUMPRODUCT((Application!$B$728:$B$752 = 'CalHFA Addendum'!V$18)*(Application!$AH$728:$AH$752 = 'CalHFA Addendum'!$B27),Application!$G$728:$G$752)</f>
        <v>0</v>
      </c>
      <c r="W27" s="2958"/>
      <c r="X27" s="2958"/>
      <c r="Y27" s="2958"/>
      <c r="Z27" s="2958"/>
      <c r="AA27" s="2959"/>
      <c r="AB27" s="2957" cm="1">
        <f t="array" ref="AB27">SUMPRODUCT((Application!$B$728:$B$752 = 'CalHFA Addendum'!AB$18)*(Application!$AH$728:$AH$752 = 'CalHFA Addendum'!$B27),Application!$G$728:$G$752)</f>
        <v>0</v>
      </c>
      <c r="AC27" s="2958"/>
      <c r="AD27" s="2958"/>
      <c r="AE27" s="2958"/>
      <c r="AF27" s="2958"/>
      <c r="AG27" s="2959"/>
      <c r="AH27" s="2957" cm="1">
        <f t="array" ref="AH27">SUMPRODUCT((Application!$B$728:$B$752 = 'CalHFA Addendum'!AH$18)*(Application!$AH$728:$AH$752 = 'CalHFA Addendum'!$B27),Application!$G$728:$G$752)</f>
        <v>0</v>
      </c>
      <c r="AI27" s="2958"/>
      <c r="AJ27" s="2958"/>
      <c r="AK27" s="2958"/>
      <c r="AL27" s="2958"/>
      <c r="AM27" s="2959"/>
      <c r="AN27" s="2957" cm="1">
        <f t="array" ref="AN27">SUMPRODUCT((Application!$B$728:$B$752 = 'CalHFA Addendum'!AN$18)*(Application!$AH$728:$AH$752 = 'CalHFA Addendum'!$B27),Application!$G$728:$G$752)</f>
        <v>0</v>
      </c>
      <c r="AO27" s="2958"/>
      <c r="AP27" s="2958"/>
      <c r="AQ27" s="2958"/>
      <c r="AR27" s="2958"/>
      <c r="AS27" s="2959"/>
      <c r="AT27" s="2960">
        <f t="shared" si="0"/>
        <v>0</v>
      </c>
      <c r="AU27" s="2961"/>
      <c r="AV27" s="2961"/>
      <c r="AW27" s="2961"/>
      <c r="AX27" s="2961"/>
      <c r="AY27" s="2962"/>
      <c r="AZ27" s="1531"/>
      <c r="BA27" s="1531"/>
      <c r="BB27" s="1531"/>
      <c r="BC27" s="1531"/>
      <c r="BD27" s="1531"/>
      <c r="BE27" s="1537"/>
      <c r="BF27" s="1704"/>
    </row>
    <row r="28" spans="1:58" thickBot="1">
      <c r="A28" s="1836"/>
      <c r="B28" s="2948" t="s">
        <v>2064</v>
      </c>
      <c r="C28" s="2949"/>
      <c r="D28" s="2949"/>
      <c r="E28" s="2949"/>
      <c r="F28" s="2949"/>
      <c r="G28" s="2949"/>
      <c r="H28" s="2949"/>
      <c r="I28" s="2950"/>
      <c r="J28" s="2951">
        <f t="shared" ref="J28" si="2">SUM(P28:AS28)</f>
        <v>1</v>
      </c>
      <c r="K28" s="2952"/>
      <c r="L28" s="2952"/>
      <c r="M28" s="2952"/>
      <c r="N28" s="2952"/>
      <c r="O28" s="2953"/>
      <c r="P28" s="2954">
        <f>_xlfn.IFNA(VLOOKUP(P$18,Application!$J$772:$S$775,6,FALSE), 0)</f>
        <v>0</v>
      </c>
      <c r="Q28" s="2955"/>
      <c r="R28" s="2955"/>
      <c r="S28" s="2955"/>
      <c r="T28" s="2955"/>
      <c r="U28" s="2956"/>
      <c r="V28" s="2954">
        <f>_xlfn.IFNA(VLOOKUP(V$18,Application!$J$772:$S$775,6,FALSE), 0)</f>
        <v>0</v>
      </c>
      <c r="W28" s="2955"/>
      <c r="X28" s="2955"/>
      <c r="Y28" s="2955"/>
      <c r="Z28" s="2955"/>
      <c r="AA28" s="2956"/>
      <c r="AB28" s="2954">
        <f>_xlfn.IFNA(VLOOKUP(AB$18,Application!$J$772:$S$775,6,FALSE), 0)</f>
        <v>0</v>
      </c>
      <c r="AC28" s="2955"/>
      <c r="AD28" s="2955"/>
      <c r="AE28" s="2955"/>
      <c r="AF28" s="2955"/>
      <c r="AG28" s="2956"/>
      <c r="AH28" s="2954">
        <f>_xlfn.IFNA(VLOOKUP(AH$18,Application!$J$772:$S$775,6,FALSE), 0)</f>
        <v>1</v>
      </c>
      <c r="AI28" s="2955"/>
      <c r="AJ28" s="2955"/>
      <c r="AK28" s="2955"/>
      <c r="AL28" s="2955"/>
      <c r="AM28" s="2956"/>
      <c r="AN28" s="2954">
        <f>_xlfn.IFNA(VLOOKUP(AN$18,Application!$J$772:$S$775,6,FALSE), 0)</f>
        <v>0</v>
      </c>
      <c r="AO28" s="2955"/>
      <c r="AP28" s="2955"/>
      <c r="AQ28" s="2955"/>
      <c r="AR28" s="2955"/>
      <c r="AS28" s="2956"/>
      <c r="AT28" s="2960">
        <f t="shared" ref="AT28" si="3">J28/$J$29</f>
        <v>5.1813471502590676E-3</v>
      </c>
      <c r="AU28" s="2961"/>
      <c r="AV28" s="2961"/>
      <c r="AW28" s="2961"/>
      <c r="AX28" s="2961"/>
      <c r="AY28" s="2962"/>
      <c r="AZ28" s="1531"/>
      <c r="BA28" s="1531"/>
      <c r="BB28" s="1531"/>
      <c r="BC28" s="1531"/>
      <c r="BD28" s="1531"/>
      <c r="BE28" s="1537"/>
    </row>
    <row r="29" spans="1:58" thickBot="1">
      <c r="A29" s="1836"/>
      <c r="B29" s="2941" t="s">
        <v>1893</v>
      </c>
      <c r="C29" s="2942"/>
      <c r="D29" s="2942"/>
      <c r="E29" s="2942"/>
      <c r="F29" s="2942"/>
      <c r="G29" s="2942"/>
      <c r="H29" s="2942"/>
      <c r="I29" s="2943"/>
      <c r="J29" s="2944">
        <f>SUM(J19:O28)</f>
        <v>193</v>
      </c>
      <c r="K29" s="2942"/>
      <c r="L29" s="2942"/>
      <c r="M29" s="2942"/>
      <c r="N29" s="2942"/>
      <c r="O29" s="2943"/>
      <c r="P29" s="2944">
        <f>SUM(P19:U28)</f>
        <v>0</v>
      </c>
      <c r="Q29" s="2942"/>
      <c r="R29" s="2942"/>
      <c r="S29" s="2942"/>
      <c r="T29" s="2942"/>
      <c r="U29" s="2943"/>
      <c r="V29" s="2944">
        <f>SUM(V19:AA28)</f>
        <v>96</v>
      </c>
      <c r="W29" s="2942"/>
      <c r="X29" s="2942"/>
      <c r="Y29" s="2942"/>
      <c r="Z29" s="2942"/>
      <c r="AA29" s="2943"/>
      <c r="AB29" s="2944">
        <f>SUM(AB19:AG28)</f>
        <v>48</v>
      </c>
      <c r="AC29" s="2942"/>
      <c r="AD29" s="2942"/>
      <c r="AE29" s="2942"/>
      <c r="AF29" s="2942"/>
      <c r="AG29" s="2943"/>
      <c r="AH29" s="2944">
        <f>SUM(AH19:AM28)</f>
        <v>49</v>
      </c>
      <c r="AI29" s="2942"/>
      <c r="AJ29" s="2942"/>
      <c r="AK29" s="2942"/>
      <c r="AL29" s="2942"/>
      <c r="AM29" s="2943"/>
      <c r="AN29" s="2944">
        <f>SUM(AN19:AS28)</f>
        <v>0</v>
      </c>
      <c r="AO29" s="2942"/>
      <c r="AP29" s="2942"/>
      <c r="AQ29" s="2942"/>
      <c r="AR29" s="2942"/>
      <c r="AS29" s="2943"/>
      <c r="AT29" s="2945">
        <f>J29/$J$29</f>
        <v>1</v>
      </c>
      <c r="AU29" s="2946"/>
      <c r="AV29" s="2946"/>
      <c r="AW29" s="2946"/>
      <c r="AX29" s="2946"/>
      <c r="AY29" s="2947"/>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21" t="s">
        <v>2065</v>
      </c>
      <c r="C31" s="2922"/>
      <c r="D31" s="2922"/>
      <c r="E31" s="2922"/>
      <c r="F31" s="2922"/>
      <c r="G31" s="2922"/>
      <c r="H31" s="2922"/>
      <c r="I31" s="2922"/>
      <c r="J31" s="2922"/>
      <c r="K31" s="2922"/>
      <c r="L31" s="292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3"/>
      <c r="BA31" s="1531"/>
      <c r="BB31" s="1531"/>
      <c r="BC31" s="1531"/>
      <c r="BD31" s="1531"/>
      <c r="BE31" s="1537"/>
    </row>
    <row r="32" spans="1:58" thickBot="1">
      <c r="A32" s="1836"/>
      <c r="B32" s="2924" t="s">
        <v>2066</v>
      </c>
      <c r="C32" s="2925"/>
      <c r="D32" s="2925"/>
      <c r="E32" s="2925"/>
      <c r="F32" s="2925"/>
      <c r="G32" s="2925"/>
      <c r="H32" s="2925"/>
      <c r="I32" s="2926"/>
      <c r="J32" s="2928" t="s">
        <v>2067</v>
      </c>
      <c r="K32" s="2929"/>
      <c r="L32" s="2929"/>
      <c r="M32" s="2930"/>
      <c r="N32" s="2928" t="s">
        <v>2068</v>
      </c>
      <c r="O32" s="2929"/>
      <c r="P32" s="2929"/>
      <c r="Q32" s="2929"/>
      <c r="R32" s="2932" t="s">
        <v>2069</v>
      </c>
      <c r="S32" s="2933"/>
      <c r="T32" s="2933"/>
      <c r="U32" s="2933"/>
      <c r="V32" s="2933"/>
      <c r="W32" s="2933"/>
      <c r="X32" s="2933"/>
      <c r="Y32" s="2933"/>
      <c r="Z32" s="2933"/>
      <c r="AA32" s="2933"/>
      <c r="AB32" s="2933"/>
      <c r="AC32" s="2933"/>
      <c r="AD32" s="2933"/>
      <c r="AE32" s="2933"/>
      <c r="AF32" s="2933"/>
      <c r="AG32" s="2933"/>
      <c r="AH32" s="2933"/>
      <c r="AI32" s="2933"/>
      <c r="AJ32" s="2933"/>
      <c r="AK32" s="2933"/>
      <c r="AL32" s="2933"/>
      <c r="AM32" s="2933"/>
      <c r="AN32" s="2933"/>
      <c r="AO32" s="2933"/>
      <c r="AP32" s="2933"/>
      <c r="AQ32" s="2933"/>
      <c r="AR32" s="2933"/>
      <c r="AS32" s="2933"/>
      <c r="AT32" s="2933"/>
      <c r="AU32" s="2933"/>
      <c r="AV32" s="2933"/>
      <c r="AW32" s="2933"/>
      <c r="AX32" s="2933"/>
      <c r="AY32" s="2933"/>
      <c r="AZ32" s="2934"/>
      <c r="BA32" s="1531"/>
      <c r="BB32" s="1531"/>
      <c r="BC32" s="1531"/>
      <c r="BD32" s="1531"/>
      <c r="BE32" s="1537"/>
    </row>
    <row r="33" spans="1:58" ht="15" customHeight="1">
      <c r="A33" s="1836"/>
      <c r="B33" s="2927"/>
      <c r="C33" s="2925"/>
      <c r="D33" s="2925"/>
      <c r="E33" s="2925"/>
      <c r="F33" s="2925"/>
      <c r="G33" s="2925"/>
      <c r="H33" s="2925"/>
      <c r="I33" s="2926"/>
      <c r="J33" s="2931"/>
      <c r="K33" s="2929"/>
      <c r="L33" s="2929"/>
      <c r="M33" s="2930"/>
      <c r="N33" s="2931"/>
      <c r="O33" s="2929"/>
      <c r="P33" s="2929"/>
      <c r="Q33" s="2929"/>
      <c r="R33" s="2935" t="s">
        <v>2070</v>
      </c>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7"/>
      <c r="BA33" s="1538"/>
      <c r="BB33" s="1531"/>
      <c r="BC33" s="1531"/>
      <c r="BD33" s="1531"/>
      <c r="BE33" s="1537"/>
    </row>
    <row r="34" spans="1:58" ht="15.75" customHeight="1" thickBot="1">
      <c r="A34" s="1836"/>
      <c r="B34" s="2927"/>
      <c r="C34" s="2925"/>
      <c r="D34" s="2925"/>
      <c r="E34" s="2925"/>
      <c r="F34" s="2925"/>
      <c r="G34" s="2925"/>
      <c r="H34" s="2925"/>
      <c r="I34" s="2926"/>
      <c r="J34" s="2931"/>
      <c r="K34" s="2929"/>
      <c r="L34" s="2929"/>
      <c r="M34" s="2930"/>
      <c r="N34" s="2931"/>
      <c r="O34" s="2929"/>
      <c r="P34" s="2929"/>
      <c r="Q34" s="2929"/>
      <c r="R34" s="2938"/>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40"/>
      <c r="BA34" s="1538"/>
      <c r="BB34" s="1531"/>
      <c r="BC34" s="1531"/>
      <c r="BD34" s="1531"/>
      <c r="BE34" s="1537"/>
    </row>
    <row r="35" spans="1:58" ht="15.75" customHeight="1" thickBot="1">
      <c r="A35" s="1836"/>
      <c r="B35" s="2927"/>
      <c r="C35" s="2925"/>
      <c r="D35" s="2925"/>
      <c r="E35" s="2925"/>
      <c r="F35" s="2925"/>
      <c r="G35" s="2925"/>
      <c r="H35" s="2925"/>
      <c r="I35" s="2926"/>
      <c r="J35" s="2931"/>
      <c r="K35" s="2929"/>
      <c r="L35" s="2929"/>
      <c r="M35" s="2930"/>
      <c r="N35" s="2931"/>
      <c r="O35" s="2929"/>
      <c r="P35" s="2929"/>
      <c r="Q35" s="2929"/>
      <c r="R35" s="2904">
        <v>0.3</v>
      </c>
      <c r="S35" s="2905"/>
      <c r="T35" s="2905"/>
      <c r="U35" s="2906"/>
      <c r="V35" s="2904">
        <v>0.5</v>
      </c>
      <c r="W35" s="2905"/>
      <c r="X35" s="2905"/>
      <c r="Y35" s="2906"/>
      <c r="Z35" s="2904">
        <v>0.6</v>
      </c>
      <c r="AA35" s="2905"/>
      <c r="AB35" s="2905"/>
      <c r="AC35" s="2906"/>
      <c r="AD35" s="2904">
        <v>0.7</v>
      </c>
      <c r="AE35" s="2905"/>
      <c r="AF35" s="2905"/>
      <c r="AG35" s="2906"/>
      <c r="AH35" s="2904">
        <v>1</v>
      </c>
      <c r="AI35" s="2905"/>
      <c r="AJ35" s="2905"/>
      <c r="AK35" s="2906"/>
      <c r="AL35" s="2904">
        <v>1.2</v>
      </c>
      <c r="AM35" s="2905"/>
      <c r="AN35" s="2906"/>
      <c r="AO35" s="2907" t="s">
        <v>2071</v>
      </c>
      <c r="AP35" s="2908"/>
      <c r="AQ35" s="2908"/>
      <c r="AR35" s="2908"/>
      <c r="AS35" s="2908"/>
      <c r="AT35" s="2909"/>
      <c r="AU35" s="2907" t="s">
        <v>2072</v>
      </c>
      <c r="AV35" s="2908"/>
      <c r="AW35" s="2908"/>
      <c r="AX35" s="2908"/>
      <c r="AY35" s="2908"/>
      <c r="AZ35" s="2909"/>
      <c r="BA35" s="1538"/>
      <c r="BB35" s="1531"/>
      <c r="BC35" s="1531"/>
      <c r="BD35" s="1531"/>
      <c r="BE35" s="1537"/>
      <c r="BF35" s="1529"/>
    </row>
    <row r="36" spans="1:58" ht="15.75" customHeight="1">
      <c r="A36" s="1836"/>
      <c r="B36" s="2910" t="s">
        <v>2073</v>
      </c>
      <c r="C36" s="2911"/>
      <c r="D36" s="2911"/>
      <c r="E36" s="2911"/>
      <c r="F36" s="2911"/>
      <c r="G36" s="2911"/>
      <c r="H36" s="2911"/>
      <c r="I36" s="2912"/>
      <c r="J36" s="2913" t="s">
        <v>2074</v>
      </c>
      <c r="K36" s="2914"/>
      <c r="L36" s="2914"/>
      <c r="M36" s="2915"/>
      <c r="N36" s="2916">
        <v>55</v>
      </c>
      <c r="O36" s="2917"/>
      <c r="P36" s="2917"/>
      <c r="Q36" s="2918"/>
      <c r="R36" s="2919">
        <v>20</v>
      </c>
      <c r="S36" s="2919"/>
      <c r="T36" s="2919"/>
      <c r="U36" s="2919"/>
      <c r="V36" s="2919">
        <v>20</v>
      </c>
      <c r="W36" s="2919"/>
      <c r="X36" s="2919"/>
      <c r="Y36" s="2919"/>
      <c r="Z36" s="2919">
        <v>92</v>
      </c>
      <c r="AA36" s="2919"/>
      <c r="AB36" s="2919"/>
      <c r="AC36" s="2919"/>
      <c r="AD36" s="2919">
        <v>60</v>
      </c>
      <c r="AE36" s="2919"/>
      <c r="AF36" s="2919"/>
      <c r="AG36" s="2919"/>
      <c r="AH36" s="2920"/>
      <c r="AI36" s="2920"/>
      <c r="AJ36" s="2920"/>
      <c r="AK36" s="2920"/>
      <c r="AL36" s="2920"/>
      <c r="AM36" s="2920"/>
      <c r="AN36" s="2920"/>
      <c r="AO36" s="2877">
        <f>SUM(R36:AN36)</f>
        <v>192</v>
      </c>
      <c r="AP36" s="2877"/>
      <c r="AQ36" s="2877"/>
      <c r="AR36" s="2877"/>
      <c r="AS36" s="2877"/>
      <c r="AT36" s="2877"/>
      <c r="AU36" s="2878">
        <f>AO36/$J$29</f>
        <v>0.99481865284974091</v>
      </c>
      <c r="AV36" s="2878"/>
      <c r="AW36" s="2878"/>
      <c r="AX36" s="2878"/>
      <c r="AY36" s="2878"/>
      <c r="AZ36" s="2878"/>
      <c r="BA36" s="1531"/>
      <c r="BB36" s="1531"/>
      <c r="BC36" s="1531"/>
      <c r="BD36" s="1531"/>
      <c r="BE36" s="1537"/>
      <c r="BF36" s="1529"/>
    </row>
    <row r="37" spans="1:58" ht="15.75" customHeight="1">
      <c r="A37" s="1836"/>
      <c r="B37" s="2899" t="s">
        <v>2075</v>
      </c>
      <c r="C37" s="2900"/>
      <c r="D37" s="2900"/>
      <c r="E37" s="2900"/>
      <c r="F37" s="2900"/>
      <c r="G37" s="2900"/>
      <c r="H37" s="2900"/>
      <c r="I37" s="2901"/>
      <c r="J37" s="2902"/>
      <c r="K37" s="2889"/>
      <c r="L37" s="2889"/>
      <c r="M37" s="2903"/>
      <c r="N37" s="2888"/>
      <c r="O37" s="2889"/>
      <c r="P37" s="2889"/>
      <c r="Q37" s="2890"/>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7">
        <f t="shared" ref="AO37:AO47" si="4">SUM(R37:AN37)</f>
        <v>0</v>
      </c>
      <c r="AP37" s="2877"/>
      <c r="AQ37" s="2877"/>
      <c r="AR37" s="2877"/>
      <c r="AS37" s="2877"/>
      <c r="AT37" s="2877"/>
      <c r="AU37" s="2878">
        <f t="shared" ref="AU37:AU47" si="5">AO37/$J$29</f>
        <v>0</v>
      </c>
      <c r="AV37" s="2878"/>
      <c r="AW37" s="2878"/>
      <c r="AX37" s="2878"/>
      <c r="AY37" s="2878"/>
      <c r="AZ37" s="2878"/>
      <c r="BA37" s="1531"/>
      <c r="BB37" s="1531"/>
      <c r="BC37" s="1531"/>
      <c r="BD37" s="1531"/>
      <c r="BE37" s="1537"/>
      <c r="BF37" s="1529"/>
    </row>
    <row r="38" spans="1:58" ht="15.75" customHeight="1">
      <c r="A38" s="1836"/>
      <c r="B38" s="2899" t="s">
        <v>2077</v>
      </c>
      <c r="C38" s="2900"/>
      <c r="D38" s="2900"/>
      <c r="E38" s="2900"/>
      <c r="F38" s="2900"/>
      <c r="G38" s="2900"/>
      <c r="H38" s="2900"/>
      <c r="I38" s="2901"/>
      <c r="J38" s="2902" t="s">
        <v>2076</v>
      </c>
      <c r="K38" s="2889"/>
      <c r="L38" s="2889"/>
      <c r="M38" s="2903"/>
      <c r="N38" s="2888">
        <v>55</v>
      </c>
      <c r="O38" s="2889"/>
      <c r="P38" s="2889"/>
      <c r="Q38" s="2890"/>
      <c r="R38" s="2876">
        <v>20</v>
      </c>
      <c r="S38" s="2876"/>
      <c r="T38" s="2876"/>
      <c r="U38" s="2876"/>
      <c r="V38" s="2876">
        <v>20</v>
      </c>
      <c r="W38" s="2876"/>
      <c r="X38" s="2876"/>
      <c r="Y38" s="2876"/>
      <c r="Z38" s="2876">
        <v>92</v>
      </c>
      <c r="AA38" s="2876"/>
      <c r="AB38" s="2876"/>
      <c r="AC38" s="2876"/>
      <c r="AD38" s="2876">
        <v>60</v>
      </c>
      <c r="AE38" s="2876"/>
      <c r="AF38" s="2876"/>
      <c r="AG38" s="2876"/>
      <c r="AH38" s="2876"/>
      <c r="AI38" s="2876"/>
      <c r="AJ38" s="2876"/>
      <c r="AK38" s="2876"/>
      <c r="AL38" s="2876"/>
      <c r="AM38" s="2876"/>
      <c r="AN38" s="2876"/>
      <c r="AO38" s="2877">
        <f t="shared" si="4"/>
        <v>192</v>
      </c>
      <c r="AP38" s="2877"/>
      <c r="AQ38" s="2877"/>
      <c r="AR38" s="2877"/>
      <c r="AS38" s="2877"/>
      <c r="AT38" s="2877"/>
      <c r="AU38" s="2878">
        <f t="shared" si="5"/>
        <v>0.99481865284974091</v>
      </c>
      <c r="AV38" s="2878"/>
      <c r="AW38" s="2878"/>
      <c r="AX38" s="2878"/>
      <c r="AY38" s="2878"/>
      <c r="AZ38" s="2878"/>
      <c r="BA38" s="1531"/>
      <c r="BB38" s="1531"/>
      <c r="BC38" s="1531"/>
      <c r="BD38" s="1531"/>
      <c r="BE38" s="1537"/>
      <c r="BF38" s="1529"/>
    </row>
    <row r="39" spans="1:58" ht="15.75" customHeight="1">
      <c r="A39" s="1836"/>
      <c r="B39" s="2899" t="s">
        <v>2079</v>
      </c>
      <c r="C39" s="2900"/>
      <c r="D39" s="2900"/>
      <c r="E39" s="2900"/>
      <c r="F39" s="2900"/>
      <c r="G39" s="2900"/>
      <c r="H39" s="2900"/>
      <c r="I39" s="2901"/>
      <c r="J39" s="2887"/>
      <c r="K39" s="2688"/>
      <c r="L39" s="2688"/>
      <c r="M39" s="2817"/>
      <c r="N39" s="2811"/>
      <c r="O39" s="2688"/>
      <c r="P39" s="2688"/>
      <c r="Q39" s="2892"/>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7">
        <f t="shared" si="4"/>
        <v>0</v>
      </c>
      <c r="AP39" s="2877"/>
      <c r="AQ39" s="2877"/>
      <c r="AR39" s="2877"/>
      <c r="AS39" s="2877"/>
      <c r="AT39" s="2877"/>
      <c r="AU39" s="2878">
        <f t="shared" si="5"/>
        <v>0</v>
      </c>
      <c r="AV39" s="2878"/>
      <c r="AW39" s="2878"/>
      <c r="AX39" s="2878"/>
      <c r="AY39" s="2878"/>
      <c r="AZ39" s="2878"/>
      <c r="BA39" s="1531"/>
      <c r="BB39" s="1531"/>
      <c r="BC39" s="1531"/>
      <c r="BD39" s="1531"/>
      <c r="BE39" s="1537"/>
    </row>
    <row r="40" spans="1:58" ht="15.75" customHeight="1">
      <c r="A40" s="1836"/>
      <c r="B40" s="2899" t="s">
        <v>2079</v>
      </c>
      <c r="C40" s="2900"/>
      <c r="D40" s="2900"/>
      <c r="E40" s="2900"/>
      <c r="F40" s="2900"/>
      <c r="G40" s="2900"/>
      <c r="H40" s="2900"/>
      <c r="I40" s="2901"/>
      <c r="J40" s="2887"/>
      <c r="K40" s="2688"/>
      <c r="L40" s="2688"/>
      <c r="M40" s="2817"/>
      <c r="N40" s="2811"/>
      <c r="O40" s="2688"/>
      <c r="P40" s="2688"/>
      <c r="Q40" s="2892"/>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7">
        <f t="shared" si="4"/>
        <v>0</v>
      </c>
      <c r="AP40" s="2877"/>
      <c r="AQ40" s="2877"/>
      <c r="AR40" s="2877"/>
      <c r="AS40" s="2877"/>
      <c r="AT40" s="2877"/>
      <c r="AU40" s="2878">
        <f t="shared" si="5"/>
        <v>0</v>
      </c>
      <c r="AV40" s="2878"/>
      <c r="AW40" s="2878"/>
      <c r="AX40" s="2878"/>
      <c r="AY40" s="2878"/>
      <c r="AZ40" s="2878"/>
      <c r="BA40" s="1531"/>
      <c r="BB40" s="1531"/>
      <c r="BC40" s="1531"/>
      <c r="BD40" s="1531"/>
      <c r="BE40" s="1537"/>
    </row>
    <row r="41" spans="1:58" ht="15.75" customHeight="1">
      <c r="A41" s="1836"/>
      <c r="B41" s="2896" t="s">
        <v>2080</v>
      </c>
      <c r="C41" s="2897"/>
      <c r="D41" s="2897"/>
      <c r="E41" s="2897"/>
      <c r="F41" s="2897"/>
      <c r="G41" s="2897"/>
      <c r="H41" s="2897"/>
      <c r="I41" s="2898"/>
      <c r="J41" s="2887"/>
      <c r="K41" s="2688"/>
      <c r="L41" s="2688"/>
      <c r="M41" s="2817"/>
      <c r="N41" s="2811"/>
      <c r="O41" s="2688"/>
      <c r="P41" s="2688"/>
      <c r="Q41" s="2892"/>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7">
        <f t="shared" si="4"/>
        <v>0</v>
      </c>
      <c r="AP41" s="2877"/>
      <c r="AQ41" s="2877"/>
      <c r="AR41" s="2877"/>
      <c r="AS41" s="2877"/>
      <c r="AT41" s="2877"/>
      <c r="AU41" s="2878">
        <f t="shared" si="5"/>
        <v>0</v>
      </c>
      <c r="AV41" s="2878"/>
      <c r="AW41" s="2878"/>
      <c r="AX41" s="2878"/>
      <c r="AY41" s="2878"/>
      <c r="AZ41" s="2878"/>
      <c r="BA41" s="1531"/>
      <c r="BB41" s="1531"/>
      <c r="BC41" s="1531"/>
      <c r="BD41" s="1531"/>
      <c r="BE41" s="1537"/>
    </row>
    <row r="42" spans="1:58" ht="15.75" customHeight="1">
      <c r="A42" s="1836"/>
      <c r="B42" s="2896" t="s">
        <v>2080</v>
      </c>
      <c r="C42" s="2897"/>
      <c r="D42" s="2897"/>
      <c r="E42" s="2897"/>
      <c r="F42" s="2897"/>
      <c r="G42" s="2897"/>
      <c r="H42" s="2897"/>
      <c r="I42" s="2898"/>
      <c r="J42" s="2887"/>
      <c r="K42" s="2688"/>
      <c r="L42" s="2688"/>
      <c r="M42" s="2817"/>
      <c r="N42" s="2811"/>
      <c r="O42" s="2688"/>
      <c r="P42" s="2688"/>
      <c r="Q42" s="2892"/>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7">
        <f t="shared" si="4"/>
        <v>0</v>
      </c>
      <c r="AP42" s="2877"/>
      <c r="AQ42" s="2877"/>
      <c r="AR42" s="2877"/>
      <c r="AS42" s="2877"/>
      <c r="AT42" s="2877"/>
      <c r="AU42" s="2878">
        <f t="shared" si="5"/>
        <v>0</v>
      </c>
      <c r="AV42" s="2878"/>
      <c r="AW42" s="2878"/>
      <c r="AX42" s="2878"/>
      <c r="AY42" s="2878"/>
      <c r="AZ42" s="2878"/>
      <c r="BA42" s="1531"/>
      <c r="BB42" s="1531"/>
      <c r="BC42" s="1531"/>
      <c r="BD42" s="1531"/>
      <c r="BE42" s="1537"/>
    </row>
    <row r="43" spans="1:58" ht="15.75" customHeight="1">
      <c r="A43" s="1836"/>
      <c r="B43" s="2893" t="s">
        <v>2081</v>
      </c>
      <c r="C43" s="2894"/>
      <c r="D43" s="2894"/>
      <c r="E43" s="2894"/>
      <c r="F43" s="2894"/>
      <c r="G43" s="2894"/>
      <c r="H43" s="2894"/>
      <c r="I43" s="2895"/>
      <c r="J43" s="2887"/>
      <c r="K43" s="2688"/>
      <c r="L43" s="2688"/>
      <c r="M43" s="2817"/>
      <c r="N43" s="2811"/>
      <c r="O43" s="2688"/>
      <c r="P43" s="2688"/>
      <c r="Q43" s="2892"/>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7">
        <f t="shared" si="4"/>
        <v>0</v>
      </c>
      <c r="AP43" s="2877"/>
      <c r="AQ43" s="2877"/>
      <c r="AR43" s="2877"/>
      <c r="AS43" s="2877"/>
      <c r="AT43" s="2877"/>
      <c r="AU43" s="2878">
        <f t="shared" si="5"/>
        <v>0</v>
      </c>
      <c r="AV43" s="2878"/>
      <c r="AW43" s="2878"/>
      <c r="AX43" s="2878"/>
      <c r="AY43" s="2878"/>
      <c r="AZ43" s="2878"/>
      <c r="BA43" s="1531"/>
      <c r="BB43" s="1531"/>
      <c r="BC43" s="1531"/>
      <c r="BD43" s="1531"/>
      <c r="BE43" s="1537"/>
    </row>
    <row r="44" spans="1:58" ht="15.75" customHeight="1">
      <c r="A44" s="1836"/>
      <c r="B44" s="2893" t="s">
        <v>2082</v>
      </c>
      <c r="C44" s="2894"/>
      <c r="D44" s="2894"/>
      <c r="E44" s="2894"/>
      <c r="F44" s="2894"/>
      <c r="G44" s="2894"/>
      <c r="H44" s="2894"/>
      <c r="I44" s="2895"/>
      <c r="J44" s="2887"/>
      <c r="K44" s="2688"/>
      <c r="L44" s="2688"/>
      <c r="M44" s="2817"/>
      <c r="N44" s="2811"/>
      <c r="O44" s="2688"/>
      <c r="P44" s="2688"/>
      <c r="Q44" s="2892"/>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7">
        <f t="shared" si="4"/>
        <v>0</v>
      </c>
      <c r="AP44" s="2877"/>
      <c r="AQ44" s="2877"/>
      <c r="AR44" s="2877"/>
      <c r="AS44" s="2877"/>
      <c r="AT44" s="2877"/>
      <c r="AU44" s="2878">
        <f t="shared" si="5"/>
        <v>0</v>
      </c>
      <c r="AV44" s="2878"/>
      <c r="AW44" s="2878"/>
      <c r="AX44" s="2878"/>
      <c r="AY44" s="2878"/>
      <c r="AZ44" s="2878"/>
      <c r="BA44" s="1531"/>
      <c r="BB44" s="1531"/>
      <c r="BC44" s="1531"/>
      <c r="BD44" s="1531"/>
      <c r="BE44" s="1537"/>
    </row>
    <row r="45" spans="1:58" ht="15.75" customHeight="1">
      <c r="A45" s="1836"/>
      <c r="B45" s="2884" t="s">
        <v>2083</v>
      </c>
      <c r="C45" s="2885"/>
      <c r="D45" s="2885"/>
      <c r="E45" s="2885"/>
      <c r="F45" s="2885"/>
      <c r="G45" s="2885"/>
      <c r="H45" s="2885"/>
      <c r="I45" s="2886"/>
      <c r="J45" s="2891" t="s">
        <v>2078</v>
      </c>
      <c r="K45" s="2688"/>
      <c r="L45" s="2688"/>
      <c r="M45" s="2817"/>
      <c r="N45" s="2811">
        <v>55</v>
      </c>
      <c r="O45" s="2688"/>
      <c r="P45" s="2688"/>
      <c r="Q45" s="2892"/>
      <c r="R45" s="2876">
        <v>20</v>
      </c>
      <c r="S45" s="2876"/>
      <c r="T45" s="2876"/>
      <c r="U45" s="2876"/>
      <c r="V45" s="2876">
        <v>20</v>
      </c>
      <c r="W45" s="2876"/>
      <c r="X45" s="2876"/>
      <c r="Y45" s="2876"/>
      <c r="Z45" s="2876">
        <v>92</v>
      </c>
      <c r="AA45" s="2876"/>
      <c r="AB45" s="2876"/>
      <c r="AC45" s="2876"/>
      <c r="AD45" s="2876">
        <v>60</v>
      </c>
      <c r="AE45" s="2876"/>
      <c r="AF45" s="2876"/>
      <c r="AG45" s="2876"/>
      <c r="AH45" s="2876"/>
      <c r="AI45" s="2876"/>
      <c r="AJ45" s="2876"/>
      <c r="AK45" s="2876"/>
      <c r="AL45" s="2876"/>
      <c r="AM45" s="2876"/>
      <c r="AN45" s="2876"/>
      <c r="AO45" s="2877">
        <f t="shared" si="4"/>
        <v>192</v>
      </c>
      <c r="AP45" s="2877"/>
      <c r="AQ45" s="2877"/>
      <c r="AR45" s="2877"/>
      <c r="AS45" s="2877"/>
      <c r="AT45" s="2877"/>
      <c r="AU45" s="2878">
        <f t="shared" si="5"/>
        <v>0.99481865284974091</v>
      </c>
      <c r="AV45" s="2878"/>
      <c r="AW45" s="2878"/>
      <c r="AX45" s="2878"/>
      <c r="AY45" s="2878"/>
      <c r="AZ45" s="2878"/>
      <c r="BA45" s="1531"/>
      <c r="BB45" s="1531"/>
      <c r="BC45" s="1531"/>
      <c r="BD45" s="1531"/>
      <c r="BE45" s="1537"/>
    </row>
    <row r="46" spans="1:58" ht="15.75" customHeight="1">
      <c r="A46" s="1836"/>
      <c r="B46" s="2884" t="s">
        <v>2084</v>
      </c>
      <c r="C46" s="2885"/>
      <c r="D46" s="2885"/>
      <c r="E46" s="2885"/>
      <c r="F46" s="2885"/>
      <c r="G46" s="2885"/>
      <c r="H46" s="2885"/>
      <c r="I46" s="2886"/>
      <c r="J46" s="2887"/>
      <c r="K46" s="2688"/>
      <c r="L46" s="2688"/>
      <c r="M46" s="2817"/>
      <c r="N46" s="2888"/>
      <c r="O46" s="2889"/>
      <c r="P46" s="2889"/>
      <c r="Q46" s="2890"/>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7">
        <f t="shared" si="4"/>
        <v>0</v>
      </c>
      <c r="AP46" s="2877"/>
      <c r="AQ46" s="2877"/>
      <c r="AR46" s="2877"/>
      <c r="AS46" s="2877"/>
      <c r="AT46" s="2877"/>
      <c r="AU46" s="2878">
        <f t="shared" si="5"/>
        <v>0</v>
      </c>
      <c r="AV46" s="2878"/>
      <c r="AW46" s="2878"/>
      <c r="AX46" s="2878"/>
      <c r="AY46" s="2878"/>
      <c r="AZ46" s="2878"/>
      <c r="BA46" s="1531"/>
      <c r="BB46" s="1531"/>
      <c r="BC46" s="1531"/>
      <c r="BD46" s="1531"/>
      <c r="BE46" s="1537"/>
    </row>
    <row r="47" spans="1:58" ht="15.75" customHeight="1" thickBot="1">
      <c r="A47" s="1836"/>
      <c r="B47" s="2879" t="s">
        <v>309</v>
      </c>
      <c r="C47" s="2880"/>
      <c r="D47" s="2880"/>
      <c r="E47" s="2880"/>
      <c r="F47" s="2880"/>
      <c r="G47" s="2880"/>
      <c r="H47" s="2880"/>
      <c r="I47" s="2881"/>
      <c r="J47" s="2882"/>
      <c r="K47" s="2802"/>
      <c r="L47" s="2802"/>
      <c r="M47" s="2803"/>
      <c r="N47" s="2818"/>
      <c r="O47" s="2802"/>
      <c r="P47" s="2802"/>
      <c r="Q47" s="2883"/>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7">
        <f t="shared" si="4"/>
        <v>0</v>
      </c>
      <c r="AP47" s="2877"/>
      <c r="AQ47" s="2877"/>
      <c r="AR47" s="2877"/>
      <c r="AS47" s="2877"/>
      <c r="AT47" s="2877"/>
      <c r="AU47" s="2878">
        <f t="shared" si="5"/>
        <v>0</v>
      </c>
      <c r="AV47" s="2878"/>
      <c r="AW47" s="2878"/>
      <c r="AX47" s="2878"/>
      <c r="AY47" s="2878"/>
      <c r="AZ47" s="2878"/>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64" t="s">
        <v>2087</v>
      </c>
      <c r="C50" s="2865"/>
      <c r="D50" s="2865"/>
      <c r="E50" s="2865"/>
      <c r="F50" s="2865"/>
      <c r="G50" s="2865"/>
      <c r="H50" s="2865"/>
      <c r="I50" s="2865"/>
      <c r="J50" s="2865"/>
      <c r="K50" s="2865"/>
      <c r="L50" s="2865"/>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67" t="s">
        <v>2088</v>
      </c>
      <c r="C51" s="2868"/>
      <c r="D51" s="2868"/>
      <c r="E51" s="2868"/>
      <c r="F51" s="2868"/>
      <c r="G51" s="2868"/>
      <c r="H51" s="2868"/>
      <c r="I51" s="2869"/>
      <c r="J51" s="2867" t="s">
        <v>2089</v>
      </c>
      <c r="K51" s="2868"/>
      <c r="L51" s="2868"/>
      <c r="M51" s="2868"/>
      <c r="N51" s="2868"/>
      <c r="O51" s="2868"/>
      <c r="P51" s="2868"/>
      <c r="Q51" s="2869"/>
      <c r="R51" s="2870" t="s">
        <v>2090</v>
      </c>
      <c r="S51" s="2871"/>
      <c r="T51" s="2871"/>
      <c r="U51" s="2871"/>
      <c r="V51" s="2871"/>
      <c r="W51" s="2871"/>
      <c r="X51" s="2871"/>
      <c r="Y51" s="2872"/>
      <c r="Z51" s="2873" t="s">
        <v>2091</v>
      </c>
      <c r="AA51" s="2874"/>
      <c r="AB51" s="2874"/>
      <c r="AC51" s="2874"/>
      <c r="AD51" s="2874"/>
      <c r="AE51" s="2874"/>
      <c r="AF51" s="2874"/>
      <c r="AG51" s="2875"/>
      <c r="AH51" s="2873" t="s">
        <v>2092</v>
      </c>
      <c r="AI51" s="2874"/>
      <c r="AJ51" s="2874"/>
      <c r="AK51" s="2874"/>
      <c r="AL51" s="2874"/>
      <c r="AM51" s="2874"/>
      <c r="AN51" s="2874"/>
      <c r="AO51" s="287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62" t="s">
        <v>2579</v>
      </c>
      <c r="C52" s="2846"/>
      <c r="D52" s="2846"/>
      <c r="E52" s="2846"/>
      <c r="F52" s="2846"/>
      <c r="G52" s="2846"/>
      <c r="H52" s="2846"/>
      <c r="I52" s="2846"/>
      <c r="J52" s="2846" t="s">
        <v>2580</v>
      </c>
      <c r="K52" s="2846"/>
      <c r="L52" s="2846"/>
      <c r="M52" s="2846"/>
      <c r="N52" s="2846"/>
      <c r="O52" s="2846"/>
      <c r="P52" s="2846"/>
      <c r="Q52" s="2846"/>
      <c r="R52" s="2863">
        <v>20016</v>
      </c>
      <c r="S52" s="2863"/>
      <c r="T52" s="2863"/>
      <c r="U52" s="2863"/>
      <c r="V52" s="2863"/>
      <c r="W52" s="2863"/>
      <c r="X52" s="2863"/>
      <c r="Y52" s="2863"/>
      <c r="Z52" s="2846">
        <v>15</v>
      </c>
      <c r="AA52" s="2846"/>
      <c r="AB52" s="2846"/>
      <c r="AC52" s="2846"/>
      <c r="AD52" s="2846"/>
      <c r="AE52" s="2846"/>
      <c r="AF52" s="2846"/>
      <c r="AG52" s="2846"/>
      <c r="AH52" s="2846"/>
      <c r="AI52" s="2846"/>
      <c r="AJ52" s="2846"/>
      <c r="AK52" s="2846"/>
      <c r="AL52" s="2846"/>
      <c r="AM52" s="2846"/>
      <c r="AN52" s="2846"/>
      <c r="AO52" s="284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62"/>
      <c r="C53" s="2846"/>
      <c r="D53" s="2846"/>
      <c r="E53" s="2846"/>
      <c r="F53" s="2846"/>
      <c r="G53" s="2846"/>
      <c r="H53" s="2846"/>
      <c r="I53" s="2846"/>
      <c r="J53" s="2846"/>
      <c r="K53" s="2846"/>
      <c r="L53" s="2846"/>
      <c r="M53" s="2846"/>
      <c r="N53" s="2846"/>
      <c r="O53" s="2846"/>
      <c r="P53" s="2846"/>
      <c r="Q53" s="2846"/>
      <c r="R53" s="2863"/>
      <c r="S53" s="2863"/>
      <c r="T53" s="2863"/>
      <c r="U53" s="2863"/>
      <c r="V53" s="2863"/>
      <c r="W53" s="2863"/>
      <c r="X53" s="2863"/>
      <c r="Y53" s="2863"/>
      <c r="Z53" s="2846"/>
      <c r="AA53" s="2846"/>
      <c r="AB53" s="2846"/>
      <c r="AC53" s="2846"/>
      <c r="AD53" s="2846"/>
      <c r="AE53" s="2846"/>
      <c r="AF53" s="2846"/>
      <c r="AG53" s="2846"/>
      <c r="AH53" s="2846"/>
      <c r="AI53" s="2846"/>
      <c r="AJ53" s="2846"/>
      <c r="AK53" s="2846"/>
      <c r="AL53" s="2846"/>
      <c r="AM53" s="2846"/>
      <c r="AN53" s="2846"/>
      <c r="AO53" s="284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62"/>
      <c r="C54" s="2846"/>
      <c r="D54" s="2846"/>
      <c r="E54" s="2846"/>
      <c r="F54" s="2846"/>
      <c r="G54" s="2846"/>
      <c r="H54" s="2846"/>
      <c r="I54" s="2846"/>
      <c r="J54" s="2846"/>
      <c r="K54" s="2846"/>
      <c r="L54" s="2846"/>
      <c r="M54" s="2846"/>
      <c r="N54" s="2846"/>
      <c r="O54" s="2846"/>
      <c r="P54" s="2846"/>
      <c r="Q54" s="2846"/>
      <c r="R54" s="2863"/>
      <c r="S54" s="2863"/>
      <c r="T54" s="2863"/>
      <c r="U54" s="2863"/>
      <c r="V54" s="2863"/>
      <c r="W54" s="2863"/>
      <c r="X54" s="2863"/>
      <c r="Y54" s="2863"/>
      <c r="Z54" s="2846"/>
      <c r="AA54" s="2846"/>
      <c r="AB54" s="2846"/>
      <c r="AC54" s="2846"/>
      <c r="AD54" s="2846"/>
      <c r="AE54" s="2846"/>
      <c r="AF54" s="2846"/>
      <c r="AG54" s="2846"/>
      <c r="AH54" s="2846"/>
      <c r="AI54" s="2846"/>
      <c r="AJ54" s="2846"/>
      <c r="AK54" s="2846"/>
      <c r="AL54" s="2846"/>
      <c r="AM54" s="2846"/>
      <c r="AN54" s="2846"/>
      <c r="AO54" s="284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62"/>
      <c r="C55" s="2846"/>
      <c r="D55" s="2846"/>
      <c r="E55" s="2846"/>
      <c r="F55" s="2846"/>
      <c r="G55" s="2846"/>
      <c r="H55" s="2846"/>
      <c r="I55" s="2846"/>
      <c r="J55" s="2846"/>
      <c r="K55" s="2846"/>
      <c r="L55" s="2846"/>
      <c r="M55" s="2846"/>
      <c r="N55" s="2846"/>
      <c r="O55" s="2846"/>
      <c r="P55" s="2846"/>
      <c r="Q55" s="2846"/>
      <c r="R55" s="2863"/>
      <c r="S55" s="2863"/>
      <c r="T55" s="2863"/>
      <c r="U55" s="2863"/>
      <c r="V55" s="2863"/>
      <c r="W55" s="2863"/>
      <c r="X55" s="2863"/>
      <c r="Y55" s="2863"/>
      <c r="Z55" s="2846"/>
      <c r="AA55" s="2846"/>
      <c r="AB55" s="2846"/>
      <c r="AC55" s="2846"/>
      <c r="AD55" s="2846"/>
      <c r="AE55" s="2846"/>
      <c r="AF55" s="2846"/>
      <c r="AG55" s="2846"/>
      <c r="AH55" s="2846"/>
      <c r="AI55" s="2846"/>
      <c r="AJ55" s="2846"/>
      <c r="AK55" s="2846"/>
      <c r="AL55" s="2846"/>
      <c r="AM55" s="2846"/>
      <c r="AN55" s="2846"/>
      <c r="AO55" s="2847"/>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857"/>
      <c r="C56" s="2852"/>
      <c r="D56" s="2852"/>
      <c r="E56" s="2852"/>
      <c r="F56" s="2852"/>
      <c r="G56" s="2852"/>
      <c r="H56" s="2852"/>
      <c r="I56" s="2852"/>
      <c r="J56" s="2852"/>
      <c r="K56" s="2852"/>
      <c r="L56" s="2852"/>
      <c r="M56" s="2852"/>
      <c r="N56" s="2852"/>
      <c r="O56" s="2852"/>
      <c r="P56" s="2852"/>
      <c r="Q56" s="2852"/>
      <c r="R56" s="2858"/>
      <c r="S56" s="2858"/>
      <c r="T56" s="2858"/>
      <c r="U56" s="2858"/>
      <c r="V56" s="2858"/>
      <c r="W56" s="2858"/>
      <c r="X56" s="2858"/>
      <c r="Y56" s="2858"/>
      <c r="Z56" s="2852"/>
      <c r="AA56" s="2852"/>
      <c r="AB56" s="2852"/>
      <c r="AC56" s="2852"/>
      <c r="AD56" s="2852"/>
      <c r="AE56" s="2852"/>
      <c r="AF56" s="2852"/>
      <c r="AG56" s="2852"/>
      <c r="AH56" s="2852"/>
      <c r="AI56" s="2852"/>
      <c r="AJ56" s="2852"/>
      <c r="AK56" s="2852"/>
      <c r="AL56" s="2852"/>
      <c r="AM56" s="2852"/>
      <c r="AN56" s="2852"/>
      <c r="AO56" s="285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59" t="s">
        <v>1893</v>
      </c>
      <c r="C57" s="2860"/>
      <c r="D57" s="2860"/>
      <c r="E57" s="2860"/>
      <c r="F57" s="2860"/>
      <c r="G57" s="2860"/>
      <c r="H57" s="2860"/>
      <c r="I57" s="2860"/>
      <c r="J57" s="2860"/>
      <c r="K57" s="2860"/>
      <c r="L57" s="2860"/>
      <c r="M57" s="2860"/>
      <c r="N57" s="2860"/>
      <c r="O57" s="2860"/>
      <c r="P57" s="2860"/>
      <c r="Q57" s="2860"/>
      <c r="R57" s="2861">
        <f>SUM(R52:Y56)</f>
        <v>20016</v>
      </c>
      <c r="S57" s="2861"/>
      <c r="T57" s="2861"/>
      <c r="U57" s="2861"/>
      <c r="V57" s="2861"/>
      <c r="W57" s="2861"/>
      <c r="X57" s="2861"/>
      <c r="Y57" s="2861"/>
      <c r="Z57" s="2861">
        <f t="shared" ref="Z57" si="6">SUM(Z52:AG56)</f>
        <v>15</v>
      </c>
      <c r="AA57" s="2861"/>
      <c r="AB57" s="2861"/>
      <c r="AC57" s="2861"/>
      <c r="AD57" s="2861"/>
      <c r="AE57" s="2861"/>
      <c r="AF57" s="2861"/>
      <c r="AG57" s="2861"/>
      <c r="AH57" s="2861">
        <f t="shared" ref="AH57" si="7">SUM(AH52:AO56)</f>
        <v>0</v>
      </c>
      <c r="AI57" s="2861"/>
      <c r="AJ57" s="2861"/>
      <c r="AK57" s="2861"/>
      <c r="AL57" s="2861"/>
      <c r="AM57" s="2861"/>
      <c r="AN57" s="2861"/>
      <c r="AO57" s="286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54" t="s">
        <v>2088</v>
      </c>
      <c r="C59" s="2855"/>
      <c r="D59" s="2855"/>
      <c r="E59" s="2855"/>
      <c r="F59" s="2855"/>
      <c r="G59" s="2855"/>
      <c r="H59" s="2855"/>
      <c r="I59" s="2856"/>
      <c r="J59" s="2696" t="s">
        <v>2093</v>
      </c>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2697"/>
      <c r="AX59" s="1531"/>
      <c r="AY59" s="1531"/>
      <c r="AZ59" s="1531"/>
      <c r="BA59" s="1531"/>
      <c r="BB59" s="1531"/>
      <c r="BC59" s="1531"/>
      <c r="BD59" s="1531"/>
      <c r="BE59" s="1537"/>
    </row>
    <row r="60" spans="1:58" ht="15.75" customHeight="1">
      <c r="A60" s="1836"/>
      <c r="B60" s="2842" t="str">
        <f>IF(B52="", "", B52)</f>
        <v>Pacific Housing, Inc</v>
      </c>
      <c r="C60" s="2843"/>
      <c r="D60" s="2843"/>
      <c r="E60" s="2843"/>
      <c r="F60" s="2843"/>
      <c r="G60" s="2843"/>
      <c r="H60" s="2843"/>
      <c r="I60" s="2844"/>
      <c r="J60" s="2845" t="s">
        <v>2581</v>
      </c>
      <c r="K60" s="2846"/>
      <c r="L60" s="2846"/>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c r="AS60" s="2846"/>
      <c r="AT60" s="2846"/>
      <c r="AU60" s="2846"/>
      <c r="AV60" s="2846"/>
      <c r="AW60" s="2847"/>
      <c r="AX60" s="1531"/>
      <c r="AY60" s="1531"/>
      <c r="AZ60" s="1531"/>
      <c r="BA60" s="1531"/>
      <c r="BB60" s="1531"/>
      <c r="BC60" s="1531"/>
      <c r="BD60" s="1531"/>
      <c r="BE60" s="1537"/>
    </row>
    <row r="61" spans="1:58" ht="15.75" customHeight="1">
      <c r="A61" s="1836"/>
      <c r="B61" s="2842" t="str">
        <f t="shared" ref="B61:B64" si="8">IF(B53="", "", B53)</f>
        <v/>
      </c>
      <c r="C61" s="2843"/>
      <c r="D61" s="2843"/>
      <c r="E61" s="2843"/>
      <c r="F61" s="2843"/>
      <c r="G61" s="2843"/>
      <c r="H61" s="2843"/>
      <c r="I61" s="2844"/>
      <c r="J61" s="2845"/>
      <c r="K61" s="2846"/>
      <c r="L61" s="2846"/>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c r="AS61" s="2846"/>
      <c r="AT61" s="2846"/>
      <c r="AU61" s="2846"/>
      <c r="AV61" s="2846"/>
      <c r="AW61" s="2847"/>
      <c r="AX61" s="1531"/>
      <c r="AY61" s="1531"/>
      <c r="AZ61" s="1531"/>
      <c r="BA61" s="1531"/>
      <c r="BB61" s="1531"/>
      <c r="BC61" s="1531"/>
      <c r="BD61" s="1531"/>
      <c r="BE61" s="1537"/>
    </row>
    <row r="62" spans="1:58" ht="15.75" customHeight="1">
      <c r="A62" s="1836"/>
      <c r="B62" s="2842" t="str">
        <f t="shared" si="8"/>
        <v/>
      </c>
      <c r="C62" s="2843"/>
      <c r="D62" s="2843"/>
      <c r="E62" s="2843"/>
      <c r="F62" s="2843"/>
      <c r="G62" s="2843"/>
      <c r="H62" s="2843"/>
      <c r="I62" s="2844"/>
      <c r="J62" s="2845"/>
      <c r="K62" s="2846"/>
      <c r="L62" s="2846"/>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c r="AS62" s="2846"/>
      <c r="AT62" s="2846"/>
      <c r="AU62" s="2846"/>
      <c r="AV62" s="2846"/>
      <c r="AW62" s="2847"/>
      <c r="AX62" s="1531"/>
      <c r="AY62" s="1531"/>
      <c r="AZ62" s="1531"/>
      <c r="BA62" s="1531"/>
      <c r="BB62" s="1531"/>
      <c r="BC62" s="1531"/>
      <c r="BD62" s="1531"/>
      <c r="BE62" s="1537"/>
    </row>
    <row r="63" spans="1:58" ht="15.75" customHeight="1">
      <c r="A63" s="1836"/>
      <c r="B63" s="2842" t="str">
        <f t="shared" si="8"/>
        <v/>
      </c>
      <c r="C63" s="2843"/>
      <c r="D63" s="2843"/>
      <c r="E63" s="2843"/>
      <c r="F63" s="2843"/>
      <c r="G63" s="2843"/>
      <c r="H63" s="2843"/>
      <c r="I63" s="2844"/>
      <c r="J63" s="2845"/>
      <c r="K63" s="2846"/>
      <c r="L63" s="2846"/>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c r="AS63" s="2846"/>
      <c r="AT63" s="2846"/>
      <c r="AU63" s="2846"/>
      <c r="AV63" s="2846"/>
      <c r="AW63" s="2847"/>
      <c r="AX63" s="1531"/>
      <c r="AY63" s="1531"/>
      <c r="AZ63" s="1531"/>
      <c r="BA63" s="1531"/>
      <c r="BB63" s="1531"/>
      <c r="BC63" s="1531"/>
      <c r="BD63" s="1531"/>
      <c r="BE63" s="1537"/>
    </row>
    <row r="64" spans="1:58" ht="15.75" customHeight="1" thickBot="1">
      <c r="A64" s="1836"/>
      <c r="B64" s="2848" t="str">
        <f t="shared" si="8"/>
        <v/>
      </c>
      <c r="C64" s="2849"/>
      <c r="D64" s="2849"/>
      <c r="E64" s="2849"/>
      <c r="F64" s="2849"/>
      <c r="G64" s="2849"/>
      <c r="H64" s="2849"/>
      <c r="I64" s="2850"/>
      <c r="J64" s="2851"/>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2852"/>
      <c r="AS64" s="2852"/>
      <c r="AT64" s="2852"/>
      <c r="AU64" s="2852"/>
      <c r="AV64" s="2852"/>
      <c r="AW64" s="285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70" t="s">
        <v>2095</v>
      </c>
      <c r="C68" s="2771"/>
      <c r="D68" s="2771"/>
      <c r="E68" s="2771"/>
      <c r="F68" s="2771"/>
      <c r="G68" s="2771"/>
      <c r="H68" s="2771"/>
      <c r="I68" s="2771"/>
      <c r="J68" s="2771"/>
      <c r="K68" s="2771"/>
      <c r="L68" s="2771"/>
      <c r="M68" s="2771"/>
      <c r="N68" s="2771"/>
      <c r="O68" s="2771"/>
      <c r="P68" s="2771"/>
      <c r="Q68" s="2771"/>
      <c r="R68" s="2771"/>
      <c r="S68" s="2771"/>
      <c r="T68" s="2771"/>
      <c r="U68" s="2771"/>
      <c r="V68" s="2771"/>
      <c r="W68" s="2771"/>
      <c r="X68" s="2771"/>
      <c r="Y68" s="2771"/>
      <c r="Z68" s="2771"/>
      <c r="AA68" s="2834"/>
      <c r="AB68" s="1531"/>
      <c r="AC68" s="2835" t="s">
        <v>2096</v>
      </c>
      <c r="AD68" s="2836"/>
      <c r="AE68" s="2836"/>
      <c r="AF68" s="2836"/>
      <c r="AG68" s="2836"/>
      <c r="AH68" s="2836"/>
      <c r="AI68" s="2836"/>
      <c r="AJ68" s="2836"/>
      <c r="AK68" s="2836"/>
      <c r="AL68" s="2836"/>
      <c r="AM68" s="2836"/>
      <c r="AN68" s="2836"/>
      <c r="AO68" s="2836"/>
      <c r="AP68" s="2836"/>
      <c r="AQ68" s="2836"/>
      <c r="AR68" s="2836"/>
      <c r="AS68" s="2836"/>
      <c r="AT68" s="2836"/>
      <c r="AU68" s="2836"/>
      <c r="AV68" s="2837" t="s">
        <v>706</v>
      </c>
      <c r="AW68" s="2837"/>
      <c r="AX68" s="2837"/>
      <c r="AY68" s="2837"/>
      <c r="AZ68" s="2837"/>
      <c r="BA68" s="2837"/>
      <c r="BB68" s="2837"/>
      <c r="BC68" s="2838"/>
      <c r="BD68" s="1531"/>
      <c r="BE68" s="1537"/>
    </row>
    <row r="69" spans="1:57" ht="15.75" customHeight="1" thickBot="1">
      <c r="A69" s="1836"/>
      <c r="B69" s="2839" t="s">
        <v>2097</v>
      </c>
      <c r="C69" s="2840"/>
      <c r="D69" s="2840"/>
      <c r="E69" s="2840"/>
      <c r="F69" s="2840"/>
      <c r="G69" s="2840"/>
      <c r="H69" s="2840"/>
      <c r="I69" s="2840"/>
      <c r="J69" s="2840"/>
      <c r="K69" s="2840"/>
      <c r="L69" s="2840"/>
      <c r="M69" s="2840"/>
      <c r="N69" s="2840"/>
      <c r="O69" s="2776" t="s">
        <v>2098</v>
      </c>
      <c r="P69" s="2674"/>
      <c r="Q69" s="2674"/>
      <c r="R69" s="2674"/>
      <c r="S69" s="2674"/>
      <c r="T69" s="2674"/>
      <c r="U69" s="2674"/>
      <c r="V69" s="2674"/>
      <c r="W69" s="2674"/>
      <c r="X69" s="2674"/>
      <c r="Y69" s="2674"/>
      <c r="Z69" s="2674"/>
      <c r="AA69" s="2675"/>
      <c r="AB69" s="1531"/>
      <c r="AC69" s="2617" t="s">
        <v>2099</v>
      </c>
      <c r="AD69" s="2618"/>
      <c r="AE69" s="2618"/>
      <c r="AF69" s="2618"/>
      <c r="AG69" s="2618"/>
      <c r="AH69" s="2618"/>
      <c r="AI69" s="2618"/>
      <c r="AJ69" s="2618"/>
      <c r="AK69" s="2618"/>
      <c r="AL69" s="2618"/>
      <c r="AM69" s="2618"/>
      <c r="AN69" s="2618"/>
      <c r="AO69" s="2618"/>
      <c r="AP69" s="2618"/>
      <c r="AQ69" s="2618"/>
      <c r="AR69" s="2618"/>
      <c r="AS69" s="2618"/>
      <c r="AT69" s="2618"/>
      <c r="AU69" s="2618"/>
      <c r="AV69" s="2724"/>
      <c r="AW69" s="2723"/>
      <c r="AX69" s="2723"/>
      <c r="AY69" s="2723"/>
      <c r="AZ69" s="2723"/>
      <c r="BA69" s="2723"/>
      <c r="BB69" s="2723"/>
      <c r="BC69" s="2841"/>
      <c r="BD69" s="1531"/>
      <c r="BE69" s="1537"/>
    </row>
    <row r="70" spans="1:57" ht="15.75" customHeight="1">
      <c r="A70" s="1836"/>
      <c r="B70" s="2826" t="s">
        <v>2591</v>
      </c>
      <c r="C70" s="2827"/>
      <c r="D70" s="2827"/>
      <c r="E70" s="2827"/>
      <c r="F70" s="2827"/>
      <c r="G70" s="2827"/>
      <c r="H70" s="2827"/>
      <c r="I70" s="2827"/>
      <c r="J70" s="2827"/>
      <c r="K70" s="2827"/>
      <c r="L70" s="2827"/>
      <c r="M70" s="2827"/>
      <c r="N70" s="2827"/>
      <c r="O70" s="2812">
        <v>100000</v>
      </c>
      <c r="P70" s="2812"/>
      <c r="Q70" s="2812"/>
      <c r="R70" s="2812"/>
      <c r="S70" s="2812"/>
      <c r="T70" s="2812"/>
      <c r="U70" s="2812"/>
      <c r="V70" s="2812"/>
      <c r="W70" s="2812"/>
      <c r="X70" s="2812"/>
      <c r="Y70" s="2812"/>
      <c r="Z70" s="2812"/>
      <c r="AA70" s="2813"/>
      <c r="AB70" s="1531"/>
      <c r="AC70" s="2828" t="s">
        <v>2100</v>
      </c>
      <c r="AD70" s="2829"/>
      <c r="AE70" s="2829"/>
      <c r="AF70" s="2830" t="s">
        <v>2503</v>
      </c>
      <c r="AG70" s="2799"/>
      <c r="AH70" s="2799"/>
      <c r="AI70" s="2799"/>
      <c r="AJ70" s="2799"/>
      <c r="AK70" s="2799"/>
      <c r="AL70" s="2799"/>
      <c r="AM70" s="2799"/>
      <c r="AN70" s="2799"/>
      <c r="AO70" s="2799"/>
      <c r="AP70" s="2799"/>
      <c r="AQ70" s="2799"/>
      <c r="AR70" s="2799"/>
      <c r="AS70" s="2799"/>
      <c r="AT70" s="2799"/>
      <c r="AU70" s="2800"/>
      <c r="AV70" s="1531"/>
      <c r="AW70" s="1531"/>
      <c r="AX70" s="1531"/>
      <c r="AY70" s="1531"/>
      <c r="AZ70" s="1531"/>
      <c r="BA70" s="1531"/>
      <c r="BB70" s="1531"/>
      <c r="BC70" s="1531"/>
      <c r="BD70" s="1531"/>
      <c r="BE70" s="1537"/>
    </row>
    <row r="71" spans="1:57" ht="15.75" customHeight="1" thickBot="1">
      <c r="A71" s="1836"/>
      <c r="B71" s="2811"/>
      <c r="C71" s="2688"/>
      <c r="D71" s="2688"/>
      <c r="E71" s="2688"/>
      <c r="F71" s="2688"/>
      <c r="G71" s="2688"/>
      <c r="H71" s="2688"/>
      <c r="I71" s="2688"/>
      <c r="J71" s="2688"/>
      <c r="K71" s="2688"/>
      <c r="L71" s="2688"/>
      <c r="M71" s="2688"/>
      <c r="N71" s="2688"/>
      <c r="O71" s="2812"/>
      <c r="P71" s="2812"/>
      <c r="Q71" s="2812"/>
      <c r="R71" s="2812"/>
      <c r="S71" s="2812"/>
      <c r="T71" s="2812"/>
      <c r="U71" s="2812"/>
      <c r="V71" s="2812"/>
      <c r="W71" s="2812"/>
      <c r="X71" s="2812"/>
      <c r="Y71" s="2812"/>
      <c r="Z71" s="2812"/>
      <c r="AA71" s="2813"/>
      <c r="AB71" s="1531"/>
      <c r="AC71" s="2831" t="s">
        <v>2101</v>
      </c>
      <c r="AD71" s="2832"/>
      <c r="AE71" s="2832"/>
      <c r="AF71" s="2833" t="s">
        <v>2463</v>
      </c>
      <c r="AG71" s="2802"/>
      <c r="AH71" s="2802"/>
      <c r="AI71" s="2802"/>
      <c r="AJ71" s="2802"/>
      <c r="AK71" s="2802"/>
      <c r="AL71" s="2802"/>
      <c r="AM71" s="2802"/>
      <c r="AN71" s="2802"/>
      <c r="AO71" s="2802"/>
      <c r="AP71" s="2802"/>
      <c r="AQ71" s="2802"/>
      <c r="AR71" s="2802"/>
      <c r="AS71" s="2802"/>
      <c r="AT71" s="2802"/>
      <c r="AU71" s="2803"/>
      <c r="AV71" s="1531"/>
      <c r="AW71" s="1531"/>
      <c r="AX71" s="1531"/>
      <c r="AY71" s="1531"/>
      <c r="AZ71" s="1531"/>
      <c r="BA71" s="1531"/>
      <c r="BB71" s="1531"/>
      <c r="BC71" s="1531"/>
      <c r="BD71" s="1531"/>
      <c r="BE71" s="1537"/>
    </row>
    <row r="72" spans="1:57" ht="15.75" customHeight="1">
      <c r="A72" s="1836"/>
      <c r="B72" s="2811"/>
      <c r="C72" s="2688"/>
      <c r="D72" s="2688"/>
      <c r="E72" s="2688"/>
      <c r="F72" s="2688"/>
      <c r="G72" s="2688"/>
      <c r="H72" s="2688"/>
      <c r="I72" s="2688"/>
      <c r="J72" s="2688"/>
      <c r="K72" s="2688"/>
      <c r="L72" s="2688"/>
      <c r="M72" s="2688"/>
      <c r="N72" s="2688"/>
      <c r="O72" s="2812"/>
      <c r="P72" s="2812"/>
      <c r="Q72" s="2812"/>
      <c r="R72" s="2812"/>
      <c r="S72" s="2812"/>
      <c r="T72" s="2812"/>
      <c r="U72" s="2812"/>
      <c r="V72" s="2812"/>
      <c r="W72" s="2812"/>
      <c r="X72" s="2812"/>
      <c r="Y72" s="2812"/>
      <c r="Z72" s="2812"/>
      <c r="AA72" s="2813"/>
      <c r="AB72" s="1531"/>
      <c r="AC72" s="2814" t="s">
        <v>2102</v>
      </c>
      <c r="AD72" s="2815"/>
      <c r="AE72" s="2815"/>
      <c r="AF72" s="2815"/>
      <c r="AG72" s="2815"/>
      <c r="AH72" s="2815"/>
      <c r="AI72" s="2815"/>
      <c r="AJ72" s="2815"/>
      <c r="AK72" s="2815"/>
      <c r="AL72" s="2815"/>
      <c r="AM72" s="2815"/>
      <c r="AN72" s="2815"/>
      <c r="AO72" s="2815"/>
      <c r="AP72" s="2815"/>
      <c r="AQ72" s="2815"/>
      <c r="AR72" s="2815"/>
      <c r="AS72" s="2815"/>
      <c r="AT72" s="2815"/>
      <c r="AU72" s="2815"/>
      <c r="AV72" s="2815"/>
      <c r="AW72" s="2815"/>
      <c r="AX72" s="2815"/>
      <c r="AY72" s="2815"/>
      <c r="AZ72" s="2815"/>
      <c r="BA72" s="2815"/>
      <c r="BB72" s="2815"/>
      <c r="BC72" s="2816"/>
      <c r="BD72" s="1531"/>
      <c r="BE72" s="1537"/>
    </row>
    <row r="73" spans="1:57" ht="15.75" customHeight="1">
      <c r="A73" s="1836"/>
      <c r="B73" s="2811"/>
      <c r="C73" s="2688"/>
      <c r="D73" s="2688"/>
      <c r="E73" s="2688"/>
      <c r="F73" s="2688"/>
      <c r="G73" s="2688"/>
      <c r="H73" s="2688"/>
      <c r="I73" s="2688"/>
      <c r="J73" s="2688"/>
      <c r="K73" s="2688"/>
      <c r="L73" s="2688"/>
      <c r="M73" s="2688"/>
      <c r="N73" s="2688"/>
      <c r="O73" s="2812"/>
      <c r="P73" s="2812"/>
      <c r="Q73" s="2812"/>
      <c r="R73" s="2812"/>
      <c r="S73" s="2812"/>
      <c r="T73" s="2812"/>
      <c r="U73" s="2812"/>
      <c r="V73" s="2812"/>
      <c r="W73" s="2812"/>
      <c r="X73" s="2812"/>
      <c r="Y73" s="2812"/>
      <c r="Z73" s="2812"/>
      <c r="AA73" s="2813"/>
      <c r="AB73" s="1531"/>
      <c r="AC73" s="2811"/>
      <c r="AD73" s="2688"/>
      <c r="AE73" s="2688"/>
      <c r="AF73" s="2688"/>
      <c r="AG73" s="2688"/>
      <c r="AH73" s="2688"/>
      <c r="AI73" s="2688"/>
      <c r="AJ73" s="2688"/>
      <c r="AK73" s="2688"/>
      <c r="AL73" s="2688"/>
      <c r="AM73" s="2688"/>
      <c r="AN73" s="2688"/>
      <c r="AO73" s="2688"/>
      <c r="AP73" s="2688"/>
      <c r="AQ73" s="2688"/>
      <c r="AR73" s="2688"/>
      <c r="AS73" s="2688"/>
      <c r="AT73" s="2688"/>
      <c r="AU73" s="2688"/>
      <c r="AV73" s="2688"/>
      <c r="AW73" s="2688"/>
      <c r="AX73" s="2688"/>
      <c r="AY73" s="2688"/>
      <c r="AZ73" s="2688"/>
      <c r="BA73" s="2688"/>
      <c r="BB73" s="2688"/>
      <c r="BC73" s="2817"/>
      <c r="BD73" s="1531"/>
      <c r="BE73" s="1537"/>
    </row>
    <row r="74" spans="1:57" ht="15.75" customHeight="1" thickBot="1">
      <c r="A74" s="1836"/>
      <c r="B74" s="2811"/>
      <c r="C74" s="2688"/>
      <c r="D74" s="2688"/>
      <c r="E74" s="2688"/>
      <c r="F74" s="2688"/>
      <c r="G74" s="2688"/>
      <c r="H74" s="2688"/>
      <c r="I74" s="2688"/>
      <c r="J74" s="2688"/>
      <c r="K74" s="2688"/>
      <c r="L74" s="2688"/>
      <c r="M74" s="2688"/>
      <c r="N74" s="2688"/>
      <c r="O74" s="2819"/>
      <c r="P74" s="2819"/>
      <c r="Q74" s="2819"/>
      <c r="R74" s="2819"/>
      <c r="S74" s="2819"/>
      <c r="T74" s="2819"/>
      <c r="U74" s="2819"/>
      <c r="V74" s="2819"/>
      <c r="W74" s="2819"/>
      <c r="X74" s="2819"/>
      <c r="Y74" s="2819"/>
      <c r="Z74" s="2819"/>
      <c r="AA74" s="2820"/>
      <c r="AB74" s="1531"/>
      <c r="AC74" s="2811"/>
      <c r="AD74" s="2688"/>
      <c r="AE74" s="2688"/>
      <c r="AF74" s="2688"/>
      <c r="AG74" s="2688"/>
      <c r="AH74" s="2688"/>
      <c r="AI74" s="2688"/>
      <c r="AJ74" s="2688"/>
      <c r="AK74" s="2688"/>
      <c r="AL74" s="2688"/>
      <c r="AM74" s="2688"/>
      <c r="AN74" s="2688"/>
      <c r="AO74" s="2688"/>
      <c r="AP74" s="2688"/>
      <c r="AQ74" s="2688"/>
      <c r="AR74" s="2688"/>
      <c r="AS74" s="2688"/>
      <c r="AT74" s="2688"/>
      <c r="AU74" s="2688"/>
      <c r="AV74" s="2688"/>
      <c r="AW74" s="2688"/>
      <c r="AX74" s="2688"/>
      <c r="AY74" s="2688"/>
      <c r="AZ74" s="2688"/>
      <c r="BA74" s="2688"/>
      <c r="BB74" s="2688"/>
      <c r="BC74" s="2817"/>
      <c r="BD74" s="1531"/>
      <c r="BE74" s="1537"/>
    </row>
    <row r="75" spans="1:57" ht="15.75" customHeight="1" thickTop="1" thickBot="1">
      <c r="A75" s="1836"/>
      <c r="B75" s="2821" t="s">
        <v>129</v>
      </c>
      <c r="C75" s="2822"/>
      <c r="D75" s="2822"/>
      <c r="E75" s="2822"/>
      <c r="F75" s="2822"/>
      <c r="G75" s="2822"/>
      <c r="H75" s="2822"/>
      <c r="I75" s="2822"/>
      <c r="J75" s="2822"/>
      <c r="K75" s="2822"/>
      <c r="L75" s="2822"/>
      <c r="M75" s="2822"/>
      <c r="N75" s="2822"/>
      <c r="O75" s="2823">
        <f>SUM(O70:AA74)</f>
        <v>100000</v>
      </c>
      <c r="P75" s="2824"/>
      <c r="Q75" s="2824"/>
      <c r="R75" s="2824"/>
      <c r="S75" s="2824"/>
      <c r="T75" s="2824"/>
      <c r="U75" s="2824"/>
      <c r="V75" s="2824"/>
      <c r="W75" s="2824"/>
      <c r="X75" s="2824"/>
      <c r="Y75" s="2824"/>
      <c r="Z75" s="2824"/>
      <c r="AA75" s="2825"/>
      <c r="AB75" s="1531"/>
      <c r="AC75" s="2811"/>
      <c r="AD75" s="2688"/>
      <c r="AE75" s="2688"/>
      <c r="AF75" s="2688"/>
      <c r="AG75" s="2688"/>
      <c r="AH75" s="2688"/>
      <c r="AI75" s="2688"/>
      <c r="AJ75" s="2688"/>
      <c r="AK75" s="2688"/>
      <c r="AL75" s="2688"/>
      <c r="AM75" s="2688"/>
      <c r="AN75" s="2688"/>
      <c r="AO75" s="2688"/>
      <c r="AP75" s="2688"/>
      <c r="AQ75" s="2688"/>
      <c r="AR75" s="2688"/>
      <c r="AS75" s="2688"/>
      <c r="AT75" s="2688"/>
      <c r="AU75" s="2688"/>
      <c r="AV75" s="2688"/>
      <c r="AW75" s="2688"/>
      <c r="AX75" s="2688"/>
      <c r="AY75" s="2688"/>
      <c r="AZ75" s="2688"/>
      <c r="BA75" s="2688"/>
      <c r="BB75" s="2688"/>
      <c r="BC75" s="281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11"/>
      <c r="AD76" s="2688"/>
      <c r="AE76" s="2688"/>
      <c r="AF76" s="2688"/>
      <c r="AG76" s="2688"/>
      <c r="AH76" s="2688"/>
      <c r="AI76" s="2688"/>
      <c r="AJ76" s="2688"/>
      <c r="AK76" s="2688"/>
      <c r="AL76" s="2688"/>
      <c r="AM76" s="2688"/>
      <c r="AN76" s="2688"/>
      <c r="AO76" s="2688"/>
      <c r="AP76" s="2688"/>
      <c r="AQ76" s="2688"/>
      <c r="AR76" s="2688"/>
      <c r="AS76" s="2688"/>
      <c r="AT76" s="2688"/>
      <c r="AU76" s="2688"/>
      <c r="AV76" s="2688"/>
      <c r="AW76" s="2688"/>
      <c r="AX76" s="2688"/>
      <c r="AY76" s="2688"/>
      <c r="AZ76" s="2688"/>
      <c r="BA76" s="2688"/>
      <c r="BB76" s="2688"/>
      <c r="BC76" s="2817"/>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18"/>
      <c r="AD77" s="2802"/>
      <c r="AE77" s="2802"/>
      <c r="AF77" s="2802"/>
      <c r="AG77" s="2802"/>
      <c r="AH77" s="2802"/>
      <c r="AI77" s="2802"/>
      <c r="AJ77" s="2802"/>
      <c r="AK77" s="2802"/>
      <c r="AL77" s="2802"/>
      <c r="AM77" s="2802"/>
      <c r="AN77" s="2802"/>
      <c r="AO77" s="2802"/>
      <c r="AP77" s="2802"/>
      <c r="AQ77" s="2802"/>
      <c r="AR77" s="2802"/>
      <c r="AS77" s="2802"/>
      <c r="AT77" s="2802"/>
      <c r="AU77" s="2802"/>
      <c r="AV77" s="2802"/>
      <c r="AW77" s="2802"/>
      <c r="AX77" s="2802"/>
      <c r="AY77" s="2802"/>
      <c r="AZ77" s="2802"/>
      <c r="BA77" s="2802"/>
      <c r="BB77" s="2802"/>
      <c r="BC77" s="280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700" t="s">
        <v>2104</v>
      </c>
      <c r="C79" s="2701"/>
      <c r="D79" s="2701"/>
      <c r="E79" s="2701"/>
      <c r="F79" s="2701"/>
      <c r="G79" s="2701"/>
      <c r="H79" s="2701"/>
      <c r="I79" s="2701"/>
      <c r="J79" s="2701"/>
      <c r="K79" s="2701"/>
      <c r="L79" s="2701"/>
      <c r="M79" s="2701"/>
      <c r="N79" s="2701"/>
      <c r="O79" s="2701"/>
      <c r="P79" s="2701"/>
      <c r="Q79" s="2701"/>
      <c r="R79" s="2701"/>
      <c r="S79" s="2701"/>
      <c r="T79" s="2701"/>
      <c r="U79" s="2701"/>
      <c r="V79" s="2701"/>
      <c r="W79" s="2701"/>
      <c r="X79" s="2701"/>
      <c r="Y79" s="2701"/>
      <c r="Z79" s="2701"/>
      <c r="AA79" s="2701"/>
      <c r="AB79" s="2809"/>
      <c r="AC79" s="2809"/>
      <c r="AD79" s="2809"/>
      <c r="AE79" s="2809"/>
      <c r="AF79" s="2809"/>
      <c r="AG79" s="2810"/>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700"/>
      <c r="C80" s="2701"/>
      <c r="D80" s="2701"/>
      <c r="E80" s="2701"/>
      <c r="F80" s="2701"/>
      <c r="G80" s="2701"/>
      <c r="H80" s="2702"/>
      <c r="I80" s="2795" t="s">
        <v>2105</v>
      </c>
      <c r="J80" s="2796"/>
      <c r="K80" s="2796"/>
      <c r="L80" s="2796"/>
      <c r="M80" s="2796"/>
      <c r="N80" s="2797"/>
      <c r="O80" s="2795" t="s">
        <v>2106</v>
      </c>
      <c r="P80" s="2796"/>
      <c r="Q80" s="2796"/>
      <c r="R80" s="2796"/>
      <c r="S80" s="2796"/>
      <c r="T80" s="2796"/>
      <c r="U80" s="2797"/>
      <c r="V80" s="2795" t="s">
        <v>2107</v>
      </c>
      <c r="W80" s="2796"/>
      <c r="X80" s="2796"/>
      <c r="Y80" s="2796"/>
      <c r="Z80" s="2796"/>
      <c r="AA80" s="2797"/>
      <c r="AB80" s="2795" t="s">
        <v>2108</v>
      </c>
      <c r="AC80" s="2796"/>
      <c r="AD80" s="2796"/>
      <c r="AE80" s="2796"/>
      <c r="AF80" s="2796"/>
      <c r="AG80" s="279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5" t="s">
        <v>2109</v>
      </c>
      <c r="C81" s="2796"/>
      <c r="D81" s="2796"/>
      <c r="E81" s="2796"/>
      <c r="F81" s="2796"/>
      <c r="G81" s="2796"/>
      <c r="H81" s="2797"/>
      <c r="I81" s="2798">
        <v>5</v>
      </c>
      <c r="J81" s="2793"/>
      <c r="K81" s="2793"/>
      <c r="L81" s="2793"/>
      <c r="M81" s="2793"/>
      <c r="N81" s="2793"/>
      <c r="O81" s="2793">
        <v>5</v>
      </c>
      <c r="P81" s="2793"/>
      <c r="Q81" s="2793"/>
      <c r="R81" s="2793"/>
      <c r="S81" s="2793"/>
      <c r="T81" s="2793"/>
      <c r="U81" s="2793"/>
      <c r="V81" s="2793">
        <v>50</v>
      </c>
      <c r="W81" s="2793"/>
      <c r="X81" s="2793"/>
      <c r="Y81" s="2793"/>
      <c r="Z81" s="2793"/>
      <c r="AA81" s="2794"/>
      <c r="AB81" s="2793">
        <v>0</v>
      </c>
      <c r="AC81" s="2793"/>
      <c r="AD81" s="2793"/>
      <c r="AE81" s="2793"/>
      <c r="AF81" s="2793"/>
      <c r="AG81" s="2794"/>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5" t="s">
        <v>2110</v>
      </c>
      <c r="C82" s="2796"/>
      <c r="D82" s="2796"/>
      <c r="E82" s="2796"/>
      <c r="F82" s="2796"/>
      <c r="G82" s="2796"/>
      <c r="H82" s="2797"/>
      <c r="I82" s="2801">
        <v>1305</v>
      </c>
      <c r="J82" s="2780"/>
      <c r="K82" s="2780"/>
      <c r="L82" s="2780"/>
      <c r="M82" s="2780"/>
      <c r="N82" s="2780"/>
      <c r="O82" s="2780">
        <v>953</v>
      </c>
      <c r="P82" s="2780"/>
      <c r="Q82" s="2780"/>
      <c r="R82" s="2780"/>
      <c r="S82" s="2780"/>
      <c r="T82" s="2780"/>
      <c r="U82" s="2780"/>
      <c r="V82" s="2780">
        <v>9000</v>
      </c>
      <c r="W82" s="2780"/>
      <c r="X82" s="2780"/>
      <c r="Y82" s="2780"/>
      <c r="Z82" s="2780"/>
      <c r="AA82" s="2781"/>
      <c r="AB82" s="2780">
        <v>0</v>
      </c>
      <c r="AC82" s="2780"/>
      <c r="AD82" s="2780"/>
      <c r="AE82" s="2780"/>
      <c r="AF82" s="2780"/>
      <c r="AG82" s="2781"/>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06" t="s">
        <v>2112</v>
      </c>
      <c r="C86" s="2707"/>
      <c r="D86" s="2707"/>
      <c r="E86" s="2707"/>
      <c r="F86" s="2707"/>
      <c r="G86" s="2707"/>
      <c r="H86" s="2707"/>
      <c r="I86" s="2707"/>
      <c r="J86" s="2707"/>
      <c r="K86" s="2707"/>
      <c r="L86" s="2707"/>
      <c r="M86" s="2707"/>
      <c r="N86" s="2707"/>
      <c r="O86" s="2707"/>
      <c r="P86" s="2707"/>
      <c r="Q86" s="2707"/>
      <c r="R86" s="2707"/>
      <c r="S86" s="2707"/>
      <c r="T86" s="2707"/>
      <c r="U86" s="2707"/>
      <c r="V86" s="2707"/>
      <c r="W86" s="2707"/>
      <c r="X86" s="2707"/>
      <c r="Y86" s="2707"/>
      <c r="Z86" s="2707"/>
      <c r="AA86" s="2707"/>
      <c r="AB86" s="2707"/>
      <c r="AC86" s="2707"/>
      <c r="AD86" s="2707"/>
      <c r="AE86" s="2707"/>
      <c r="AF86" s="2707"/>
      <c r="AG86" s="2707"/>
      <c r="AH86" s="270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700"/>
      <c r="C87" s="2701"/>
      <c r="D87" s="2701"/>
      <c r="E87" s="2701"/>
      <c r="F87" s="2701"/>
      <c r="G87" s="2701"/>
      <c r="H87" s="2702"/>
      <c r="I87" s="2795" t="s">
        <v>2105</v>
      </c>
      <c r="J87" s="2796"/>
      <c r="K87" s="2796"/>
      <c r="L87" s="2796"/>
      <c r="M87" s="2796"/>
      <c r="N87" s="2797"/>
      <c r="O87" s="2795" t="s">
        <v>2106</v>
      </c>
      <c r="P87" s="2796"/>
      <c r="Q87" s="2796"/>
      <c r="R87" s="2796"/>
      <c r="S87" s="2796"/>
      <c r="T87" s="2796"/>
      <c r="U87" s="2797"/>
      <c r="V87" s="2795" t="s">
        <v>2107</v>
      </c>
      <c r="W87" s="2796"/>
      <c r="X87" s="2796"/>
      <c r="Y87" s="2796"/>
      <c r="Z87" s="2796"/>
      <c r="AA87" s="2797"/>
      <c r="AB87" s="2804" t="s">
        <v>2108</v>
      </c>
      <c r="AC87" s="2805"/>
      <c r="AD87" s="2805"/>
      <c r="AE87" s="2805"/>
      <c r="AF87" s="2805"/>
      <c r="AG87" s="2805"/>
      <c r="AH87" s="280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5" t="s">
        <v>2109</v>
      </c>
      <c r="C88" s="2796"/>
      <c r="D88" s="2796"/>
      <c r="E88" s="2796"/>
      <c r="F88" s="2796"/>
      <c r="G88" s="2796"/>
      <c r="H88" s="2797"/>
      <c r="I88" s="2798"/>
      <c r="J88" s="2793"/>
      <c r="K88" s="2793"/>
      <c r="L88" s="2793"/>
      <c r="M88" s="2793"/>
      <c r="N88" s="2793"/>
      <c r="O88" s="2793"/>
      <c r="P88" s="2793"/>
      <c r="Q88" s="2793"/>
      <c r="R88" s="2793"/>
      <c r="S88" s="2793"/>
      <c r="T88" s="2793"/>
      <c r="U88" s="2793"/>
      <c r="V88" s="2793">
        <v>100</v>
      </c>
      <c r="W88" s="2793"/>
      <c r="X88" s="2793"/>
      <c r="Y88" s="2793"/>
      <c r="Z88" s="2793"/>
      <c r="AA88" s="2807"/>
      <c r="AB88" s="2799"/>
      <c r="AC88" s="2799"/>
      <c r="AD88" s="2799"/>
      <c r="AE88" s="2799"/>
      <c r="AF88" s="2799"/>
      <c r="AG88" s="2799"/>
      <c r="AH88" s="280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5" t="s">
        <v>2110</v>
      </c>
      <c r="C89" s="2796"/>
      <c r="D89" s="2796"/>
      <c r="E89" s="2796"/>
      <c r="F89" s="2796"/>
      <c r="G89" s="2796"/>
      <c r="H89" s="2797"/>
      <c r="I89" s="2801"/>
      <c r="J89" s="2780"/>
      <c r="K89" s="2780"/>
      <c r="L89" s="2780"/>
      <c r="M89" s="2780"/>
      <c r="N89" s="2780"/>
      <c r="O89" s="2780"/>
      <c r="P89" s="2780"/>
      <c r="Q89" s="2780"/>
      <c r="R89" s="2780"/>
      <c r="S89" s="2780"/>
      <c r="T89" s="2780"/>
      <c r="U89" s="2780"/>
      <c r="V89" s="2780">
        <v>16000</v>
      </c>
      <c r="W89" s="2780"/>
      <c r="X89" s="2780"/>
      <c r="Y89" s="2780"/>
      <c r="Z89" s="2780"/>
      <c r="AA89" s="2808"/>
      <c r="AB89" s="2802"/>
      <c r="AC89" s="2802"/>
      <c r="AD89" s="2802"/>
      <c r="AE89" s="2802"/>
      <c r="AF89" s="2802"/>
      <c r="AG89" s="2802"/>
      <c r="AH89" s="280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700" t="s">
        <v>2114</v>
      </c>
      <c r="C93" s="2701"/>
      <c r="D93" s="2701"/>
      <c r="E93" s="2701"/>
      <c r="F93" s="2701"/>
      <c r="G93" s="2701"/>
      <c r="H93" s="2701"/>
      <c r="I93" s="2701"/>
      <c r="J93" s="2701"/>
      <c r="K93" s="2701"/>
      <c r="L93" s="2701"/>
      <c r="M93" s="2701"/>
      <c r="N93" s="2701"/>
      <c r="O93" s="2701"/>
      <c r="P93" s="2701"/>
      <c r="Q93" s="2701"/>
      <c r="R93" s="2701"/>
      <c r="S93" s="2701"/>
      <c r="T93" s="2701"/>
      <c r="U93" s="2701"/>
      <c r="V93" s="2701"/>
      <c r="W93" s="2701"/>
      <c r="X93" s="2701"/>
      <c r="Y93" s="2701"/>
      <c r="Z93" s="2701"/>
      <c r="AA93" s="2701"/>
      <c r="AB93" s="2701"/>
      <c r="AC93" s="2701"/>
      <c r="AD93" s="2701"/>
      <c r="AE93" s="2701"/>
      <c r="AF93" s="2701"/>
      <c r="AG93" s="2701"/>
      <c r="AH93" s="270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700"/>
      <c r="C94" s="2701"/>
      <c r="D94" s="2701"/>
      <c r="E94" s="2701"/>
      <c r="F94" s="2701"/>
      <c r="G94" s="2701"/>
      <c r="H94" s="2702"/>
      <c r="I94" s="2795" t="s">
        <v>2105</v>
      </c>
      <c r="J94" s="2796"/>
      <c r="K94" s="2796"/>
      <c r="L94" s="2796"/>
      <c r="M94" s="2796"/>
      <c r="N94" s="2797"/>
      <c r="O94" s="2795" t="s">
        <v>2106</v>
      </c>
      <c r="P94" s="2796"/>
      <c r="Q94" s="2796"/>
      <c r="R94" s="2796"/>
      <c r="S94" s="2796"/>
      <c r="T94" s="2796"/>
      <c r="U94" s="2797"/>
      <c r="V94" s="2795" t="s">
        <v>2107</v>
      </c>
      <c r="W94" s="2796"/>
      <c r="X94" s="2796"/>
      <c r="Y94" s="2796"/>
      <c r="Z94" s="2796"/>
      <c r="AA94" s="2797"/>
      <c r="AB94" s="2804" t="s">
        <v>2108</v>
      </c>
      <c r="AC94" s="2805"/>
      <c r="AD94" s="2805"/>
      <c r="AE94" s="2805"/>
      <c r="AF94" s="2805"/>
      <c r="AG94" s="2805"/>
      <c r="AH94" s="2806"/>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5" t="s">
        <v>2109</v>
      </c>
      <c r="C95" s="2796"/>
      <c r="D95" s="2796"/>
      <c r="E95" s="2796"/>
      <c r="F95" s="2796"/>
      <c r="G95" s="2796"/>
      <c r="H95" s="2797"/>
      <c r="I95" s="2798">
        <v>4</v>
      </c>
      <c r="J95" s="2793"/>
      <c r="K95" s="2793"/>
      <c r="L95" s="2793"/>
      <c r="M95" s="2793"/>
      <c r="N95" s="2793"/>
      <c r="O95" s="2793">
        <v>7</v>
      </c>
      <c r="P95" s="2793"/>
      <c r="Q95" s="2793"/>
      <c r="R95" s="2793"/>
      <c r="S95" s="2793"/>
      <c r="T95" s="2793"/>
      <c r="U95" s="2793"/>
      <c r="V95" s="2793">
        <v>14</v>
      </c>
      <c r="W95" s="2793"/>
      <c r="X95" s="2793"/>
      <c r="Y95" s="2793"/>
      <c r="Z95" s="2793"/>
      <c r="AA95" s="2794"/>
      <c r="AB95" s="2799"/>
      <c r="AC95" s="2799"/>
      <c r="AD95" s="2799"/>
      <c r="AE95" s="2799"/>
      <c r="AF95" s="2799"/>
      <c r="AG95" s="2799"/>
      <c r="AH95" s="280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5" t="s">
        <v>2110</v>
      </c>
      <c r="C96" s="2796"/>
      <c r="D96" s="2796"/>
      <c r="E96" s="2796"/>
      <c r="F96" s="2796"/>
      <c r="G96" s="2796"/>
      <c r="H96" s="2797"/>
      <c r="I96" s="2801">
        <v>1400</v>
      </c>
      <c r="J96" s="2780"/>
      <c r="K96" s="2780"/>
      <c r="L96" s="2780"/>
      <c r="M96" s="2780"/>
      <c r="N96" s="2780"/>
      <c r="O96" s="2780">
        <v>1200</v>
      </c>
      <c r="P96" s="2780"/>
      <c r="Q96" s="2780"/>
      <c r="R96" s="2780"/>
      <c r="S96" s="2780"/>
      <c r="T96" s="2780"/>
      <c r="U96" s="2780"/>
      <c r="V96" s="2780">
        <v>3000</v>
      </c>
      <c r="W96" s="2780"/>
      <c r="X96" s="2780"/>
      <c r="Y96" s="2780"/>
      <c r="Z96" s="2780"/>
      <c r="AA96" s="2781"/>
      <c r="AB96" s="2802"/>
      <c r="AC96" s="2802"/>
      <c r="AD96" s="2802"/>
      <c r="AE96" s="2802"/>
      <c r="AF96" s="2802"/>
      <c r="AG96" s="2802"/>
      <c r="AH96" s="280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70" t="s">
        <v>2116</v>
      </c>
      <c r="C100" s="2771"/>
      <c r="D100" s="2771"/>
      <c r="E100" s="2771"/>
      <c r="F100" s="2771"/>
      <c r="G100" s="2771"/>
      <c r="H100" s="2771"/>
      <c r="I100" s="2771"/>
      <c r="J100" s="2771"/>
      <c r="K100" s="2771"/>
      <c r="L100" s="2771"/>
      <c r="M100" s="2771"/>
      <c r="N100" s="2771"/>
      <c r="O100" s="2771"/>
      <c r="P100" s="2771"/>
      <c r="Q100" s="2771"/>
      <c r="R100" s="2771"/>
      <c r="S100" s="2771"/>
      <c r="T100" s="2771"/>
      <c r="U100" s="2772"/>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73"/>
      <c r="C101" s="2774"/>
      <c r="D101" s="2774"/>
      <c r="E101" s="2774"/>
      <c r="F101" s="2774"/>
      <c r="G101" s="2774"/>
      <c r="H101" s="2775"/>
      <c r="I101" s="2776" t="s">
        <v>2106</v>
      </c>
      <c r="J101" s="2674"/>
      <c r="K101" s="2674"/>
      <c r="L101" s="2674"/>
      <c r="M101" s="2674"/>
      <c r="N101" s="2674"/>
      <c r="O101" s="2777"/>
      <c r="P101" s="2776" t="s">
        <v>2117</v>
      </c>
      <c r="Q101" s="2674"/>
      <c r="R101" s="2674"/>
      <c r="S101" s="2674"/>
      <c r="T101" s="2674"/>
      <c r="U101" s="2777"/>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78" t="s">
        <v>2109</v>
      </c>
      <c r="C102" s="2779"/>
      <c r="D102" s="2779"/>
      <c r="E102" s="2779"/>
      <c r="F102" s="2779"/>
      <c r="G102" s="2779"/>
      <c r="H102" s="2779"/>
      <c r="I102" s="2793">
        <v>5</v>
      </c>
      <c r="J102" s="2793"/>
      <c r="K102" s="2793"/>
      <c r="L102" s="2793"/>
      <c r="M102" s="2793"/>
      <c r="N102" s="2793"/>
      <c r="O102" s="2793"/>
      <c r="P102" s="2793">
        <v>50</v>
      </c>
      <c r="Q102" s="2793"/>
      <c r="R102" s="2793"/>
      <c r="S102" s="2793"/>
      <c r="T102" s="2793"/>
      <c r="U102" s="279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17" t="s">
        <v>2110</v>
      </c>
      <c r="C103" s="2618"/>
      <c r="D103" s="2618"/>
      <c r="E103" s="2618"/>
      <c r="F103" s="2618"/>
      <c r="G103" s="2618"/>
      <c r="H103" s="2618"/>
      <c r="I103" s="2780">
        <v>953</v>
      </c>
      <c r="J103" s="2780"/>
      <c r="K103" s="2780"/>
      <c r="L103" s="2780"/>
      <c r="M103" s="2780"/>
      <c r="N103" s="2780"/>
      <c r="O103" s="2780"/>
      <c r="P103" s="2780">
        <v>9000</v>
      </c>
      <c r="Q103" s="2780"/>
      <c r="R103" s="2780"/>
      <c r="S103" s="2780"/>
      <c r="T103" s="2780"/>
      <c r="U103" s="278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82" t="s">
        <v>2118</v>
      </c>
      <c r="C105" s="2783"/>
      <c r="D105" s="2783"/>
      <c r="E105" s="2783"/>
      <c r="F105" s="2783"/>
      <c r="G105" s="2783"/>
      <c r="H105" s="2783"/>
      <c r="I105" s="2783"/>
      <c r="J105" s="2783"/>
      <c r="K105" s="2783"/>
      <c r="L105" s="2783"/>
      <c r="M105" s="2783"/>
      <c r="N105" s="2783"/>
      <c r="O105" s="2783"/>
      <c r="P105" s="2783"/>
      <c r="Q105" s="2783"/>
      <c r="R105" s="2784"/>
      <c r="S105" s="2784"/>
      <c r="T105" s="2784"/>
      <c r="U105" s="2784"/>
      <c r="V105" s="2784"/>
      <c r="W105" s="2784"/>
      <c r="X105" s="2784"/>
      <c r="Y105" s="2784"/>
      <c r="Z105" s="2784"/>
      <c r="AA105" s="2784"/>
      <c r="AB105" s="2784"/>
      <c r="AC105" s="2784"/>
      <c r="AD105" s="2784"/>
      <c r="AE105" s="2784"/>
      <c r="AF105" s="2784"/>
      <c r="AG105" s="2785" t="s">
        <v>578</v>
      </c>
      <c r="AH105" s="2785"/>
      <c r="AI105" s="2785"/>
      <c r="AJ105" s="278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87" t="s">
        <v>2119</v>
      </c>
      <c r="C106" s="2788"/>
      <c r="D106" s="2788"/>
      <c r="E106" s="2788"/>
      <c r="F106" s="2788"/>
      <c r="G106" s="2788"/>
      <c r="H106" s="2788"/>
      <c r="I106" s="2788"/>
      <c r="J106" s="2788"/>
      <c r="K106" s="2788"/>
      <c r="L106" s="2788"/>
      <c r="M106" s="2788"/>
      <c r="N106" s="2788"/>
      <c r="O106" s="2788"/>
      <c r="P106" s="2788"/>
      <c r="Q106" s="2789"/>
      <c r="R106" s="2790" t="s">
        <v>2592</v>
      </c>
      <c r="S106" s="2791"/>
      <c r="T106" s="2791"/>
      <c r="U106" s="2791"/>
      <c r="V106" s="2791"/>
      <c r="W106" s="2791"/>
      <c r="X106" s="2791"/>
      <c r="Y106" s="2791"/>
      <c r="Z106" s="2791"/>
      <c r="AA106" s="2791"/>
      <c r="AB106" s="2791"/>
      <c r="AC106" s="2791"/>
      <c r="AD106" s="2791"/>
      <c r="AE106" s="2791"/>
      <c r="AF106" s="2791"/>
      <c r="AG106" s="2791"/>
      <c r="AH106" s="2791"/>
      <c r="AI106" s="2791"/>
      <c r="AJ106" s="2791"/>
      <c r="AK106" s="2791"/>
      <c r="AL106" s="2791"/>
      <c r="AM106" s="2791"/>
      <c r="AN106" s="2791"/>
      <c r="AO106" s="2791"/>
      <c r="AP106" s="2791"/>
      <c r="AQ106" s="2791"/>
      <c r="AR106" s="2791"/>
      <c r="AS106" s="2791"/>
      <c r="AT106" s="2791"/>
      <c r="AU106" s="2791"/>
      <c r="AV106" s="2791"/>
      <c r="AW106" s="2791"/>
      <c r="AX106" s="2792"/>
      <c r="AY106" s="1531"/>
      <c r="AZ106" s="1531"/>
      <c r="BA106" s="1531"/>
      <c r="BB106" s="1531"/>
      <c r="BC106" s="1531"/>
      <c r="BD106" s="1531"/>
      <c r="BE106" s="1537"/>
    </row>
    <row r="107" spans="1:57" ht="15.75" customHeight="1">
      <c r="A107" s="1836"/>
      <c r="B107" s="2761" t="s">
        <v>2597</v>
      </c>
      <c r="C107" s="2762"/>
      <c r="D107" s="2762"/>
      <c r="E107" s="2762"/>
      <c r="F107" s="2762"/>
      <c r="G107" s="2762"/>
      <c r="H107" s="2762"/>
      <c r="I107" s="2762"/>
      <c r="J107" s="2762"/>
      <c r="K107" s="2762"/>
      <c r="L107" s="2762"/>
      <c r="M107" s="2762"/>
      <c r="N107" s="2762"/>
      <c r="O107" s="2762"/>
      <c r="P107" s="2762"/>
      <c r="Q107" s="2762"/>
      <c r="R107" s="2762"/>
      <c r="S107" s="2762"/>
      <c r="T107" s="2762"/>
      <c r="U107" s="2762"/>
      <c r="V107" s="2762"/>
      <c r="W107" s="2762"/>
      <c r="X107" s="2762"/>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3"/>
      <c r="AY107" s="1531"/>
      <c r="AZ107" s="1531"/>
      <c r="BA107" s="1531"/>
      <c r="BB107" s="1531"/>
      <c r="BC107" s="1531"/>
      <c r="BD107" s="1531"/>
      <c r="BE107" s="1537"/>
    </row>
    <row r="108" spans="1:57" ht="15.75" customHeight="1">
      <c r="A108" s="1836"/>
      <c r="B108" s="2764"/>
      <c r="C108" s="2765"/>
      <c r="D108" s="2765"/>
      <c r="E108" s="2765"/>
      <c r="F108" s="2765"/>
      <c r="G108" s="2765"/>
      <c r="H108" s="2765"/>
      <c r="I108" s="2765"/>
      <c r="J108" s="2765"/>
      <c r="K108" s="2765"/>
      <c r="L108" s="2765"/>
      <c r="M108" s="2765"/>
      <c r="N108" s="2765"/>
      <c r="O108" s="2765"/>
      <c r="P108" s="2765"/>
      <c r="Q108" s="2765"/>
      <c r="R108" s="2765"/>
      <c r="S108" s="2765"/>
      <c r="T108" s="2765"/>
      <c r="U108" s="2765"/>
      <c r="V108" s="2765"/>
      <c r="W108" s="2765"/>
      <c r="X108" s="2765"/>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6"/>
      <c r="AY108" s="1531"/>
      <c r="AZ108" s="1531"/>
      <c r="BA108" s="1531"/>
      <c r="BB108" s="1531"/>
      <c r="BC108" s="1531"/>
      <c r="BD108" s="1531"/>
      <c r="BE108" s="1537"/>
    </row>
    <row r="109" spans="1:57" ht="15.75" customHeight="1">
      <c r="A109" s="1836"/>
      <c r="B109" s="2764"/>
      <c r="C109" s="2765"/>
      <c r="D109" s="2765"/>
      <c r="E109" s="2765"/>
      <c r="F109" s="2765"/>
      <c r="G109" s="2765"/>
      <c r="H109" s="2765"/>
      <c r="I109" s="2765"/>
      <c r="J109" s="2765"/>
      <c r="K109" s="2765"/>
      <c r="L109" s="2765"/>
      <c r="M109" s="2765"/>
      <c r="N109" s="2765"/>
      <c r="O109" s="2765"/>
      <c r="P109" s="2765"/>
      <c r="Q109" s="2765"/>
      <c r="R109" s="2765"/>
      <c r="S109" s="2765"/>
      <c r="T109" s="2765"/>
      <c r="U109" s="2765"/>
      <c r="V109" s="2765"/>
      <c r="W109" s="2765"/>
      <c r="X109" s="2765"/>
      <c r="Y109" s="2765"/>
      <c r="Z109" s="2765"/>
      <c r="AA109" s="2765"/>
      <c r="AB109" s="2765"/>
      <c r="AC109" s="2765"/>
      <c r="AD109" s="2765"/>
      <c r="AE109" s="2765"/>
      <c r="AF109" s="2765"/>
      <c r="AG109" s="2765"/>
      <c r="AH109" s="2765"/>
      <c r="AI109" s="2765"/>
      <c r="AJ109" s="2765"/>
      <c r="AK109" s="2765"/>
      <c r="AL109" s="2765"/>
      <c r="AM109" s="2765"/>
      <c r="AN109" s="2765"/>
      <c r="AO109" s="2765"/>
      <c r="AP109" s="2765"/>
      <c r="AQ109" s="2765"/>
      <c r="AR109" s="2765"/>
      <c r="AS109" s="2765"/>
      <c r="AT109" s="2765"/>
      <c r="AU109" s="2765"/>
      <c r="AV109" s="2765"/>
      <c r="AW109" s="2765"/>
      <c r="AX109" s="2766"/>
      <c r="AY109" s="1531"/>
      <c r="AZ109" s="1531"/>
      <c r="BA109" s="1531"/>
      <c r="BB109" s="1531"/>
      <c r="BC109" s="1531"/>
      <c r="BD109" s="1531"/>
      <c r="BE109" s="1537"/>
    </row>
    <row r="110" spans="1:57" ht="15.75" customHeight="1">
      <c r="A110" s="1836"/>
      <c r="B110" s="2764"/>
      <c r="C110" s="2765"/>
      <c r="D110" s="2765"/>
      <c r="E110" s="2765"/>
      <c r="F110" s="2765"/>
      <c r="G110" s="2765"/>
      <c r="H110" s="2765"/>
      <c r="I110" s="2765"/>
      <c r="J110" s="2765"/>
      <c r="K110" s="2765"/>
      <c r="L110" s="2765"/>
      <c r="M110" s="2765"/>
      <c r="N110" s="2765"/>
      <c r="O110" s="2765"/>
      <c r="P110" s="2765"/>
      <c r="Q110" s="2765"/>
      <c r="R110" s="2765"/>
      <c r="S110" s="2765"/>
      <c r="T110" s="2765"/>
      <c r="U110" s="2765"/>
      <c r="V110" s="2765"/>
      <c r="W110" s="2765"/>
      <c r="X110" s="2765"/>
      <c r="Y110" s="2765"/>
      <c r="Z110" s="2765"/>
      <c r="AA110" s="2765"/>
      <c r="AB110" s="2765"/>
      <c r="AC110" s="2765"/>
      <c r="AD110" s="2765"/>
      <c r="AE110" s="2765"/>
      <c r="AF110" s="2765"/>
      <c r="AG110" s="2765"/>
      <c r="AH110" s="2765"/>
      <c r="AI110" s="2765"/>
      <c r="AJ110" s="2765"/>
      <c r="AK110" s="2765"/>
      <c r="AL110" s="2765"/>
      <c r="AM110" s="2765"/>
      <c r="AN110" s="2765"/>
      <c r="AO110" s="2765"/>
      <c r="AP110" s="2765"/>
      <c r="AQ110" s="2765"/>
      <c r="AR110" s="2765"/>
      <c r="AS110" s="2765"/>
      <c r="AT110" s="2765"/>
      <c r="AU110" s="2765"/>
      <c r="AV110" s="2765"/>
      <c r="AW110" s="2765"/>
      <c r="AX110" s="2766"/>
      <c r="AY110" s="1531"/>
      <c r="AZ110" s="1531"/>
      <c r="BA110" s="1531"/>
      <c r="BB110" s="1531"/>
      <c r="BC110" s="1531"/>
      <c r="BD110" s="1531"/>
      <c r="BE110" s="1537"/>
    </row>
    <row r="111" spans="1:57" ht="15.75" customHeight="1">
      <c r="A111" s="1836"/>
      <c r="B111" s="2764"/>
      <c r="C111" s="2765"/>
      <c r="D111" s="2765"/>
      <c r="E111" s="2765"/>
      <c r="F111" s="2765"/>
      <c r="G111" s="2765"/>
      <c r="H111" s="2765"/>
      <c r="I111" s="2765"/>
      <c r="J111" s="2765"/>
      <c r="K111" s="2765"/>
      <c r="L111" s="2765"/>
      <c r="M111" s="2765"/>
      <c r="N111" s="2765"/>
      <c r="O111" s="2765"/>
      <c r="P111" s="2765"/>
      <c r="Q111" s="2765"/>
      <c r="R111" s="2765"/>
      <c r="S111" s="2765"/>
      <c r="T111" s="2765"/>
      <c r="U111" s="2765"/>
      <c r="V111" s="2765"/>
      <c r="W111" s="2765"/>
      <c r="X111" s="2765"/>
      <c r="Y111" s="2765"/>
      <c r="Z111" s="2765"/>
      <c r="AA111" s="2765"/>
      <c r="AB111" s="2765"/>
      <c r="AC111" s="2765"/>
      <c r="AD111" s="2765"/>
      <c r="AE111" s="2765"/>
      <c r="AF111" s="2765"/>
      <c r="AG111" s="2765"/>
      <c r="AH111" s="2765"/>
      <c r="AI111" s="2765"/>
      <c r="AJ111" s="2765"/>
      <c r="AK111" s="2765"/>
      <c r="AL111" s="2765"/>
      <c r="AM111" s="2765"/>
      <c r="AN111" s="2765"/>
      <c r="AO111" s="2765"/>
      <c r="AP111" s="2765"/>
      <c r="AQ111" s="2765"/>
      <c r="AR111" s="2765"/>
      <c r="AS111" s="2765"/>
      <c r="AT111" s="2765"/>
      <c r="AU111" s="2765"/>
      <c r="AV111" s="2765"/>
      <c r="AW111" s="2765"/>
      <c r="AX111" s="2766"/>
      <c r="AY111" s="1531"/>
      <c r="AZ111" s="1531"/>
      <c r="BA111" s="1531"/>
      <c r="BB111" s="1531"/>
      <c r="BC111" s="1531"/>
      <c r="BD111" s="1531"/>
      <c r="BE111" s="1537"/>
    </row>
    <row r="112" spans="1:57" ht="15.75" customHeight="1">
      <c r="A112" s="1836"/>
      <c r="B112" s="2764"/>
      <c r="C112" s="2765"/>
      <c r="D112" s="2765"/>
      <c r="E112" s="2765"/>
      <c r="F112" s="2765"/>
      <c r="G112" s="2765"/>
      <c r="H112" s="2765"/>
      <c r="I112" s="2765"/>
      <c r="J112" s="2765"/>
      <c r="K112" s="2765"/>
      <c r="L112" s="2765"/>
      <c r="M112" s="2765"/>
      <c r="N112" s="2765"/>
      <c r="O112" s="2765"/>
      <c r="P112" s="2765"/>
      <c r="Q112" s="2765"/>
      <c r="R112" s="2765"/>
      <c r="S112" s="2765"/>
      <c r="T112" s="2765"/>
      <c r="U112" s="2765"/>
      <c r="V112" s="2765"/>
      <c r="W112" s="2765"/>
      <c r="X112" s="2765"/>
      <c r="Y112" s="2765"/>
      <c r="Z112" s="2765"/>
      <c r="AA112" s="2765"/>
      <c r="AB112" s="2765"/>
      <c r="AC112" s="2765"/>
      <c r="AD112" s="2765"/>
      <c r="AE112" s="2765"/>
      <c r="AF112" s="2765"/>
      <c r="AG112" s="2765"/>
      <c r="AH112" s="2765"/>
      <c r="AI112" s="2765"/>
      <c r="AJ112" s="2765"/>
      <c r="AK112" s="2765"/>
      <c r="AL112" s="2765"/>
      <c r="AM112" s="2765"/>
      <c r="AN112" s="2765"/>
      <c r="AO112" s="2765"/>
      <c r="AP112" s="2765"/>
      <c r="AQ112" s="2765"/>
      <c r="AR112" s="2765"/>
      <c r="AS112" s="2765"/>
      <c r="AT112" s="2765"/>
      <c r="AU112" s="2765"/>
      <c r="AV112" s="2765"/>
      <c r="AW112" s="2765"/>
      <c r="AX112" s="2766"/>
      <c r="AY112" s="1531"/>
      <c r="AZ112" s="1531"/>
      <c r="BA112" s="1531"/>
      <c r="BB112" s="1531"/>
      <c r="BC112" s="1531"/>
      <c r="BD112" s="1531"/>
      <c r="BE112" s="1537"/>
    </row>
    <row r="113" spans="1:57" ht="15.75" customHeight="1">
      <c r="A113" s="1836"/>
      <c r="B113" s="2764"/>
      <c r="C113" s="2765"/>
      <c r="D113" s="2765"/>
      <c r="E113" s="2765"/>
      <c r="F113" s="2765"/>
      <c r="G113" s="2765"/>
      <c r="H113" s="2765"/>
      <c r="I113" s="2765"/>
      <c r="J113" s="2765"/>
      <c r="K113" s="2765"/>
      <c r="L113" s="2765"/>
      <c r="M113" s="2765"/>
      <c r="N113" s="2765"/>
      <c r="O113" s="2765"/>
      <c r="P113" s="2765"/>
      <c r="Q113" s="2765"/>
      <c r="R113" s="2765"/>
      <c r="S113" s="2765"/>
      <c r="T113" s="2765"/>
      <c r="U113" s="2765"/>
      <c r="V113" s="2765"/>
      <c r="W113" s="2765"/>
      <c r="X113" s="2765"/>
      <c r="Y113" s="2765"/>
      <c r="Z113" s="2765"/>
      <c r="AA113" s="2765"/>
      <c r="AB113" s="2765"/>
      <c r="AC113" s="2765"/>
      <c r="AD113" s="2765"/>
      <c r="AE113" s="2765"/>
      <c r="AF113" s="2765"/>
      <c r="AG113" s="2765"/>
      <c r="AH113" s="2765"/>
      <c r="AI113" s="2765"/>
      <c r="AJ113" s="2765"/>
      <c r="AK113" s="2765"/>
      <c r="AL113" s="2765"/>
      <c r="AM113" s="2765"/>
      <c r="AN113" s="2765"/>
      <c r="AO113" s="2765"/>
      <c r="AP113" s="2765"/>
      <c r="AQ113" s="2765"/>
      <c r="AR113" s="2765"/>
      <c r="AS113" s="2765"/>
      <c r="AT113" s="2765"/>
      <c r="AU113" s="2765"/>
      <c r="AV113" s="2765"/>
      <c r="AW113" s="2765"/>
      <c r="AX113" s="2766"/>
      <c r="AY113" s="1531"/>
      <c r="AZ113" s="1531"/>
      <c r="BA113" s="1531"/>
      <c r="BB113" s="1531"/>
      <c r="BC113" s="1531"/>
      <c r="BD113" s="1531"/>
      <c r="BE113" s="1537"/>
    </row>
    <row r="114" spans="1:57" ht="15.75" customHeight="1">
      <c r="A114" s="1836"/>
      <c r="B114" s="2764"/>
      <c r="C114" s="2765"/>
      <c r="D114" s="2765"/>
      <c r="E114" s="2765"/>
      <c r="F114" s="2765"/>
      <c r="G114" s="2765"/>
      <c r="H114" s="2765"/>
      <c r="I114" s="2765"/>
      <c r="J114" s="2765"/>
      <c r="K114" s="2765"/>
      <c r="L114" s="2765"/>
      <c r="M114" s="2765"/>
      <c r="N114" s="2765"/>
      <c r="O114" s="2765"/>
      <c r="P114" s="2765"/>
      <c r="Q114" s="2765"/>
      <c r="R114" s="2765"/>
      <c r="S114" s="2765"/>
      <c r="T114" s="2765"/>
      <c r="U114" s="2765"/>
      <c r="V114" s="2765"/>
      <c r="W114" s="2765"/>
      <c r="X114" s="2765"/>
      <c r="Y114" s="2765"/>
      <c r="Z114" s="2765"/>
      <c r="AA114" s="2765"/>
      <c r="AB114" s="2765"/>
      <c r="AC114" s="2765"/>
      <c r="AD114" s="2765"/>
      <c r="AE114" s="2765"/>
      <c r="AF114" s="2765"/>
      <c r="AG114" s="2765"/>
      <c r="AH114" s="2765"/>
      <c r="AI114" s="2765"/>
      <c r="AJ114" s="2765"/>
      <c r="AK114" s="2765"/>
      <c r="AL114" s="2765"/>
      <c r="AM114" s="2765"/>
      <c r="AN114" s="2765"/>
      <c r="AO114" s="2765"/>
      <c r="AP114" s="2765"/>
      <c r="AQ114" s="2765"/>
      <c r="AR114" s="2765"/>
      <c r="AS114" s="2765"/>
      <c r="AT114" s="2765"/>
      <c r="AU114" s="2765"/>
      <c r="AV114" s="2765"/>
      <c r="AW114" s="2765"/>
      <c r="AX114" s="2766"/>
      <c r="AY114" s="1531"/>
      <c r="AZ114" s="1531"/>
      <c r="BA114" s="1531"/>
      <c r="BB114" s="1531"/>
      <c r="BC114" s="1531"/>
      <c r="BD114" s="1531"/>
      <c r="BE114" s="1537"/>
    </row>
    <row r="115" spans="1:57" ht="15.75" customHeight="1">
      <c r="A115" s="1836"/>
      <c r="B115" s="2764"/>
      <c r="C115" s="2765"/>
      <c r="D115" s="2765"/>
      <c r="E115" s="2765"/>
      <c r="F115" s="2765"/>
      <c r="G115" s="2765"/>
      <c r="H115" s="2765"/>
      <c r="I115" s="2765"/>
      <c r="J115" s="2765"/>
      <c r="K115" s="2765"/>
      <c r="L115" s="2765"/>
      <c r="M115" s="2765"/>
      <c r="N115" s="2765"/>
      <c r="O115" s="2765"/>
      <c r="P115" s="2765"/>
      <c r="Q115" s="2765"/>
      <c r="R115" s="2765"/>
      <c r="S115" s="2765"/>
      <c r="T115" s="2765"/>
      <c r="U115" s="2765"/>
      <c r="V115" s="2765"/>
      <c r="W115" s="2765"/>
      <c r="X115" s="2765"/>
      <c r="Y115" s="2765"/>
      <c r="Z115" s="2765"/>
      <c r="AA115" s="2765"/>
      <c r="AB115" s="2765"/>
      <c r="AC115" s="2765"/>
      <c r="AD115" s="2765"/>
      <c r="AE115" s="2765"/>
      <c r="AF115" s="2765"/>
      <c r="AG115" s="2765"/>
      <c r="AH115" s="2765"/>
      <c r="AI115" s="2765"/>
      <c r="AJ115" s="2765"/>
      <c r="AK115" s="2765"/>
      <c r="AL115" s="2765"/>
      <c r="AM115" s="2765"/>
      <c r="AN115" s="2765"/>
      <c r="AO115" s="2765"/>
      <c r="AP115" s="2765"/>
      <c r="AQ115" s="2765"/>
      <c r="AR115" s="2765"/>
      <c r="AS115" s="2765"/>
      <c r="AT115" s="2765"/>
      <c r="AU115" s="2765"/>
      <c r="AV115" s="2765"/>
      <c r="AW115" s="2765"/>
      <c r="AX115" s="2766"/>
      <c r="AY115" s="1531"/>
      <c r="AZ115" s="1531"/>
      <c r="BA115" s="1531"/>
      <c r="BB115" s="1531"/>
      <c r="BC115" s="1531"/>
      <c r="BD115" s="1531"/>
      <c r="BE115" s="1537"/>
    </row>
    <row r="116" spans="1:57" ht="15.75" customHeight="1" thickBot="1">
      <c r="A116" s="1836"/>
      <c r="B116" s="2767"/>
      <c r="C116" s="2768"/>
      <c r="D116" s="2768"/>
      <c r="E116" s="2768"/>
      <c r="F116" s="2768"/>
      <c r="G116" s="2768"/>
      <c r="H116" s="2768"/>
      <c r="I116" s="2768"/>
      <c r="J116" s="2768"/>
      <c r="K116" s="2768"/>
      <c r="L116" s="2768"/>
      <c r="M116" s="2768"/>
      <c r="N116" s="2768"/>
      <c r="O116" s="2768"/>
      <c r="P116" s="2768"/>
      <c r="Q116" s="2768"/>
      <c r="R116" s="2768"/>
      <c r="S116" s="2768"/>
      <c r="T116" s="2768"/>
      <c r="U116" s="2768"/>
      <c r="V116" s="2768"/>
      <c r="W116" s="2768"/>
      <c r="X116" s="2768"/>
      <c r="Y116" s="2768"/>
      <c r="Z116" s="2768"/>
      <c r="AA116" s="2768"/>
      <c r="AB116" s="2768"/>
      <c r="AC116" s="2768"/>
      <c r="AD116" s="2768"/>
      <c r="AE116" s="2768"/>
      <c r="AF116" s="2768"/>
      <c r="AG116" s="2768"/>
      <c r="AH116" s="2768"/>
      <c r="AI116" s="2768"/>
      <c r="AJ116" s="2768"/>
      <c r="AK116" s="2768"/>
      <c r="AL116" s="2768"/>
      <c r="AM116" s="2768"/>
      <c r="AN116" s="2768"/>
      <c r="AO116" s="2768"/>
      <c r="AP116" s="2768"/>
      <c r="AQ116" s="2768"/>
      <c r="AR116" s="2768"/>
      <c r="AS116" s="2768"/>
      <c r="AT116" s="2768"/>
      <c r="AU116" s="2768"/>
      <c r="AV116" s="2768"/>
      <c r="AW116" s="2768"/>
      <c r="AX116" s="2769"/>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2120</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70" t="s">
        <v>2121</v>
      </c>
      <c r="C120" s="2771"/>
      <c r="D120" s="2771"/>
      <c r="E120" s="2771"/>
      <c r="F120" s="2771"/>
      <c r="G120" s="2771"/>
      <c r="H120" s="2771"/>
      <c r="I120" s="2771"/>
      <c r="J120" s="2771"/>
      <c r="K120" s="2771"/>
      <c r="L120" s="2771"/>
      <c r="M120" s="2771"/>
      <c r="N120" s="2771"/>
      <c r="O120" s="2771"/>
      <c r="P120" s="2771"/>
      <c r="Q120" s="2771"/>
      <c r="R120" s="2771"/>
      <c r="S120" s="2771"/>
      <c r="T120" s="2771"/>
      <c r="U120" s="2772"/>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73"/>
      <c r="C121" s="2774"/>
      <c r="D121" s="2774"/>
      <c r="E121" s="2774"/>
      <c r="F121" s="2774"/>
      <c r="G121" s="2774"/>
      <c r="H121" s="2775"/>
      <c r="I121" s="2776" t="s">
        <v>2106</v>
      </c>
      <c r="J121" s="2674"/>
      <c r="K121" s="2674"/>
      <c r="L121" s="2674"/>
      <c r="M121" s="2674"/>
      <c r="N121" s="2674"/>
      <c r="O121" s="2777"/>
      <c r="P121" s="2776" t="s">
        <v>2117</v>
      </c>
      <c r="Q121" s="2674"/>
      <c r="R121" s="2674"/>
      <c r="S121" s="2674"/>
      <c r="T121" s="2674"/>
      <c r="U121" s="2777"/>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78" t="s">
        <v>2109</v>
      </c>
      <c r="C122" s="2779"/>
      <c r="D122" s="2779"/>
      <c r="E122" s="2779"/>
      <c r="F122" s="2779"/>
      <c r="G122" s="2779"/>
      <c r="H122" s="2779"/>
      <c r="I122" s="2747">
        <v>6</v>
      </c>
      <c r="J122" s="2748"/>
      <c r="K122" s="2748"/>
      <c r="L122" s="2748"/>
      <c r="M122" s="2748"/>
      <c r="N122" s="2748"/>
      <c r="O122" s="2749"/>
      <c r="P122" s="2747">
        <v>13</v>
      </c>
      <c r="Q122" s="2748"/>
      <c r="R122" s="2748"/>
      <c r="S122" s="2748"/>
      <c r="T122" s="2748"/>
      <c r="U122" s="2749"/>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17" t="s">
        <v>2110</v>
      </c>
      <c r="C123" s="2618"/>
      <c r="D123" s="2618"/>
      <c r="E123" s="2618"/>
      <c r="F123" s="2618"/>
      <c r="G123" s="2618"/>
      <c r="H123" s="2618"/>
      <c r="I123" s="2747">
        <v>752</v>
      </c>
      <c r="J123" s="2748"/>
      <c r="K123" s="2748"/>
      <c r="L123" s="2748"/>
      <c r="M123" s="2748"/>
      <c r="N123" s="2748"/>
      <c r="O123" s="2749"/>
      <c r="P123" s="2747">
        <v>1578</v>
      </c>
      <c r="Q123" s="2748"/>
      <c r="R123" s="2748"/>
      <c r="S123" s="2748"/>
      <c r="T123" s="2748"/>
      <c r="U123" s="2749"/>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50" t="s">
        <v>2122</v>
      </c>
      <c r="D125" s="2751"/>
      <c r="E125" s="2751"/>
      <c r="F125" s="2751"/>
      <c r="G125" s="2751"/>
      <c r="H125" s="2751"/>
      <c r="I125" s="2751"/>
      <c r="J125" s="2751"/>
      <c r="K125" s="2751"/>
      <c r="L125" s="2751"/>
      <c r="M125" s="2751"/>
      <c r="N125" s="2751"/>
      <c r="O125" s="2751"/>
      <c r="P125" s="2751"/>
      <c r="Q125" s="2751"/>
      <c r="R125" s="2751"/>
      <c r="S125" s="2751"/>
      <c r="T125" s="2751"/>
      <c r="U125" s="2751"/>
      <c r="V125" s="2751"/>
      <c r="W125" s="2751"/>
      <c r="X125" s="2751"/>
      <c r="Y125" s="2751"/>
      <c r="Z125" s="2751"/>
      <c r="AA125" s="2751"/>
      <c r="AB125" s="2751"/>
      <c r="AC125" s="2751"/>
      <c r="AD125" s="2751"/>
      <c r="AE125" s="2751"/>
      <c r="AF125" s="2751"/>
      <c r="AG125" s="275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65" t="s">
        <v>2123</v>
      </c>
      <c r="D126" s="2666"/>
      <c r="E126" s="2666"/>
      <c r="F126" s="2666"/>
      <c r="G126" s="2666"/>
      <c r="H126" s="2666"/>
      <c r="I126" s="2666"/>
      <c r="J126" s="2666"/>
      <c r="K126" s="2666"/>
      <c r="L126" s="2666"/>
      <c r="M126" s="2666"/>
      <c r="N126" s="2666"/>
      <c r="O126" s="2666"/>
      <c r="P126" s="2753"/>
      <c r="Q126" s="2754" t="s">
        <v>2124</v>
      </c>
      <c r="R126" s="2666"/>
      <c r="S126" s="2753"/>
      <c r="T126" s="2755" t="s">
        <v>2125</v>
      </c>
      <c r="U126" s="2756"/>
      <c r="V126" s="2756"/>
      <c r="W126" s="2756"/>
      <c r="X126" s="2756"/>
      <c r="Y126" s="2756"/>
      <c r="Z126" s="2756"/>
      <c r="AA126" s="2757"/>
      <c r="AB126" s="2758" t="s">
        <v>2126</v>
      </c>
      <c r="AC126" s="2759"/>
      <c r="AD126" s="2759"/>
      <c r="AE126" s="2759"/>
      <c r="AF126" s="2759"/>
      <c r="AG126" s="2760"/>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56" t="s">
        <v>2127</v>
      </c>
      <c r="D127" s="2657"/>
      <c r="E127" s="2657"/>
      <c r="F127" s="2657"/>
      <c r="G127" s="2657"/>
      <c r="H127" s="2657"/>
      <c r="I127" s="2657"/>
      <c r="J127" s="2657"/>
      <c r="K127" s="2657"/>
      <c r="L127" s="2657"/>
      <c r="M127" s="2657"/>
      <c r="N127" s="2657"/>
      <c r="O127" s="2657"/>
      <c r="P127" s="2670"/>
      <c r="Q127" s="2737">
        <v>5</v>
      </c>
      <c r="R127" s="2738"/>
      <c r="S127" s="2739"/>
      <c r="T127" s="2731">
        <v>44204</v>
      </c>
      <c r="U127" s="2732"/>
      <c r="V127" s="2732"/>
      <c r="W127" s="2732"/>
      <c r="X127" s="2732"/>
      <c r="Y127" s="2732"/>
      <c r="Z127" s="2732"/>
      <c r="AA127" s="2732"/>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56" t="s">
        <v>431</v>
      </c>
      <c r="D128" s="2657"/>
      <c r="E128" s="2657"/>
      <c r="F128" s="2657"/>
      <c r="G128" s="2657"/>
      <c r="H128" s="2657"/>
      <c r="I128" s="2657"/>
      <c r="J128" s="2657"/>
      <c r="K128" s="2657"/>
      <c r="L128" s="2657"/>
      <c r="M128" s="2657"/>
      <c r="N128" s="2657"/>
      <c r="O128" s="2657"/>
      <c r="P128" s="2670"/>
      <c r="Q128" s="2737">
        <v>3</v>
      </c>
      <c r="R128" s="2738"/>
      <c r="S128" s="2739"/>
      <c r="T128" s="2745" t="str">
        <f>_xlfn.CONCAT(Application!AC515,"/", Application!AH515)</f>
        <v>N/A/</v>
      </c>
      <c r="U128" s="2746"/>
      <c r="V128" s="2746"/>
      <c r="W128" s="2746"/>
      <c r="X128" s="2746"/>
      <c r="Y128" s="2746"/>
      <c r="Z128" s="2746"/>
      <c r="AA128" s="274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56" t="s">
        <v>2128</v>
      </c>
      <c r="D129" s="2657"/>
      <c r="E129" s="2657"/>
      <c r="F129" s="2657"/>
      <c r="G129" s="2657"/>
      <c r="H129" s="2657"/>
      <c r="I129" s="2657"/>
      <c r="J129" s="2657"/>
      <c r="K129" s="2657"/>
      <c r="L129" s="2657"/>
      <c r="M129" s="2657"/>
      <c r="N129" s="2657"/>
      <c r="O129" s="2657"/>
      <c r="P129" s="2670"/>
      <c r="Q129" s="2737">
        <v>55</v>
      </c>
      <c r="R129" s="2738"/>
      <c r="S129" s="2739"/>
      <c r="T129" s="2740">
        <v>44204</v>
      </c>
      <c r="U129" s="2741"/>
      <c r="V129" s="2741"/>
      <c r="W129" s="2741"/>
      <c r="X129" s="2741"/>
      <c r="Y129" s="2741"/>
      <c r="Z129" s="2741"/>
      <c r="AA129" s="274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56" t="s">
        <v>2129</v>
      </c>
      <c r="D130" s="2657"/>
      <c r="E130" s="2657"/>
      <c r="F130" s="2657"/>
      <c r="G130" s="2657"/>
      <c r="H130" s="2657"/>
      <c r="I130" s="2657"/>
      <c r="J130" s="2657"/>
      <c r="K130" s="2657"/>
      <c r="L130" s="2657"/>
      <c r="M130" s="2657"/>
      <c r="N130" s="2657"/>
      <c r="O130" s="2657"/>
      <c r="P130" s="2670"/>
      <c r="Q130" s="2742"/>
      <c r="R130" s="2743"/>
      <c r="S130" s="2744"/>
      <c r="T130" s="2731"/>
      <c r="U130" s="2732"/>
      <c r="V130" s="2732"/>
      <c r="W130" s="2732"/>
      <c r="X130" s="2732"/>
      <c r="Y130" s="2732"/>
      <c r="Z130" s="2732"/>
      <c r="AA130" s="2732"/>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56" t="s">
        <v>2084</v>
      </c>
      <c r="D131" s="2657"/>
      <c r="E131" s="2657"/>
      <c r="F131" s="2657"/>
      <c r="G131" s="2657"/>
      <c r="H131" s="2657"/>
      <c r="I131" s="2657"/>
      <c r="J131" s="2657"/>
      <c r="K131" s="2657"/>
      <c r="L131" s="2657"/>
      <c r="M131" s="2657"/>
      <c r="N131" s="2657"/>
      <c r="O131" s="2657"/>
      <c r="P131" s="2670"/>
      <c r="Q131" s="2728">
        <f>Application!AG400</f>
        <v>0</v>
      </c>
      <c r="R131" s="2729"/>
      <c r="S131" s="2730"/>
      <c r="T131" s="2731"/>
      <c r="U131" s="2732"/>
      <c r="V131" s="2732"/>
      <c r="W131" s="2732"/>
      <c r="X131" s="2732"/>
      <c r="Y131" s="2732"/>
      <c r="Z131" s="2732"/>
      <c r="AA131" s="2733"/>
      <c r="AB131" s="2734">
        <f>Application!AE401</f>
        <v>0</v>
      </c>
      <c r="AC131" s="2735"/>
      <c r="AD131" s="2735"/>
      <c r="AE131" s="2735"/>
      <c r="AF131" s="2735"/>
      <c r="AG131" s="273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16" t="s">
        <v>174</v>
      </c>
      <c r="D132" s="2717"/>
      <c r="E132" s="2717"/>
      <c r="F132" s="2647" t="s">
        <v>2130</v>
      </c>
      <c r="G132" s="2647"/>
      <c r="H132" s="2647"/>
      <c r="I132" s="2647"/>
      <c r="J132" s="2647"/>
      <c r="K132" s="2647"/>
      <c r="L132" s="2647"/>
      <c r="M132" s="2647"/>
      <c r="N132" s="2647"/>
      <c r="O132" s="2647"/>
      <c r="P132" s="2647"/>
      <c r="Q132" s="2718">
        <v>55</v>
      </c>
      <c r="R132" s="2718"/>
      <c r="S132" s="2718"/>
      <c r="T132" s="2719"/>
      <c r="U132" s="2719"/>
      <c r="V132" s="2719"/>
      <c r="W132" s="2719"/>
      <c r="X132" s="2719"/>
      <c r="Y132" s="2719"/>
      <c r="Z132" s="2719"/>
      <c r="AA132" s="2719"/>
      <c r="AB132" s="2720"/>
      <c r="AC132" s="2721"/>
      <c r="AD132" s="2721"/>
      <c r="AE132" s="2721"/>
      <c r="AF132" s="2721"/>
      <c r="AG132" s="2722"/>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16" t="s">
        <v>174</v>
      </c>
      <c r="D133" s="2717"/>
      <c r="E133" s="2717"/>
      <c r="F133" s="2647" t="s">
        <v>2130</v>
      </c>
      <c r="G133" s="2647"/>
      <c r="H133" s="2647"/>
      <c r="I133" s="2647"/>
      <c r="J133" s="2647"/>
      <c r="K133" s="2647"/>
      <c r="L133" s="2647"/>
      <c r="M133" s="2647"/>
      <c r="N133" s="2647"/>
      <c r="O133" s="2647"/>
      <c r="P133" s="2647"/>
      <c r="Q133" s="2718">
        <v>55</v>
      </c>
      <c r="R133" s="2718"/>
      <c r="S133" s="2718"/>
      <c r="T133" s="2719"/>
      <c r="U133" s="2719"/>
      <c r="V133" s="2719"/>
      <c r="W133" s="2719"/>
      <c r="X133" s="2719"/>
      <c r="Y133" s="2719"/>
      <c r="Z133" s="2719"/>
      <c r="AA133" s="2719"/>
      <c r="AB133" s="2720"/>
      <c r="AC133" s="2721"/>
      <c r="AD133" s="2721"/>
      <c r="AE133" s="2721"/>
      <c r="AF133" s="2721"/>
      <c r="AG133" s="272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16" t="s">
        <v>174</v>
      </c>
      <c r="D134" s="2717"/>
      <c r="E134" s="2717"/>
      <c r="F134" s="2632" t="s">
        <v>2130</v>
      </c>
      <c r="G134" s="2632"/>
      <c r="H134" s="2632"/>
      <c r="I134" s="2632"/>
      <c r="J134" s="2632"/>
      <c r="K134" s="2632"/>
      <c r="L134" s="2632"/>
      <c r="M134" s="2632"/>
      <c r="N134" s="2632"/>
      <c r="O134" s="2632"/>
      <c r="P134" s="2632"/>
      <c r="Q134" s="2723">
        <v>55</v>
      </c>
      <c r="R134" s="2723"/>
      <c r="S134" s="2723"/>
      <c r="T134" s="2724"/>
      <c r="U134" s="2724"/>
      <c r="V134" s="2724"/>
      <c r="W134" s="2724"/>
      <c r="X134" s="2724"/>
      <c r="Y134" s="2724"/>
      <c r="Z134" s="2724"/>
      <c r="AA134" s="2724"/>
      <c r="AB134" s="2725"/>
      <c r="AC134" s="2726"/>
      <c r="AD134" s="2726"/>
      <c r="AE134" s="2726"/>
      <c r="AF134" s="2726"/>
      <c r="AG134" s="272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700" t="s">
        <v>2131</v>
      </c>
      <c r="D136" s="2701"/>
      <c r="E136" s="2701"/>
      <c r="F136" s="2701"/>
      <c r="G136" s="2701"/>
      <c r="H136" s="2701"/>
      <c r="I136" s="2701"/>
      <c r="J136" s="2701"/>
      <c r="K136" s="2701"/>
      <c r="L136" s="2701"/>
      <c r="M136" s="2701"/>
      <c r="N136" s="2702"/>
      <c r="O136" s="1531"/>
      <c r="P136" s="2703" t="s">
        <v>2132</v>
      </c>
      <c r="Q136" s="2704"/>
      <c r="R136" s="2704"/>
      <c r="S136" s="2704"/>
      <c r="T136" s="2704"/>
      <c r="U136" s="2704"/>
      <c r="V136" s="2704"/>
      <c r="W136" s="2704"/>
      <c r="X136" s="2704"/>
      <c r="Y136" s="2704"/>
      <c r="Z136" s="2704"/>
      <c r="AA136" s="2704"/>
      <c r="AB136" s="2704"/>
      <c r="AC136" s="2704"/>
      <c r="AD136" s="2704"/>
      <c r="AE136" s="2704"/>
      <c r="AF136" s="2704"/>
      <c r="AG136" s="2704"/>
      <c r="AH136" s="2704"/>
      <c r="AI136" s="2704"/>
      <c r="AJ136" s="2704"/>
      <c r="AK136" s="2704"/>
      <c r="AL136" s="2704"/>
      <c r="AM136" s="2704"/>
      <c r="AN136" s="2704"/>
      <c r="AO136" s="2705"/>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06" t="s">
        <v>2133</v>
      </c>
      <c r="D137" s="2707"/>
      <c r="E137" s="2707"/>
      <c r="F137" s="2707"/>
      <c r="G137" s="2707"/>
      <c r="H137" s="2708"/>
      <c r="I137" s="2706" t="s">
        <v>2134</v>
      </c>
      <c r="J137" s="2707"/>
      <c r="K137" s="2707"/>
      <c r="L137" s="2707"/>
      <c r="M137" s="2707"/>
      <c r="N137" s="2708"/>
      <c r="O137" s="1531"/>
      <c r="P137" s="2709" t="s">
        <v>626</v>
      </c>
      <c r="Q137" s="2710"/>
      <c r="R137" s="2710"/>
      <c r="S137" s="2710"/>
      <c r="T137" s="2710"/>
      <c r="U137" s="2710"/>
      <c r="V137" s="2710"/>
      <c r="W137" s="2710"/>
      <c r="X137" s="2710"/>
      <c r="Y137" s="2710"/>
      <c r="Z137" s="2710"/>
      <c r="AA137" s="2710"/>
      <c r="AB137" s="2710"/>
      <c r="AC137" s="2710"/>
      <c r="AD137" s="2710"/>
      <c r="AE137" s="2710"/>
      <c r="AF137" s="2710"/>
      <c r="AG137" s="2710"/>
      <c r="AH137" s="2710"/>
      <c r="AI137" s="2710"/>
      <c r="AJ137" s="2710"/>
      <c r="AK137" s="2710"/>
      <c r="AL137" s="2710"/>
      <c r="AM137" s="2710"/>
      <c r="AN137" s="2710"/>
      <c r="AO137" s="271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88"/>
      <c r="D138" s="2688"/>
      <c r="E138" s="2688"/>
      <c r="F138" s="2688"/>
      <c r="G138" s="2688"/>
      <c r="H138" s="2688"/>
      <c r="I138" s="2689"/>
      <c r="J138" s="2689"/>
      <c r="K138" s="2689"/>
      <c r="L138" s="2689"/>
      <c r="M138" s="2689"/>
      <c r="N138" s="2689"/>
      <c r="O138" s="1531"/>
      <c r="P138" s="2712"/>
      <c r="Q138" s="2710"/>
      <c r="R138" s="2710"/>
      <c r="S138" s="2710"/>
      <c r="T138" s="2710"/>
      <c r="U138" s="2710"/>
      <c r="V138" s="2710"/>
      <c r="W138" s="2710"/>
      <c r="X138" s="2710"/>
      <c r="Y138" s="2710"/>
      <c r="Z138" s="2710"/>
      <c r="AA138" s="2710"/>
      <c r="AB138" s="2710"/>
      <c r="AC138" s="2710"/>
      <c r="AD138" s="2710"/>
      <c r="AE138" s="2710"/>
      <c r="AF138" s="2710"/>
      <c r="AG138" s="2710"/>
      <c r="AH138" s="2710"/>
      <c r="AI138" s="2710"/>
      <c r="AJ138" s="2710"/>
      <c r="AK138" s="2710"/>
      <c r="AL138" s="2710"/>
      <c r="AM138" s="2710"/>
      <c r="AN138" s="2710"/>
      <c r="AO138" s="271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88"/>
      <c r="D139" s="2688"/>
      <c r="E139" s="2688"/>
      <c r="F139" s="2688"/>
      <c r="G139" s="2688"/>
      <c r="H139" s="2688"/>
      <c r="I139" s="2689"/>
      <c r="J139" s="2689"/>
      <c r="K139" s="2689"/>
      <c r="L139" s="2689"/>
      <c r="M139" s="2689"/>
      <c r="N139" s="2689"/>
      <c r="O139" s="1531"/>
      <c r="P139" s="2712"/>
      <c r="Q139" s="2710"/>
      <c r="R139" s="2710"/>
      <c r="S139" s="2710"/>
      <c r="T139" s="2710"/>
      <c r="U139" s="2710"/>
      <c r="V139" s="2710"/>
      <c r="W139" s="2710"/>
      <c r="X139" s="2710"/>
      <c r="Y139" s="2710"/>
      <c r="Z139" s="2710"/>
      <c r="AA139" s="2710"/>
      <c r="AB139" s="2710"/>
      <c r="AC139" s="2710"/>
      <c r="AD139" s="2710"/>
      <c r="AE139" s="2710"/>
      <c r="AF139" s="2710"/>
      <c r="AG139" s="2710"/>
      <c r="AH139" s="2710"/>
      <c r="AI139" s="2710"/>
      <c r="AJ139" s="2710"/>
      <c r="AK139" s="2710"/>
      <c r="AL139" s="2710"/>
      <c r="AM139" s="2710"/>
      <c r="AN139" s="2710"/>
      <c r="AO139" s="271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88"/>
      <c r="D140" s="2688"/>
      <c r="E140" s="2688"/>
      <c r="F140" s="2688"/>
      <c r="G140" s="2688"/>
      <c r="H140" s="2688"/>
      <c r="I140" s="2689"/>
      <c r="J140" s="2689"/>
      <c r="K140" s="2689"/>
      <c r="L140" s="2689"/>
      <c r="M140" s="2689"/>
      <c r="N140" s="2689"/>
      <c r="O140" s="1531"/>
      <c r="P140" s="2712"/>
      <c r="Q140" s="2710"/>
      <c r="R140" s="2710"/>
      <c r="S140" s="2710"/>
      <c r="T140" s="2710"/>
      <c r="U140" s="2710"/>
      <c r="V140" s="2710"/>
      <c r="W140" s="2710"/>
      <c r="X140" s="2710"/>
      <c r="Y140" s="2710"/>
      <c r="Z140" s="2710"/>
      <c r="AA140" s="2710"/>
      <c r="AB140" s="2710"/>
      <c r="AC140" s="2710"/>
      <c r="AD140" s="2710"/>
      <c r="AE140" s="2710"/>
      <c r="AF140" s="2710"/>
      <c r="AG140" s="2710"/>
      <c r="AH140" s="2710"/>
      <c r="AI140" s="2710"/>
      <c r="AJ140" s="2710"/>
      <c r="AK140" s="2710"/>
      <c r="AL140" s="2710"/>
      <c r="AM140" s="2710"/>
      <c r="AN140" s="2710"/>
      <c r="AO140" s="271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88"/>
      <c r="D141" s="2688"/>
      <c r="E141" s="2688"/>
      <c r="F141" s="2688"/>
      <c r="G141" s="2688"/>
      <c r="H141" s="2688"/>
      <c r="I141" s="2689"/>
      <c r="J141" s="2689"/>
      <c r="K141" s="2689"/>
      <c r="L141" s="2689"/>
      <c r="M141" s="2689"/>
      <c r="N141" s="2689"/>
      <c r="O141" s="1531"/>
      <c r="P141" s="2712"/>
      <c r="Q141" s="2710"/>
      <c r="R141" s="2710"/>
      <c r="S141" s="2710"/>
      <c r="T141" s="2710"/>
      <c r="U141" s="2710"/>
      <c r="V141" s="2710"/>
      <c r="W141" s="2710"/>
      <c r="X141" s="2710"/>
      <c r="Y141" s="2710"/>
      <c r="Z141" s="2710"/>
      <c r="AA141" s="2710"/>
      <c r="AB141" s="2710"/>
      <c r="AC141" s="2710"/>
      <c r="AD141" s="2710"/>
      <c r="AE141" s="2710"/>
      <c r="AF141" s="2710"/>
      <c r="AG141" s="2710"/>
      <c r="AH141" s="2710"/>
      <c r="AI141" s="2710"/>
      <c r="AJ141" s="2710"/>
      <c r="AK141" s="2710"/>
      <c r="AL141" s="2710"/>
      <c r="AM141" s="2710"/>
      <c r="AN141" s="2710"/>
      <c r="AO141" s="271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88"/>
      <c r="D142" s="2688"/>
      <c r="E142" s="2688"/>
      <c r="F142" s="2688"/>
      <c r="G142" s="2688"/>
      <c r="H142" s="2688"/>
      <c r="I142" s="2689"/>
      <c r="J142" s="2689"/>
      <c r="K142" s="2689"/>
      <c r="L142" s="2689"/>
      <c r="M142" s="2689"/>
      <c r="N142" s="2689"/>
      <c r="O142" s="1531"/>
      <c r="P142" s="2712"/>
      <c r="Q142" s="2710"/>
      <c r="R142" s="2710"/>
      <c r="S142" s="2710"/>
      <c r="T142" s="2710"/>
      <c r="U142" s="2710"/>
      <c r="V142" s="2710"/>
      <c r="W142" s="2710"/>
      <c r="X142" s="2710"/>
      <c r="Y142" s="2710"/>
      <c r="Z142" s="2710"/>
      <c r="AA142" s="2710"/>
      <c r="AB142" s="2710"/>
      <c r="AC142" s="2710"/>
      <c r="AD142" s="2710"/>
      <c r="AE142" s="2710"/>
      <c r="AF142" s="2710"/>
      <c r="AG142" s="2710"/>
      <c r="AH142" s="2710"/>
      <c r="AI142" s="2710"/>
      <c r="AJ142" s="2710"/>
      <c r="AK142" s="2710"/>
      <c r="AL142" s="2710"/>
      <c r="AM142" s="2710"/>
      <c r="AN142" s="2710"/>
      <c r="AO142" s="271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88"/>
      <c r="D143" s="2688"/>
      <c r="E143" s="2688"/>
      <c r="F143" s="2688"/>
      <c r="G143" s="2688"/>
      <c r="H143" s="2688"/>
      <c r="I143" s="2689"/>
      <c r="J143" s="2689"/>
      <c r="K143" s="2689"/>
      <c r="L143" s="2689"/>
      <c r="M143" s="2689"/>
      <c r="N143" s="2689"/>
      <c r="O143" s="1531"/>
      <c r="P143" s="2712"/>
      <c r="Q143" s="2710"/>
      <c r="R143" s="2710"/>
      <c r="S143" s="2710"/>
      <c r="T143" s="2710"/>
      <c r="U143" s="2710"/>
      <c r="V143" s="2710"/>
      <c r="W143" s="2710"/>
      <c r="X143" s="2710"/>
      <c r="Y143" s="2710"/>
      <c r="Z143" s="2710"/>
      <c r="AA143" s="2710"/>
      <c r="AB143" s="2710"/>
      <c r="AC143" s="2710"/>
      <c r="AD143" s="2710"/>
      <c r="AE143" s="2710"/>
      <c r="AF143" s="2710"/>
      <c r="AG143" s="2710"/>
      <c r="AH143" s="2710"/>
      <c r="AI143" s="2710"/>
      <c r="AJ143" s="2710"/>
      <c r="AK143" s="2710"/>
      <c r="AL143" s="2710"/>
      <c r="AM143" s="2710"/>
      <c r="AN143" s="2710"/>
      <c r="AO143" s="271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88"/>
      <c r="D144" s="2688"/>
      <c r="E144" s="2688"/>
      <c r="F144" s="2688"/>
      <c r="G144" s="2688"/>
      <c r="H144" s="2688"/>
      <c r="I144" s="2689"/>
      <c r="J144" s="2689"/>
      <c r="K144" s="2689"/>
      <c r="L144" s="2689"/>
      <c r="M144" s="2689"/>
      <c r="N144" s="2689"/>
      <c r="O144" s="1531"/>
      <c r="P144" s="2713"/>
      <c r="Q144" s="2714"/>
      <c r="R144" s="2714"/>
      <c r="S144" s="2714"/>
      <c r="T144" s="2714"/>
      <c r="U144" s="2714"/>
      <c r="V144" s="2714"/>
      <c r="W144" s="2714"/>
      <c r="X144" s="2714"/>
      <c r="Y144" s="2714"/>
      <c r="Z144" s="2714"/>
      <c r="AA144" s="2714"/>
      <c r="AB144" s="2714"/>
      <c r="AC144" s="2714"/>
      <c r="AD144" s="2714"/>
      <c r="AE144" s="2714"/>
      <c r="AF144" s="2714"/>
      <c r="AG144" s="2714"/>
      <c r="AH144" s="2714"/>
      <c r="AI144" s="2714"/>
      <c r="AJ144" s="2714"/>
      <c r="AK144" s="2714"/>
      <c r="AL144" s="2714"/>
      <c r="AM144" s="2714"/>
      <c r="AN144" s="2714"/>
      <c r="AO144" s="271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2135</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2136</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90"/>
      <c r="D149" s="2691"/>
      <c r="E149" s="2691"/>
      <c r="F149" s="2691"/>
      <c r="G149" s="2691"/>
      <c r="H149" s="2691"/>
      <c r="I149" s="2691"/>
      <c r="J149" s="2691"/>
      <c r="K149" s="2691"/>
      <c r="L149" s="2691"/>
      <c r="M149" s="2692"/>
      <c r="N149" s="2693" t="s">
        <v>2137</v>
      </c>
      <c r="O149" s="2693"/>
      <c r="P149" s="2693"/>
      <c r="Q149" s="2693"/>
      <c r="R149" s="2693"/>
      <c r="S149" s="2693"/>
      <c r="T149" s="2694"/>
      <c r="U149" s="2695" t="s">
        <v>2123</v>
      </c>
      <c r="V149" s="2696"/>
      <c r="W149" s="2696"/>
      <c r="X149" s="2696"/>
      <c r="Y149" s="2696"/>
      <c r="Z149" s="2696"/>
      <c r="AA149" s="2696"/>
      <c r="AB149" s="2696"/>
      <c r="AC149" s="2696"/>
      <c r="AD149" s="2696"/>
      <c r="AE149" s="2697"/>
      <c r="AF149" s="1531"/>
      <c r="AG149" s="1531"/>
      <c r="AH149" s="2698" t="s">
        <v>2138</v>
      </c>
      <c r="AI149" s="2699"/>
      <c r="AJ149" s="2699"/>
      <c r="AK149" s="2699"/>
      <c r="AL149" s="2699"/>
      <c r="AM149" s="2699"/>
      <c r="AN149" s="2699"/>
      <c r="AO149" s="2699"/>
      <c r="AP149" s="2699"/>
      <c r="AQ149" s="2699"/>
      <c r="AR149" s="2699"/>
      <c r="AS149" s="2671">
        <v>4391703</v>
      </c>
      <c r="AT149" s="2672"/>
      <c r="AU149" s="2672"/>
      <c r="AV149" s="2672"/>
      <c r="AW149" s="2672"/>
      <c r="AX149" s="1531"/>
      <c r="AY149" s="1531"/>
      <c r="AZ149" s="1531"/>
      <c r="BA149" s="1531"/>
      <c r="BB149" s="1531"/>
      <c r="BC149" s="1531"/>
      <c r="BD149" s="1531"/>
      <c r="BE149" s="1537"/>
    </row>
    <row r="150" spans="1:57" ht="15.75" customHeight="1">
      <c r="A150" s="1836"/>
      <c r="B150" s="1531"/>
      <c r="C150" s="2665" t="s">
        <v>2139</v>
      </c>
      <c r="D150" s="2666"/>
      <c r="E150" s="2666"/>
      <c r="F150" s="2666"/>
      <c r="G150" s="2666"/>
      <c r="H150" s="2666"/>
      <c r="I150" s="2666"/>
      <c r="J150" s="2666"/>
      <c r="K150" s="2666"/>
      <c r="L150" s="2666"/>
      <c r="M150" s="2667"/>
      <c r="N150" s="2668">
        <f>'Sources and Uses Budget'!B104</f>
        <v>7532710</v>
      </c>
      <c r="O150" s="2668"/>
      <c r="P150" s="2668"/>
      <c r="Q150" s="2668"/>
      <c r="R150" s="2668"/>
      <c r="S150" s="2668"/>
      <c r="T150" s="2669"/>
      <c r="U150" s="2678"/>
      <c r="V150" s="2679"/>
      <c r="W150" s="2679"/>
      <c r="X150" s="2679"/>
      <c r="Y150" s="2679"/>
      <c r="Z150" s="2679"/>
      <c r="AA150" s="2679"/>
      <c r="AB150" s="2679"/>
      <c r="AC150" s="2679"/>
      <c r="AD150" s="2679"/>
      <c r="AE150" s="2685"/>
      <c r="AF150" s="1531"/>
      <c r="AG150" s="1531"/>
      <c r="AH150" s="2686" t="s">
        <v>2140</v>
      </c>
      <c r="AI150" s="2687"/>
      <c r="AJ150" s="2687"/>
      <c r="AK150" s="2687"/>
      <c r="AL150" s="2687"/>
      <c r="AM150" s="2687"/>
      <c r="AN150" s="2687"/>
      <c r="AO150" s="2687"/>
      <c r="AP150" s="2687"/>
      <c r="AQ150" s="2687"/>
      <c r="AR150" s="2687"/>
      <c r="AS150" s="2671"/>
      <c r="AT150" s="2672"/>
      <c r="AU150" s="2672"/>
      <c r="AV150" s="2672"/>
      <c r="AW150" s="2672"/>
      <c r="AX150" s="1531"/>
      <c r="AY150" s="1531"/>
      <c r="AZ150" s="1531"/>
      <c r="BA150" s="1531"/>
      <c r="BB150" s="1531"/>
      <c r="BC150" s="1531"/>
      <c r="BD150" s="1531"/>
      <c r="BE150" s="1537"/>
    </row>
    <row r="151" spans="1:57" ht="15.75" customHeight="1">
      <c r="A151" s="1836"/>
      <c r="B151" s="1531"/>
      <c r="C151" s="2665" t="s">
        <v>2141</v>
      </c>
      <c r="D151" s="2666"/>
      <c r="E151" s="2666"/>
      <c r="F151" s="2666"/>
      <c r="G151" s="2666"/>
      <c r="H151" s="2666"/>
      <c r="I151" s="2666"/>
      <c r="J151" s="2666"/>
      <c r="K151" s="2666"/>
      <c r="L151" s="2666"/>
      <c r="M151" s="2667"/>
      <c r="N151" s="2668">
        <f>N150/J29</f>
        <v>39029.585492227976</v>
      </c>
      <c r="O151" s="2668"/>
      <c r="P151" s="2668"/>
      <c r="Q151" s="2668"/>
      <c r="R151" s="2668"/>
      <c r="S151" s="2668"/>
      <c r="T151" s="2669"/>
      <c r="U151" s="1555"/>
      <c r="V151" s="1555"/>
      <c r="W151" s="1555"/>
      <c r="X151" s="1555"/>
      <c r="Y151" s="1555"/>
      <c r="Z151" s="1555"/>
      <c r="AA151" s="1555"/>
      <c r="AB151" s="1555"/>
      <c r="AC151" s="1555"/>
      <c r="AD151" s="1555"/>
      <c r="AE151" s="1556"/>
      <c r="AF151" s="1531"/>
      <c r="AG151" s="1531"/>
      <c r="AH151" s="2656" t="s">
        <v>2142</v>
      </c>
      <c r="AI151" s="2657"/>
      <c r="AJ151" s="2657"/>
      <c r="AK151" s="2657"/>
      <c r="AL151" s="2657"/>
      <c r="AM151" s="2657"/>
      <c r="AN151" s="2657"/>
      <c r="AO151" s="2657"/>
      <c r="AP151" s="2657"/>
      <c r="AQ151" s="2657"/>
      <c r="AR151" s="2670"/>
      <c r="AS151" s="2671">
        <v>3141007</v>
      </c>
      <c r="AT151" s="2672"/>
      <c r="AU151" s="2672"/>
      <c r="AV151" s="2672"/>
      <c r="AW151" s="2672"/>
      <c r="AX151" s="1531"/>
      <c r="AY151" s="1531"/>
      <c r="AZ151" s="1531"/>
      <c r="BA151" s="1531"/>
      <c r="BB151" s="1531"/>
      <c r="BC151" s="1531"/>
      <c r="BD151" s="1531"/>
      <c r="BE151" s="1537"/>
    </row>
    <row r="152" spans="1:57" ht="15.75" customHeight="1">
      <c r="A152" s="1836"/>
      <c r="B152" s="1531"/>
      <c r="C152" s="2673" t="s">
        <v>2143</v>
      </c>
      <c r="D152" s="2674"/>
      <c r="E152" s="2674"/>
      <c r="F152" s="2674"/>
      <c r="G152" s="2674"/>
      <c r="H152" s="2674"/>
      <c r="I152" s="2674"/>
      <c r="J152" s="2674"/>
      <c r="K152" s="2674"/>
      <c r="L152" s="2674"/>
      <c r="M152" s="2675"/>
      <c r="N152" s="2676"/>
      <c r="O152" s="2676"/>
      <c r="P152" s="2676"/>
      <c r="Q152" s="2676"/>
      <c r="R152" s="2676"/>
      <c r="S152" s="2676"/>
      <c r="T152" s="2677"/>
      <c r="U152" s="2654"/>
      <c r="V152" s="2655"/>
      <c r="W152" s="2655"/>
      <c r="X152" s="2655"/>
      <c r="Y152" s="2655"/>
      <c r="Z152" s="2655"/>
      <c r="AA152" s="2655"/>
      <c r="AB152" s="2655"/>
      <c r="AC152" s="2655"/>
      <c r="AD152" s="2655"/>
      <c r="AE152" s="2684"/>
      <c r="AF152" s="1531"/>
      <c r="AG152" s="1531"/>
      <c r="AH152" s="2678"/>
      <c r="AI152" s="2679"/>
      <c r="AJ152" s="2679"/>
      <c r="AK152" s="2679"/>
      <c r="AL152" s="2679"/>
      <c r="AM152" s="2679"/>
      <c r="AN152" s="2679"/>
      <c r="AO152" s="2679"/>
      <c r="AP152" s="2679"/>
      <c r="AQ152" s="2679"/>
      <c r="AR152" s="2680"/>
      <c r="AS152" s="2681"/>
      <c r="AT152" s="2682"/>
      <c r="AU152" s="2682"/>
      <c r="AV152" s="2682"/>
      <c r="AW152" s="2683"/>
      <c r="AX152" s="1531"/>
      <c r="AY152" s="1531"/>
      <c r="AZ152" s="1531"/>
      <c r="BA152" s="1531"/>
      <c r="BB152" s="1531"/>
      <c r="BC152" s="1531"/>
      <c r="BD152" s="1531"/>
      <c r="BE152" s="1537"/>
    </row>
    <row r="153" spans="1:57" ht="15.75" customHeight="1" thickBot="1">
      <c r="A153" s="1836"/>
      <c r="B153" s="1531"/>
      <c r="C153" s="2656" t="s">
        <v>2144</v>
      </c>
      <c r="D153" s="2657"/>
      <c r="E153" s="2657"/>
      <c r="F153" s="2657"/>
      <c r="G153" s="2657"/>
      <c r="H153" s="2657"/>
      <c r="I153" s="2657"/>
      <c r="J153" s="2657"/>
      <c r="K153" s="2657"/>
      <c r="L153" s="2657"/>
      <c r="M153" s="2658"/>
      <c r="N153" s="2659">
        <f>SUM('Sources and Uses Budget'!B85:B86)</f>
        <v>5378844</v>
      </c>
      <c r="O153" s="2659"/>
      <c r="P153" s="2659"/>
      <c r="Q153" s="2659"/>
      <c r="R153" s="2659"/>
      <c r="S153" s="2659"/>
      <c r="T153" s="2660"/>
      <c r="U153" s="2651"/>
      <c r="V153" s="2652"/>
      <c r="W153" s="2652"/>
      <c r="X153" s="2652"/>
      <c r="Y153" s="2652"/>
      <c r="Z153" s="2652"/>
      <c r="AA153" s="2652"/>
      <c r="AB153" s="2652"/>
      <c r="AC153" s="2652"/>
      <c r="AD153" s="2652"/>
      <c r="AE153" s="2653"/>
      <c r="AF153" s="1531"/>
      <c r="AG153" s="1531"/>
      <c r="AH153" s="2661" t="s">
        <v>2145</v>
      </c>
      <c r="AI153" s="2662"/>
      <c r="AJ153" s="2662"/>
      <c r="AK153" s="2662"/>
      <c r="AL153" s="2662"/>
      <c r="AM153" s="2662"/>
      <c r="AN153" s="2662"/>
      <c r="AO153" s="2662"/>
      <c r="AP153" s="2662"/>
      <c r="AQ153" s="2662"/>
      <c r="AR153" s="2662"/>
      <c r="AS153" s="2663">
        <f>SUM(AS149:AW151)</f>
        <v>7532710</v>
      </c>
      <c r="AT153" s="2664"/>
      <c r="AU153" s="2664"/>
      <c r="AV153" s="2664"/>
      <c r="AW153" s="2664"/>
      <c r="AX153" s="1531"/>
      <c r="AY153" s="1531"/>
      <c r="AZ153" s="1531"/>
      <c r="BA153" s="1531"/>
      <c r="BB153" s="1531"/>
      <c r="BC153" s="1531"/>
      <c r="BD153" s="1531"/>
      <c r="BE153" s="1537"/>
    </row>
    <row r="154" spans="1:57" ht="15.75" customHeight="1">
      <c r="A154" s="1836"/>
      <c r="B154" s="1531"/>
      <c r="C154" s="2656" t="s">
        <v>2146</v>
      </c>
      <c r="D154" s="2657"/>
      <c r="E154" s="2657"/>
      <c r="F154" s="2657"/>
      <c r="G154" s="2657"/>
      <c r="H154" s="2657"/>
      <c r="I154" s="2657"/>
      <c r="J154" s="2657"/>
      <c r="K154" s="2657"/>
      <c r="L154" s="2657"/>
      <c r="M154" s="2658"/>
      <c r="N154" s="2659">
        <f>'Sources and Uses Budget'!B8</f>
        <v>1275000</v>
      </c>
      <c r="O154" s="2659"/>
      <c r="P154" s="2659"/>
      <c r="Q154" s="2659"/>
      <c r="R154" s="2659"/>
      <c r="S154" s="2659"/>
      <c r="T154" s="2660"/>
      <c r="U154" s="2651"/>
      <c r="V154" s="2652"/>
      <c r="W154" s="2652"/>
      <c r="X154" s="2652"/>
      <c r="Y154" s="2652"/>
      <c r="Z154" s="2652"/>
      <c r="AA154" s="2652"/>
      <c r="AB154" s="2652"/>
      <c r="AC154" s="2652"/>
      <c r="AD154" s="2652"/>
      <c r="AE154" s="2653"/>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56" t="s">
        <v>2147</v>
      </c>
      <c r="D155" s="2657"/>
      <c r="E155" s="2657"/>
      <c r="F155" s="2657"/>
      <c r="G155" s="2657"/>
      <c r="H155" s="2657"/>
      <c r="I155" s="2657"/>
      <c r="J155" s="2657"/>
      <c r="K155" s="2657"/>
      <c r="L155" s="2657"/>
      <c r="M155" s="2658"/>
      <c r="N155" s="2649"/>
      <c r="O155" s="2649"/>
      <c r="P155" s="2649"/>
      <c r="Q155" s="2649"/>
      <c r="R155" s="2649"/>
      <c r="S155" s="2649"/>
      <c r="T155" s="2650"/>
      <c r="U155" s="2651"/>
      <c r="V155" s="2652"/>
      <c r="W155" s="2652"/>
      <c r="X155" s="2652"/>
      <c r="Y155" s="2652"/>
      <c r="Z155" s="2652"/>
      <c r="AA155" s="2652"/>
      <c r="AB155" s="2652"/>
      <c r="AC155" s="2652"/>
      <c r="AD155" s="2652"/>
      <c r="AE155" s="2653"/>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56" t="s">
        <v>2140</v>
      </c>
      <c r="D156" s="2657"/>
      <c r="E156" s="2657"/>
      <c r="F156" s="2657"/>
      <c r="G156" s="2657"/>
      <c r="H156" s="2657"/>
      <c r="I156" s="2657"/>
      <c r="J156" s="2657"/>
      <c r="K156" s="2657"/>
      <c r="L156" s="2657"/>
      <c r="M156" s="2658"/>
      <c r="N156" s="2649"/>
      <c r="O156" s="2649"/>
      <c r="P156" s="2649"/>
      <c r="Q156" s="2649"/>
      <c r="R156" s="2649"/>
      <c r="S156" s="2649"/>
      <c r="T156" s="2650"/>
      <c r="U156" s="2651"/>
      <c r="V156" s="2652"/>
      <c r="W156" s="2652"/>
      <c r="X156" s="2652"/>
      <c r="Y156" s="2652"/>
      <c r="Z156" s="2652"/>
      <c r="AA156" s="2652"/>
      <c r="AB156" s="2652"/>
      <c r="AC156" s="2652"/>
      <c r="AD156" s="2652"/>
      <c r="AE156" s="2653"/>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45" t="s">
        <v>309</v>
      </c>
      <c r="D157" s="2646"/>
      <c r="E157" s="2647" t="s">
        <v>2130</v>
      </c>
      <c r="F157" s="2647"/>
      <c r="G157" s="2647"/>
      <c r="H157" s="2647"/>
      <c r="I157" s="2647"/>
      <c r="J157" s="2647"/>
      <c r="K157" s="2647"/>
      <c r="L157" s="2647"/>
      <c r="M157" s="2648"/>
      <c r="N157" s="2649"/>
      <c r="O157" s="2649"/>
      <c r="P157" s="2649"/>
      <c r="Q157" s="2649"/>
      <c r="R157" s="2649"/>
      <c r="S157" s="2649"/>
      <c r="T157" s="2650"/>
      <c r="U157" s="2651"/>
      <c r="V157" s="2652"/>
      <c r="W157" s="2652"/>
      <c r="X157" s="2652"/>
      <c r="Y157" s="2652"/>
      <c r="Z157" s="2652"/>
      <c r="AA157" s="2652"/>
      <c r="AB157" s="2652"/>
      <c r="AC157" s="2652"/>
      <c r="AD157" s="2652"/>
      <c r="AE157" s="2653"/>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54" t="s">
        <v>309</v>
      </c>
      <c r="D158" s="2655"/>
      <c r="E158" s="2647" t="s">
        <v>2130</v>
      </c>
      <c r="F158" s="2647"/>
      <c r="G158" s="2647"/>
      <c r="H158" s="2647"/>
      <c r="I158" s="2647"/>
      <c r="J158" s="2647"/>
      <c r="K158" s="2647"/>
      <c r="L158" s="2647"/>
      <c r="M158" s="2648"/>
      <c r="N158" s="2649"/>
      <c r="O158" s="2649"/>
      <c r="P158" s="2649"/>
      <c r="Q158" s="2649"/>
      <c r="R158" s="2649"/>
      <c r="S158" s="2649"/>
      <c r="T158" s="2650"/>
      <c r="U158" s="2651"/>
      <c r="V158" s="2652"/>
      <c r="W158" s="2652"/>
      <c r="X158" s="2652"/>
      <c r="Y158" s="2652"/>
      <c r="Z158" s="2652"/>
      <c r="AA158" s="2652"/>
      <c r="AB158" s="2652"/>
      <c r="AC158" s="2652"/>
      <c r="AD158" s="2652"/>
      <c r="AE158" s="2653"/>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30" t="s">
        <v>309</v>
      </c>
      <c r="D159" s="2631"/>
      <c r="E159" s="2632" t="s">
        <v>2130</v>
      </c>
      <c r="F159" s="2632"/>
      <c r="G159" s="2632"/>
      <c r="H159" s="2632"/>
      <c r="I159" s="2632"/>
      <c r="J159" s="2632"/>
      <c r="K159" s="2632"/>
      <c r="L159" s="2632"/>
      <c r="M159" s="2633"/>
      <c r="N159" s="2634"/>
      <c r="O159" s="2634"/>
      <c r="P159" s="2634"/>
      <c r="Q159" s="2634"/>
      <c r="R159" s="2634"/>
      <c r="S159" s="2634"/>
      <c r="T159" s="2635"/>
      <c r="U159" s="2636"/>
      <c r="V159" s="2637"/>
      <c r="W159" s="2637"/>
      <c r="X159" s="2637"/>
      <c r="Y159" s="2637"/>
      <c r="Z159" s="2637"/>
      <c r="AA159" s="2637"/>
      <c r="AB159" s="2637"/>
      <c r="AC159" s="2637"/>
      <c r="AD159" s="2637"/>
      <c r="AE159" s="263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39" t="s">
        <v>2148</v>
      </c>
      <c r="D160" s="2640"/>
      <c r="E160" s="2640"/>
      <c r="F160" s="2640"/>
      <c r="G160" s="2640"/>
      <c r="H160" s="2640"/>
      <c r="I160" s="2640"/>
      <c r="J160" s="2640"/>
      <c r="K160" s="2640"/>
      <c r="L160" s="2640"/>
      <c r="M160" s="2641"/>
      <c r="N160" s="2642">
        <f>SUM(N152:T159)</f>
        <v>6653844</v>
      </c>
      <c r="O160" s="2643"/>
      <c r="P160" s="2643"/>
      <c r="Q160" s="2643"/>
      <c r="R160" s="2643"/>
      <c r="S160" s="2643"/>
      <c r="T160" s="264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17" t="s">
        <v>2149</v>
      </c>
      <c r="D161" s="2618"/>
      <c r="E161" s="2618"/>
      <c r="F161" s="2618"/>
      <c r="G161" s="2618"/>
      <c r="H161" s="2618"/>
      <c r="I161" s="2618"/>
      <c r="J161" s="2618"/>
      <c r="K161" s="2618"/>
      <c r="L161" s="2618"/>
      <c r="M161" s="2618"/>
      <c r="N161" s="2619">
        <f>(N150-N160)/J29</f>
        <v>4553.7098445595857</v>
      </c>
      <c r="O161" s="2619"/>
      <c r="P161" s="2619"/>
      <c r="Q161" s="2619"/>
      <c r="R161" s="2619"/>
      <c r="S161" s="2619"/>
      <c r="T161" s="262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21" t="s">
        <v>2150</v>
      </c>
      <c r="C164" s="2622"/>
      <c r="D164" s="2622"/>
      <c r="E164" s="2622"/>
      <c r="F164" s="2622"/>
      <c r="G164" s="2622"/>
      <c r="H164" s="2622"/>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622"/>
      <c r="AD164" s="2622"/>
      <c r="AE164" s="2622"/>
      <c r="AF164" s="2622"/>
      <c r="AG164" s="2622"/>
      <c r="AH164" s="2622"/>
      <c r="AI164" s="2622"/>
      <c r="AJ164" s="2622"/>
      <c r="AK164" s="2622"/>
      <c r="AL164" s="2622"/>
      <c r="AM164" s="2622"/>
      <c r="AN164" s="2622"/>
      <c r="AO164" s="2622"/>
      <c r="AP164" s="2622"/>
      <c r="AQ164" s="2622"/>
      <c r="AR164" s="2622"/>
      <c r="AS164" s="2622"/>
      <c r="AT164" s="2622"/>
      <c r="AU164" s="2622"/>
      <c r="AV164" s="2622"/>
      <c r="AW164" s="2622"/>
      <c r="AX164" s="2622"/>
      <c r="AY164" s="2622"/>
      <c r="AZ164" s="2622"/>
      <c r="BA164" s="2622"/>
      <c r="BB164" s="2622"/>
      <c r="BC164" s="2622"/>
      <c r="BD164" s="2623"/>
      <c r="BE164" s="1537"/>
    </row>
    <row r="165" spans="1:57" ht="15.75" customHeight="1">
      <c r="A165" s="1836"/>
      <c r="B165" s="2624"/>
      <c r="C165" s="2625"/>
      <c r="D165" s="2625"/>
      <c r="E165" s="2625"/>
      <c r="F165" s="2625"/>
      <c r="G165" s="2625"/>
      <c r="H165" s="2625"/>
      <c r="I165" s="2625"/>
      <c r="J165" s="2625"/>
      <c r="K165" s="2625"/>
      <c r="L165" s="2625"/>
      <c r="M165" s="2625"/>
      <c r="N165" s="2625"/>
      <c r="O165" s="2625"/>
      <c r="P165" s="2625"/>
      <c r="Q165" s="2625"/>
      <c r="R165" s="2625"/>
      <c r="S165" s="2625"/>
      <c r="T165" s="2625"/>
      <c r="U165" s="2625"/>
      <c r="V165" s="2625"/>
      <c r="W165" s="2625"/>
      <c r="X165" s="2625"/>
      <c r="Y165" s="2625"/>
      <c r="Z165" s="2625"/>
      <c r="AA165" s="2625"/>
      <c r="AB165" s="2625"/>
      <c r="AC165" s="2625"/>
      <c r="AD165" s="2625"/>
      <c r="AE165" s="2625"/>
      <c r="AF165" s="2625"/>
      <c r="AG165" s="2625"/>
      <c r="AH165" s="2625"/>
      <c r="AI165" s="2625"/>
      <c r="AJ165" s="2625"/>
      <c r="AK165" s="2625"/>
      <c r="AL165" s="2625"/>
      <c r="AM165" s="2625"/>
      <c r="AN165" s="2625"/>
      <c r="AO165" s="2625"/>
      <c r="AP165" s="2625"/>
      <c r="AQ165" s="2625"/>
      <c r="AR165" s="2625"/>
      <c r="AS165" s="2625"/>
      <c r="AT165" s="2625"/>
      <c r="AU165" s="2625"/>
      <c r="AV165" s="2625"/>
      <c r="AW165" s="2625"/>
      <c r="AX165" s="2625"/>
      <c r="AY165" s="2625"/>
      <c r="AZ165" s="2625"/>
      <c r="BA165" s="2625"/>
      <c r="BB165" s="2625"/>
      <c r="BC165" s="2625"/>
      <c r="BD165" s="2626"/>
      <c r="BE165" s="1537"/>
    </row>
    <row r="166" spans="1:57" ht="15.75" customHeight="1">
      <c r="A166" s="1836"/>
      <c r="B166" s="2627" t="s">
        <v>2151</v>
      </c>
      <c r="C166" s="2628"/>
      <c r="D166" s="2628"/>
      <c r="E166" s="2628"/>
      <c r="F166" s="2628"/>
      <c r="G166" s="2628"/>
      <c r="H166" s="2628"/>
      <c r="I166" s="2628"/>
      <c r="J166" s="2628"/>
      <c r="K166" s="2628"/>
      <c r="L166" s="2628"/>
      <c r="M166" s="2628"/>
      <c r="N166" s="2628"/>
      <c r="O166" s="2628"/>
      <c r="P166" s="2628"/>
      <c r="Q166" s="2628"/>
      <c r="R166" s="2628"/>
      <c r="S166" s="2628"/>
      <c r="T166" s="2628"/>
      <c r="U166" s="2628"/>
      <c r="V166" s="2628"/>
      <c r="W166" s="2628"/>
      <c r="X166" s="2628"/>
      <c r="Y166" s="2628"/>
      <c r="Z166" s="2628"/>
      <c r="AA166" s="2628"/>
      <c r="AB166" s="2628"/>
      <c r="AC166" s="2628"/>
      <c r="AD166" s="2628"/>
      <c r="AE166" s="2628"/>
      <c r="AF166" s="2628"/>
      <c r="AG166" s="2628"/>
      <c r="AH166" s="2628"/>
      <c r="AI166" s="2628"/>
      <c r="AJ166" s="2628"/>
      <c r="AK166" s="2628"/>
      <c r="AL166" s="2628"/>
      <c r="AM166" s="2628"/>
      <c r="AN166" s="2628"/>
      <c r="AO166" s="2628"/>
      <c r="AP166" s="2628"/>
      <c r="AQ166" s="2628"/>
      <c r="AR166" s="2628"/>
      <c r="AS166" s="2628"/>
      <c r="AT166" s="2628"/>
      <c r="AU166" s="2628"/>
      <c r="AV166" s="2628"/>
      <c r="AW166" s="2628"/>
      <c r="AX166" s="2628"/>
      <c r="AY166" s="2628"/>
      <c r="AZ166" s="2628"/>
      <c r="BA166" s="2628"/>
      <c r="BB166" s="2628"/>
      <c r="BC166" s="2628"/>
      <c r="BD166" s="2629"/>
      <c r="BE166" s="1537"/>
    </row>
    <row r="167" spans="1:57" ht="15.75" customHeight="1">
      <c r="A167" s="1836"/>
      <c r="B167" s="2627" t="s">
        <v>2152</v>
      </c>
      <c r="C167" s="2628"/>
      <c r="D167" s="2628"/>
      <c r="E167" s="2628"/>
      <c r="F167" s="2628"/>
      <c r="G167" s="2628"/>
      <c r="H167" s="2628"/>
      <c r="I167" s="2628"/>
      <c r="J167" s="2628"/>
      <c r="K167" s="2628"/>
      <c r="L167" s="2628"/>
      <c r="M167" s="2628"/>
      <c r="N167" s="2628"/>
      <c r="O167" s="2628"/>
      <c r="P167" s="2628"/>
      <c r="Q167" s="2628"/>
      <c r="R167" s="2628"/>
      <c r="S167" s="2628"/>
      <c r="T167" s="2628"/>
      <c r="U167" s="2628"/>
      <c r="V167" s="2628"/>
      <c r="W167" s="2628"/>
      <c r="X167" s="2628"/>
      <c r="Y167" s="2628"/>
      <c r="Z167" s="2628"/>
      <c r="AA167" s="2628"/>
      <c r="AB167" s="2628"/>
      <c r="AC167" s="2628"/>
      <c r="AD167" s="2628"/>
      <c r="AE167" s="2628"/>
      <c r="AF167" s="2628"/>
      <c r="AG167" s="2628"/>
      <c r="AH167" s="2628"/>
      <c r="AI167" s="2628"/>
      <c r="AJ167" s="2628"/>
      <c r="AK167" s="2628"/>
      <c r="AL167" s="2628"/>
      <c r="AM167" s="2628"/>
      <c r="AN167" s="2628"/>
      <c r="AO167" s="2628"/>
      <c r="AP167" s="2628"/>
      <c r="AQ167" s="2628"/>
      <c r="AR167" s="2628"/>
      <c r="AS167" s="2628"/>
      <c r="AT167" s="2628"/>
      <c r="AU167" s="2628"/>
      <c r="AV167" s="2628"/>
      <c r="AW167" s="2628"/>
      <c r="AX167" s="2628"/>
      <c r="AY167" s="2628"/>
      <c r="AZ167" s="2628"/>
      <c r="BA167" s="2628"/>
      <c r="BB167" s="2628"/>
      <c r="BC167" s="2628"/>
      <c r="BD167" s="262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10" t="s">
        <v>2153</v>
      </c>
      <c r="C169" s="2611"/>
      <c r="D169" s="2611"/>
      <c r="E169" s="2611"/>
      <c r="F169" s="2611"/>
      <c r="G169" s="2611"/>
      <c r="H169" s="2611"/>
      <c r="I169" s="2611"/>
      <c r="J169" s="2611"/>
      <c r="K169" s="2611"/>
      <c r="L169" s="2611"/>
      <c r="M169" s="2611"/>
      <c r="N169" s="2611"/>
      <c r="O169" s="2611"/>
      <c r="P169" s="2611"/>
      <c r="Q169" s="2611"/>
      <c r="R169" s="2611"/>
      <c r="S169" s="2611"/>
      <c r="T169" s="2611"/>
      <c r="U169" s="2611"/>
      <c r="V169" s="2611"/>
      <c r="W169" s="2611"/>
      <c r="X169" s="2611"/>
      <c r="Y169" s="2611"/>
      <c r="Z169" s="2611"/>
      <c r="AA169" s="2611"/>
      <c r="AB169" s="2611"/>
      <c r="AC169" s="2611"/>
      <c r="AD169" s="2611"/>
      <c r="AE169" s="2611"/>
      <c r="AF169" s="2611"/>
      <c r="AG169" s="2611"/>
      <c r="AH169" s="2611"/>
      <c r="AI169" s="2611"/>
      <c r="AJ169" s="2611"/>
      <c r="AK169" s="2611"/>
      <c r="AL169" s="2611"/>
      <c r="AM169" s="2611"/>
      <c r="AN169" s="2611"/>
      <c r="AO169" s="2611"/>
      <c r="AP169" s="2611"/>
      <c r="AQ169" s="2611"/>
      <c r="AR169" s="2611"/>
      <c r="AS169" s="2611"/>
      <c r="AT169" s="2611"/>
      <c r="AU169" s="2611"/>
      <c r="AV169" s="2611"/>
      <c r="AW169" s="2611"/>
      <c r="AX169" s="2611"/>
      <c r="AY169" s="2611"/>
      <c r="AZ169" s="2611"/>
      <c r="BA169" s="2611"/>
      <c r="BB169" s="2611"/>
      <c r="BC169" s="2611"/>
      <c r="BD169" s="261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2154</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13" t="s">
        <v>2155</v>
      </c>
      <c r="I173" s="2613"/>
      <c r="J173" s="2613"/>
      <c r="K173" s="2613"/>
      <c r="L173" s="2613"/>
      <c r="M173" s="2613"/>
      <c r="N173" s="2613"/>
      <c r="O173" s="2613"/>
      <c r="P173" s="2613"/>
      <c r="Q173" s="2613"/>
      <c r="R173" s="2613"/>
      <c r="S173" s="2613"/>
      <c r="T173" s="2613"/>
      <c r="U173" s="2613"/>
      <c r="V173" s="2613"/>
      <c r="W173" s="2613"/>
      <c r="X173" s="2613"/>
      <c r="Y173" s="2613"/>
      <c r="Z173" s="2613"/>
      <c r="AA173" s="2613"/>
      <c r="AB173" s="2613"/>
      <c r="AC173" s="2613"/>
      <c r="AD173" s="2613"/>
      <c r="AE173" s="2613"/>
      <c r="AF173" s="2613"/>
      <c r="AG173" s="2613"/>
      <c r="AH173" s="2613"/>
      <c r="AI173" s="2613"/>
      <c r="AJ173" s="2613"/>
      <c r="AK173" s="2613"/>
      <c r="AL173" s="2613"/>
      <c r="AM173" s="2613"/>
      <c r="AN173" s="2613"/>
      <c r="AO173" s="2613"/>
      <c r="AP173" s="2613"/>
      <c r="AQ173" s="2613"/>
      <c r="AR173" s="2613"/>
      <c r="AS173" s="2613"/>
      <c r="AT173" s="2613"/>
      <c r="AU173" s="2613"/>
      <c r="AV173" s="2613"/>
      <c r="AW173" s="2613"/>
      <c r="AX173" s="2613"/>
      <c r="AY173" s="261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14" t="s">
        <v>2156</v>
      </c>
      <c r="I175" s="2614"/>
      <c r="J175" s="2614"/>
      <c r="K175" s="2614"/>
      <c r="L175" s="2614"/>
      <c r="M175" s="2614"/>
      <c r="N175" s="2614"/>
      <c r="O175" s="2614"/>
      <c r="P175" s="2614"/>
      <c r="Q175" s="2614"/>
      <c r="R175" s="2614"/>
      <c r="S175" s="2614"/>
      <c r="T175" s="2614"/>
      <c r="U175" s="2614"/>
      <c r="V175" s="2614"/>
      <c r="W175" s="2614"/>
      <c r="X175" s="2614"/>
      <c r="Y175" s="2614"/>
      <c r="Z175" s="2614"/>
      <c r="AA175" s="2614"/>
      <c r="AB175" s="2614"/>
      <c r="AC175" s="2614"/>
      <c r="AD175" s="2614"/>
      <c r="AE175" s="2614"/>
      <c r="AF175" s="2614"/>
      <c r="AG175" s="2614"/>
      <c r="AH175" s="2614"/>
      <c r="AI175" s="2614"/>
      <c r="AJ175" s="2614"/>
      <c r="AK175" s="2614"/>
      <c r="AL175" s="2614"/>
      <c r="AM175" s="2614"/>
      <c r="AN175" s="2614"/>
      <c r="AO175" s="2614"/>
      <c r="AP175" s="2614"/>
      <c r="AQ175" s="2614"/>
      <c r="AR175" s="2614"/>
      <c r="AS175" s="2614"/>
      <c r="AT175" s="2614"/>
      <c r="AU175" s="2614"/>
      <c r="AV175" s="2614"/>
      <c r="AW175" s="2614"/>
      <c r="AX175" s="2614"/>
      <c r="AY175" s="2614"/>
      <c r="AZ175" s="2614"/>
      <c r="BA175" s="1557"/>
      <c r="BB175" s="1557"/>
      <c r="BC175" s="1557"/>
      <c r="BD175" s="1537"/>
      <c r="BE175" s="1537"/>
    </row>
    <row r="176" spans="1:57" ht="15.75" customHeight="1">
      <c r="A176" s="1836"/>
      <c r="B176" s="1530"/>
      <c r="C176" s="1557"/>
      <c r="D176" s="1557"/>
      <c r="E176" s="1557"/>
      <c r="F176" s="1557"/>
      <c r="G176" s="1557"/>
      <c r="H176" s="2614"/>
      <c r="I176" s="2614"/>
      <c r="J176" s="2614"/>
      <c r="K176" s="2614"/>
      <c r="L176" s="2614"/>
      <c r="M176" s="2614"/>
      <c r="N176" s="2614"/>
      <c r="O176" s="2614"/>
      <c r="P176" s="2614"/>
      <c r="Q176" s="2614"/>
      <c r="R176" s="2614"/>
      <c r="S176" s="2614"/>
      <c r="T176" s="2614"/>
      <c r="U176" s="2614"/>
      <c r="V176" s="2614"/>
      <c r="W176" s="2614"/>
      <c r="X176" s="2614"/>
      <c r="Y176" s="2614"/>
      <c r="Z176" s="2614"/>
      <c r="AA176" s="2614"/>
      <c r="AB176" s="2614"/>
      <c r="AC176" s="2614"/>
      <c r="AD176" s="2614"/>
      <c r="AE176" s="2614"/>
      <c r="AF176" s="2614"/>
      <c r="AG176" s="2614"/>
      <c r="AH176" s="2614"/>
      <c r="AI176" s="2614"/>
      <c r="AJ176" s="2614"/>
      <c r="AK176" s="2614"/>
      <c r="AL176" s="2614"/>
      <c r="AM176" s="2614"/>
      <c r="AN176" s="2614"/>
      <c r="AO176" s="2614"/>
      <c r="AP176" s="2614"/>
      <c r="AQ176" s="2614"/>
      <c r="AR176" s="2614"/>
      <c r="AS176" s="2614"/>
      <c r="AT176" s="2614"/>
      <c r="AU176" s="2614"/>
      <c r="AV176" s="2614"/>
      <c r="AW176" s="2614"/>
      <c r="AX176" s="2614"/>
      <c r="AY176" s="2614"/>
      <c r="AZ176" s="2614"/>
      <c r="BA176" s="1557"/>
      <c r="BB176" s="1557"/>
      <c r="BC176" s="1557"/>
      <c r="BD176" s="1537"/>
      <c r="BE176" s="1537"/>
    </row>
    <row r="177" spans="1:57" ht="15.75" customHeight="1">
      <c r="A177" s="1836"/>
      <c r="B177" s="1530"/>
      <c r="C177" s="1557"/>
      <c r="D177" s="1557"/>
      <c r="E177" s="1557"/>
      <c r="F177" s="1557"/>
      <c r="G177" s="1557"/>
      <c r="H177" s="2614"/>
      <c r="I177" s="2614"/>
      <c r="J177" s="2614"/>
      <c r="K177" s="2614"/>
      <c r="L177" s="2614"/>
      <c r="M177" s="2614"/>
      <c r="N177" s="2614"/>
      <c r="O177" s="2614"/>
      <c r="P177" s="2614"/>
      <c r="Q177" s="2614"/>
      <c r="R177" s="2614"/>
      <c r="S177" s="2614"/>
      <c r="T177" s="2614"/>
      <c r="U177" s="2614"/>
      <c r="V177" s="2614"/>
      <c r="W177" s="2614"/>
      <c r="X177" s="2614"/>
      <c r="Y177" s="2614"/>
      <c r="Z177" s="2614"/>
      <c r="AA177" s="2614"/>
      <c r="AB177" s="2614"/>
      <c r="AC177" s="2614"/>
      <c r="AD177" s="2614"/>
      <c r="AE177" s="2614"/>
      <c r="AF177" s="2614"/>
      <c r="AG177" s="2614"/>
      <c r="AH177" s="2614"/>
      <c r="AI177" s="2614"/>
      <c r="AJ177" s="2614"/>
      <c r="AK177" s="2614"/>
      <c r="AL177" s="2614"/>
      <c r="AM177" s="2614"/>
      <c r="AN177" s="2614"/>
      <c r="AO177" s="2614"/>
      <c r="AP177" s="2614"/>
      <c r="AQ177" s="2614"/>
      <c r="AR177" s="2614"/>
      <c r="AS177" s="2614"/>
      <c r="AT177" s="2614"/>
      <c r="AU177" s="2614"/>
      <c r="AV177" s="2614"/>
      <c r="AW177" s="2614"/>
      <c r="AX177" s="2614"/>
      <c r="AY177" s="2614"/>
      <c r="AZ177" s="261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15" t="s">
        <v>2157</v>
      </c>
      <c r="I180" s="2615"/>
      <c r="J180" s="2615"/>
      <c r="K180" s="2615"/>
      <c r="L180" s="2615"/>
      <c r="M180" s="2615"/>
      <c r="N180" s="2615"/>
      <c r="O180" s="2615"/>
      <c r="P180" s="2615"/>
      <c r="Q180" s="2615"/>
      <c r="R180" s="2615"/>
      <c r="S180" s="2615"/>
      <c r="T180" s="2615"/>
      <c r="U180" s="2615"/>
      <c r="V180" s="2615"/>
      <c r="W180" s="2615"/>
      <c r="X180" s="2615"/>
      <c r="Y180" s="2615"/>
      <c r="Z180" s="2615"/>
      <c r="AA180" s="2615"/>
      <c r="AB180" s="2615"/>
      <c r="AC180" s="2615"/>
      <c r="AD180" s="2615"/>
      <c r="AE180" s="2615"/>
      <c r="AF180" s="2615"/>
      <c r="AG180" s="2615"/>
      <c r="AH180" s="2615"/>
      <c r="AI180" s="2615"/>
      <c r="AJ180" s="2615"/>
      <c r="AK180" s="2615"/>
      <c r="AL180" s="2615"/>
      <c r="AM180" s="2615"/>
      <c r="AN180" s="2615"/>
      <c r="AO180" s="2615"/>
      <c r="AP180" s="2615"/>
      <c r="AQ180" s="2615"/>
      <c r="AR180" s="2615"/>
      <c r="AS180" s="2615"/>
      <c r="AT180" s="2615"/>
      <c r="AU180" s="2615"/>
      <c r="AV180" s="261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607" t="s">
        <v>2158</v>
      </c>
      <c r="I182" s="2607"/>
      <c r="J182" s="2607"/>
      <c r="K182" s="2607"/>
      <c r="L182" s="1566"/>
      <c r="M182" s="1566"/>
      <c r="N182" s="1566"/>
      <c r="O182" s="1566"/>
      <c r="P182" s="1566"/>
      <c r="Q182" s="1566"/>
      <c r="R182" s="1566"/>
      <c r="S182" s="2616"/>
      <c r="T182" s="2605"/>
      <c r="U182" s="2605"/>
      <c r="V182" s="2605"/>
      <c r="W182" s="2605"/>
      <c r="X182" s="2605"/>
      <c r="Y182" s="2605"/>
      <c r="Z182" s="2605"/>
      <c r="AA182" s="2605"/>
      <c r="AB182" s="2605"/>
      <c r="AC182" s="2605"/>
      <c r="AD182" s="2605"/>
      <c r="AE182" s="2605"/>
      <c r="AF182" s="2605"/>
      <c r="AG182" s="2605"/>
      <c r="AH182" s="2605"/>
      <c r="AI182" s="2605"/>
      <c r="AJ182" s="260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607" t="s">
        <v>2159</v>
      </c>
      <c r="I184" s="2607"/>
      <c r="J184" s="2607"/>
      <c r="K184" s="1568"/>
      <c r="L184" s="1566"/>
      <c r="M184" s="1566"/>
      <c r="N184" s="1566"/>
      <c r="O184" s="1566"/>
      <c r="P184" s="1566"/>
      <c r="Q184" s="1566"/>
      <c r="R184" s="1566"/>
      <c r="S184" s="2608" t="s">
        <v>2472</v>
      </c>
      <c r="T184" s="2605"/>
      <c r="U184" s="2605"/>
      <c r="V184" s="2605"/>
      <c r="W184" s="2605"/>
      <c r="X184" s="2605"/>
      <c r="Y184" s="2605"/>
      <c r="Z184" s="2605"/>
      <c r="AA184" s="2605"/>
      <c r="AB184" s="2605"/>
      <c r="AC184" s="2605"/>
      <c r="AD184" s="2605"/>
      <c r="AE184" s="2605"/>
      <c r="AF184" s="2605"/>
      <c r="AG184" s="2605"/>
      <c r="AH184" s="2605"/>
      <c r="AI184" s="2605"/>
      <c r="AJ184" s="260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607" t="s">
        <v>464</v>
      </c>
      <c r="I186" s="2607"/>
      <c r="J186" s="1568"/>
      <c r="K186" s="1568"/>
      <c r="L186" s="1566"/>
      <c r="M186" s="1566"/>
      <c r="N186" s="1566"/>
      <c r="O186" s="1566"/>
      <c r="P186" s="1566"/>
      <c r="Q186" s="1566"/>
      <c r="R186" s="1566"/>
      <c r="S186" s="2608" t="s">
        <v>2582</v>
      </c>
      <c r="T186" s="2605"/>
      <c r="U186" s="2605"/>
      <c r="V186" s="2605"/>
      <c r="W186" s="2605"/>
      <c r="X186" s="2605"/>
      <c r="Y186" s="2605"/>
      <c r="Z186" s="2605"/>
      <c r="AA186" s="2605"/>
      <c r="AB186" s="2605"/>
      <c r="AC186" s="2605"/>
      <c r="AD186" s="2605"/>
      <c r="AE186" s="2605"/>
      <c r="AF186" s="2605"/>
      <c r="AG186" s="2605"/>
      <c r="AH186" s="2605"/>
      <c r="AI186" s="2605"/>
      <c r="AJ186" s="260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9" t="s">
        <v>2160</v>
      </c>
      <c r="I188" s="2609"/>
      <c r="J188" s="2609"/>
      <c r="K188" s="2609"/>
      <c r="L188" s="2609"/>
      <c r="M188" s="2609"/>
      <c r="N188" s="2609"/>
      <c r="O188" s="2609"/>
      <c r="P188" s="1566"/>
      <c r="Q188" s="1566"/>
      <c r="R188" s="1566"/>
      <c r="S188" s="2608" t="s">
        <v>2463</v>
      </c>
      <c r="T188" s="2605"/>
      <c r="U188" s="2605"/>
      <c r="V188" s="2605"/>
      <c r="W188" s="2605"/>
      <c r="X188" s="2605"/>
      <c r="Y188" s="2605"/>
      <c r="Z188" s="2605"/>
      <c r="AA188" s="2605"/>
      <c r="AB188" s="2605"/>
      <c r="AC188" s="2605"/>
      <c r="AD188" s="2605"/>
      <c r="AE188" s="2605"/>
      <c r="AF188" s="2605"/>
      <c r="AG188" s="2605"/>
      <c r="AH188" s="2605"/>
      <c r="AI188" s="2605"/>
      <c r="AJ188" s="260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603" t="s">
        <v>2161</v>
      </c>
      <c r="I190" s="2603"/>
      <c r="J190" s="1566"/>
      <c r="K190" s="1566"/>
      <c r="L190" s="1566"/>
      <c r="M190" s="1566"/>
      <c r="N190" s="1566"/>
      <c r="O190" s="1566"/>
      <c r="P190" s="1566"/>
      <c r="Q190" s="1566"/>
      <c r="R190" s="1566"/>
      <c r="S190" s="2604">
        <v>44230</v>
      </c>
      <c r="T190" s="2605"/>
      <c r="U190" s="2605"/>
      <c r="V190" s="2605"/>
      <c r="W190" s="2605"/>
      <c r="X190" s="2605"/>
      <c r="Y190" s="2605"/>
      <c r="Z190" s="2605"/>
      <c r="AA190" s="2605"/>
      <c r="AB190" s="2605"/>
      <c r="AC190" s="2605"/>
      <c r="AD190" s="2605"/>
      <c r="AE190" s="2605"/>
      <c r="AF190" s="2605"/>
      <c r="AG190" s="2605"/>
      <c r="AH190" s="2605"/>
      <c r="AI190" s="2605"/>
      <c r="AJ190" s="260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46" zoomScaleNormal="100" zoomScaleSheetLayoutView="100" workbookViewId="0">
      <selection activeCell="AB355" sqref="AB35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54" t="s">
        <v>1570</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row>
    <row r="2" spans="1:42" s="929" customFormat="1" ht="12.75" customHeight="1" thickBot="1">
      <c r="A2" s="3055"/>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14" t="s">
        <v>1575</v>
      </c>
      <c r="AF7" s="3014"/>
      <c r="AG7" s="3014"/>
      <c r="AH7" s="3014"/>
      <c r="AI7" s="3014"/>
      <c r="AJ7" s="3014"/>
      <c r="AK7" s="3014"/>
      <c r="AL7" s="935"/>
      <c r="AM7" s="935"/>
      <c r="AN7" s="931"/>
    </row>
    <row r="8" spans="1:42" s="932" customFormat="1" ht="12.75" customHeight="1">
      <c r="A8" s="933"/>
      <c r="B8" s="934" t="s">
        <v>2240</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13" t="s">
        <v>626</v>
      </c>
      <c r="C12" s="3013"/>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56"/>
      <c r="AH12" s="3056"/>
      <c r="AI12" s="3056"/>
      <c r="AJ12" s="305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13" t="s">
        <v>626</v>
      </c>
      <c r="C15" s="3013"/>
      <c r="D15" s="942"/>
      <c r="E15" s="3037" t="s">
        <v>1578</v>
      </c>
      <c r="F15" s="3038"/>
      <c r="G15" s="3038"/>
      <c r="H15" s="3038"/>
      <c r="I15" s="3038"/>
      <c r="J15" s="3038"/>
      <c r="K15" s="3038"/>
      <c r="L15" s="3038"/>
      <c r="M15" s="3038"/>
      <c r="N15" s="3038"/>
      <c r="O15" s="3038"/>
      <c r="P15" s="3038"/>
      <c r="Q15" s="3038"/>
      <c r="R15" s="3038"/>
      <c r="S15" s="3038"/>
      <c r="T15" s="3038"/>
      <c r="U15" s="3038"/>
      <c r="V15" s="3038"/>
      <c r="W15" s="3038"/>
      <c r="X15" s="3038"/>
      <c r="Y15" s="3038"/>
      <c r="Z15" s="3038"/>
      <c r="AA15" s="3038"/>
      <c r="AB15" s="3038"/>
      <c r="AC15" s="3038"/>
      <c r="AD15" s="3038"/>
      <c r="AE15" s="3038"/>
      <c r="AF15" s="3038"/>
      <c r="AG15" s="3038"/>
      <c r="AH15" s="3038"/>
      <c r="AI15" s="3038"/>
      <c r="AJ15" s="3039"/>
      <c r="AK15" s="935"/>
      <c r="AL15" s="935"/>
      <c r="AM15" s="935"/>
      <c r="AN15" s="931"/>
      <c r="AO15" s="945">
        <f>IF($B24="yes",20,0)</f>
        <v>0</v>
      </c>
      <c r="AP15" s="51"/>
    </row>
    <row r="16" spans="1:42" s="932" customFormat="1" ht="12.75" customHeight="1">
      <c r="A16" s="935"/>
      <c r="B16" s="935"/>
      <c r="C16" s="935"/>
      <c r="D16" s="946"/>
      <c r="E16" s="3040"/>
      <c r="F16" s="3041"/>
      <c r="G16" s="3041"/>
      <c r="H16" s="3041"/>
      <c r="I16" s="3041"/>
      <c r="J16" s="3041"/>
      <c r="K16" s="3041"/>
      <c r="L16" s="3041"/>
      <c r="M16" s="3041"/>
      <c r="N16" s="3041"/>
      <c r="O16" s="3041"/>
      <c r="P16" s="3041"/>
      <c r="Q16" s="3041"/>
      <c r="R16" s="3041"/>
      <c r="S16" s="3041"/>
      <c r="T16" s="3041"/>
      <c r="U16" s="3041"/>
      <c r="V16" s="3041"/>
      <c r="W16" s="3041"/>
      <c r="X16" s="3041"/>
      <c r="Y16" s="3041"/>
      <c r="Z16" s="3041"/>
      <c r="AA16" s="3041"/>
      <c r="AB16" s="3041"/>
      <c r="AC16" s="3041"/>
      <c r="AD16" s="3041"/>
      <c r="AE16" s="3041"/>
      <c r="AF16" s="3041"/>
      <c r="AG16" s="3041"/>
      <c r="AH16" s="3041"/>
      <c r="AI16" s="3041"/>
      <c r="AJ16" s="3042"/>
      <c r="AK16" s="935"/>
      <c r="AL16" s="935"/>
      <c r="AM16" s="935"/>
      <c r="AN16" s="931"/>
      <c r="AO16" s="932">
        <f>IF(SUM(AO12:AO15)&gt;20,20,(SUM(AO12:AO15)))</f>
        <v>0</v>
      </c>
      <c r="AP16" s="932" t="s">
        <v>1579</v>
      </c>
    </row>
    <row r="17" spans="1:42" s="932" customFormat="1" ht="12.75" customHeight="1">
      <c r="A17" s="935"/>
      <c r="B17" s="935"/>
      <c r="C17" s="935"/>
      <c r="D17" s="946"/>
      <c r="E17" s="3040"/>
      <c r="F17" s="3041"/>
      <c r="G17" s="3041"/>
      <c r="H17" s="3041"/>
      <c r="I17" s="3041"/>
      <c r="J17" s="3041"/>
      <c r="K17" s="3041"/>
      <c r="L17" s="3041"/>
      <c r="M17" s="3041"/>
      <c r="N17" s="3041"/>
      <c r="O17" s="3041"/>
      <c r="P17" s="3041"/>
      <c r="Q17" s="3041"/>
      <c r="R17" s="3041"/>
      <c r="S17" s="3041"/>
      <c r="T17" s="3041"/>
      <c r="U17" s="3041"/>
      <c r="V17" s="3041"/>
      <c r="W17" s="3041"/>
      <c r="X17" s="3041"/>
      <c r="Y17" s="3041"/>
      <c r="Z17" s="3041"/>
      <c r="AA17" s="3041"/>
      <c r="AB17" s="3041"/>
      <c r="AC17" s="3041"/>
      <c r="AD17" s="3041"/>
      <c r="AE17" s="3041"/>
      <c r="AF17" s="3041"/>
      <c r="AG17" s="3041"/>
      <c r="AH17" s="3041"/>
      <c r="AI17" s="3041"/>
      <c r="AJ17" s="3042"/>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9"/>
      <c r="F19" s="3020"/>
      <c r="G19" s="3020"/>
      <c r="H19" s="3020"/>
      <c r="I19" s="3020"/>
      <c r="J19" s="3020"/>
      <c r="K19" s="3020"/>
      <c r="L19" s="3020"/>
      <c r="M19" s="3020"/>
      <c r="N19" s="3020"/>
      <c r="O19" s="3020"/>
      <c r="P19" s="3020"/>
      <c r="Q19" s="3020"/>
      <c r="R19" s="3020"/>
      <c r="S19" s="3020"/>
      <c r="T19" s="3020"/>
      <c r="U19" s="3020"/>
      <c r="V19" s="3020"/>
      <c r="W19" s="3020"/>
      <c r="X19" s="3020"/>
      <c r="Y19" s="3020"/>
      <c r="Z19" s="3020"/>
      <c r="AA19" s="3020"/>
      <c r="AB19" s="3020"/>
      <c r="AC19" s="3020"/>
      <c r="AD19" s="3020"/>
      <c r="AE19" s="3020"/>
      <c r="AF19" s="3020"/>
      <c r="AG19" s="3020"/>
      <c r="AH19" s="3020"/>
      <c r="AI19" s="3020"/>
      <c r="AJ19" s="302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13" t="s">
        <v>626</v>
      </c>
      <c r="C21" s="3013"/>
      <c r="D21" s="942"/>
      <c r="E21" s="3022" t="s">
        <v>1581</v>
      </c>
      <c r="F21" s="3023"/>
      <c r="G21" s="3023"/>
      <c r="H21" s="3023"/>
      <c r="I21" s="3023"/>
      <c r="J21" s="3023"/>
      <c r="K21" s="3023"/>
      <c r="L21" s="3023"/>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4"/>
      <c r="AK21" s="935"/>
      <c r="AL21" s="935"/>
      <c r="AM21" s="935"/>
      <c r="AN21" s="931"/>
      <c r="AO21" s="932">
        <f>SUM(AO20)</f>
        <v>0</v>
      </c>
      <c r="AP21" s="932" t="s">
        <v>1579</v>
      </c>
    </row>
    <row r="22" spans="1:42" s="932" customFormat="1" ht="12.75" customHeight="1">
      <c r="A22" s="935"/>
      <c r="B22" s="935"/>
      <c r="C22" s="935"/>
      <c r="D22" s="945"/>
      <c r="E22" s="3025"/>
      <c r="F22" s="3026"/>
      <c r="G22" s="3026"/>
      <c r="H22" s="3026"/>
      <c r="I22" s="3026"/>
      <c r="J22" s="3026"/>
      <c r="K22" s="3026"/>
      <c r="L22" s="3026"/>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013" t="s">
        <v>626</v>
      </c>
      <c r="C24" s="3013"/>
      <c r="D24" s="942"/>
      <c r="E24" s="3028" t="s">
        <v>1582</v>
      </c>
      <c r="F24" s="3029"/>
      <c r="G24" s="3029"/>
      <c r="H24" s="3029"/>
      <c r="I24" s="3029"/>
      <c r="J24" s="3029"/>
      <c r="K24" s="3029"/>
      <c r="L24" s="3029"/>
      <c r="M24" s="3029"/>
      <c r="N24" s="3029"/>
      <c r="O24" s="3029"/>
      <c r="P24" s="3029"/>
      <c r="Q24" s="3029"/>
      <c r="R24" s="3029"/>
      <c r="S24" s="3029"/>
      <c r="T24" s="3029"/>
      <c r="U24" s="3029"/>
      <c r="V24" s="3029"/>
      <c r="W24" s="3029"/>
      <c r="X24" s="3029"/>
      <c r="Y24" s="3029"/>
      <c r="Z24" s="3029"/>
      <c r="AA24" s="3029"/>
      <c r="AB24" s="3029"/>
      <c r="AC24" s="3029"/>
      <c r="AD24" s="3029"/>
      <c r="AE24" s="3029"/>
      <c r="AF24" s="3029"/>
      <c r="AG24" s="3029"/>
      <c r="AH24" s="3029"/>
      <c r="AI24" s="3029"/>
      <c r="AJ24" s="3030"/>
      <c r="AK24" s="935"/>
      <c r="AL24" s="935"/>
      <c r="AM24" s="935"/>
      <c r="AN24" s="931"/>
      <c r="AO24" s="945">
        <f>IF($B39="yes",6,0)</f>
        <v>0</v>
      </c>
    </row>
    <row r="25" spans="1:42" s="932" customFormat="1" ht="12.75" customHeight="1">
      <c r="A25" s="935"/>
      <c r="B25" s="935"/>
      <c r="C25" s="935"/>
      <c r="D25" s="945"/>
      <c r="E25" s="3031"/>
      <c r="F25" s="3032"/>
      <c r="G25" s="3032"/>
      <c r="H25" s="3032"/>
      <c r="I25" s="3032"/>
      <c r="J25" s="3032"/>
      <c r="K25" s="3032"/>
      <c r="L25" s="3032"/>
      <c r="M25" s="3032"/>
      <c r="N25" s="3032"/>
      <c r="O25" s="3032"/>
      <c r="P25" s="3032"/>
      <c r="Q25" s="3032"/>
      <c r="R25" s="3032"/>
      <c r="S25" s="3032"/>
      <c r="T25" s="3032"/>
      <c r="U25" s="3032"/>
      <c r="V25" s="3032"/>
      <c r="W25" s="3032"/>
      <c r="X25" s="3032"/>
      <c r="Y25" s="3032"/>
      <c r="Z25" s="3032"/>
      <c r="AA25" s="3032"/>
      <c r="AB25" s="3032"/>
      <c r="AC25" s="3032"/>
      <c r="AD25" s="3032"/>
      <c r="AE25" s="3032"/>
      <c r="AF25" s="3032"/>
      <c r="AG25" s="3032"/>
      <c r="AH25" s="3032"/>
      <c r="AI25" s="3032"/>
      <c r="AJ25" s="303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13" t="s">
        <v>626</v>
      </c>
      <c r="C29" s="3013"/>
      <c r="D29" s="942"/>
      <c r="E29" s="3028" t="s">
        <v>1584</v>
      </c>
      <c r="F29" s="3029"/>
      <c r="G29" s="3029"/>
      <c r="H29" s="3029"/>
      <c r="I29" s="3029"/>
      <c r="J29" s="3029"/>
      <c r="K29" s="3029"/>
      <c r="L29" s="3029"/>
      <c r="M29" s="3029"/>
      <c r="N29" s="3029"/>
      <c r="O29" s="3029"/>
      <c r="P29" s="3029"/>
      <c r="Q29" s="3029"/>
      <c r="R29" s="3029"/>
      <c r="S29" s="3029"/>
      <c r="T29" s="3029"/>
      <c r="U29" s="3029"/>
      <c r="V29" s="3029"/>
      <c r="W29" s="3029"/>
      <c r="X29" s="3029"/>
      <c r="Y29" s="3029"/>
      <c r="Z29" s="3029"/>
      <c r="AA29" s="3029"/>
      <c r="AB29" s="3029"/>
      <c r="AC29" s="3029"/>
      <c r="AD29" s="3029"/>
      <c r="AE29" s="3029"/>
      <c r="AF29" s="3029"/>
      <c r="AG29" s="3029"/>
      <c r="AH29" s="3029"/>
      <c r="AI29" s="3029"/>
      <c r="AJ29" s="3030"/>
      <c r="AK29" s="935"/>
      <c r="AL29" s="935"/>
      <c r="AM29" s="935"/>
      <c r="AN29" s="931"/>
      <c r="AO29" s="945">
        <f>IF($B49="yes",6,0)</f>
        <v>0</v>
      </c>
    </row>
    <row r="30" spans="1:42" s="932" customFormat="1" ht="12.75" customHeight="1">
      <c r="A30" s="935"/>
      <c r="B30" s="935"/>
      <c r="C30" s="935"/>
      <c r="E30" s="3034"/>
      <c r="F30" s="3035"/>
      <c r="G30" s="3035"/>
      <c r="H30" s="3035"/>
      <c r="I30" s="3035"/>
      <c r="J30" s="3035"/>
      <c r="K30" s="3035"/>
      <c r="L30" s="3035"/>
      <c r="M30" s="3035"/>
      <c r="N30" s="3035"/>
      <c r="O30" s="3035"/>
      <c r="P30" s="3035"/>
      <c r="Q30" s="3035"/>
      <c r="R30" s="3035"/>
      <c r="S30" s="3035"/>
      <c r="T30" s="3035"/>
      <c r="U30" s="3035"/>
      <c r="V30" s="3035"/>
      <c r="W30" s="3035"/>
      <c r="X30" s="3035"/>
      <c r="Y30" s="3035"/>
      <c r="Z30" s="3035"/>
      <c r="AA30" s="3035"/>
      <c r="AB30" s="3035"/>
      <c r="AC30" s="3035"/>
      <c r="AD30" s="3035"/>
      <c r="AE30" s="3035"/>
      <c r="AF30" s="3035"/>
      <c r="AG30" s="3035"/>
      <c r="AH30" s="3035"/>
      <c r="AI30" s="3035"/>
      <c r="AJ30" s="3036"/>
      <c r="AK30" s="935"/>
      <c r="AL30" s="935"/>
      <c r="AM30" s="935"/>
      <c r="AN30" s="931"/>
      <c r="AO30" s="932">
        <f>IF(SUM(AO23:AO29)&gt;6,6,(SUM(AO23:AO29)))</f>
        <v>0</v>
      </c>
      <c r="AP30" s="932" t="s">
        <v>1579</v>
      </c>
    </row>
    <row r="31" spans="1:42" s="932" customFormat="1" ht="12.75" customHeight="1">
      <c r="A31" s="935"/>
      <c r="B31" s="935"/>
      <c r="C31" s="935"/>
      <c r="E31" s="3031"/>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58" t="s">
        <v>1586</v>
      </c>
      <c r="C34" s="3058"/>
      <c r="D34" s="3058"/>
      <c r="E34" s="3058"/>
      <c r="F34" s="3058"/>
      <c r="G34" s="3058"/>
      <c r="H34" s="3058"/>
      <c r="I34" s="3058"/>
      <c r="J34" s="3058"/>
      <c r="K34" s="3058"/>
      <c r="L34" s="3058"/>
      <c r="M34" s="3058"/>
      <c r="N34" s="3058"/>
      <c r="O34" s="3058"/>
      <c r="P34" s="3058"/>
      <c r="Q34" s="3058"/>
      <c r="R34" s="3058"/>
      <c r="S34" s="3058"/>
      <c r="T34" s="3058"/>
      <c r="U34" s="3058"/>
      <c r="V34" s="3058"/>
      <c r="W34" s="3058"/>
      <c r="X34" s="3058"/>
      <c r="Y34" s="3058"/>
      <c r="Z34" s="3058"/>
      <c r="AA34" s="3058"/>
      <c r="AB34" s="3058"/>
      <c r="AC34" s="3058"/>
      <c r="AD34" s="3058"/>
      <c r="AE34" s="3058"/>
      <c r="AF34" s="3058"/>
      <c r="AG34" s="3058"/>
      <c r="AH34" s="3058"/>
      <c r="AI34" s="3058"/>
      <c r="AJ34" s="3058"/>
      <c r="AK34" s="3058"/>
      <c r="AL34" s="935"/>
      <c r="AM34" s="935"/>
      <c r="AN34" s="931"/>
    </row>
    <row r="35" spans="1:41" s="932" customFormat="1" ht="12.75" customHeight="1">
      <c r="A35" s="935"/>
      <c r="B35" s="3058"/>
      <c r="C35" s="3058"/>
      <c r="D35" s="3058"/>
      <c r="E35" s="3058"/>
      <c r="F35" s="3058"/>
      <c r="G35" s="3058"/>
      <c r="H35" s="3058"/>
      <c r="I35" s="3058"/>
      <c r="J35" s="3058"/>
      <c r="K35" s="3058"/>
      <c r="L35" s="3058"/>
      <c r="M35" s="3058"/>
      <c r="N35" s="3058"/>
      <c r="O35" s="3058"/>
      <c r="P35" s="3058"/>
      <c r="Q35" s="3058"/>
      <c r="R35" s="3058"/>
      <c r="S35" s="3058"/>
      <c r="T35" s="3058"/>
      <c r="U35" s="3058"/>
      <c r="V35" s="3058"/>
      <c r="W35" s="3058"/>
      <c r="X35" s="3058"/>
      <c r="Y35" s="3058"/>
      <c r="Z35" s="3058"/>
      <c r="AA35" s="3058"/>
      <c r="AB35" s="3058"/>
      <c r="AC35" s="3058"/>
      <c r="AD35" s="3058"/>
      <c r="AE35" s="3058"/>
      <c r="AF35" s="3058"/>
      <c r="AG35" s="3058"/>
      <c r="AH35" s="3058"/>
      <c r="AI35" s="3058"/>
      <c r="AJ35" s="3058"/>
      <c r="AK35" s="305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13" t="s">
        <v>626</v>
      </c>
      <c r="C37" s="3013"/>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13" t="s">
        <v>626</v>
      </c>
      <c r="C39" s="3013"/>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13" t="s">
        <v>626</v>
      </c>
      <c r="C41" s="3013"/>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13" t="s">
        <v>626</v>
      </c>
      <c r="C43" s="3013"/>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13" t="s">
        <v>626</v>
      </c>
      <c r="C45" s="3013"/>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13" t="s">
        <v>626</v>
      </c>
      <c r="C47" s="3013"/>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13" t="s">
        <v>626</v>
      </c>
      <c r="C49" s="3013"/>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46">
        <f>AO32</f>
        <v>0</v>
      </c>
      <c r="AL51" s="3047"/>
      <c r="AM51" s="304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14" t="s">
        <v>1597</v>
      </c>
      <c r="AF54" s="3014"/>
      <c r="AG54" s="3014"/>
      <c r="AH54" s="3014"/>
      <c r="AI54" s="3014"/>
      <c r="AJ54" s="3014"/>
      <c r="AK54" s="3014"/>
      <c r="AL54" s="935"/>
      <c r="AM54" s="935"/>
      <c r="AN54" s="931"/>
    </row>
    <row r="55" spans="1:50" s="932" customFormat="1" ht="12.75" customHeight="1">
      <c r="A55" s="933"/>
      <c r="B55" s="934" t="s">
        <v>2239</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13" t="s">
        <v>626</v>
      </c>
      <c r="C57" s="3013"/>
      <c r="D57" s="942" t="s">
        <v>1598</v>
      </c>
      <c r="E57" s="3037" t="s">
        <v>2251</v>
      </c>
      <c r="F57" s="3038"/>
      <c r="G57" s="3038"/>
      <c r="H57" s="3038"/>
      <c r="I57" s="3038"/>
      <c r="J57" s="3038"/>
      <c r="K57" s="3038"/>
      <c r="L57" s="3038"/>
      <c r="M57" s="3038"/>
      <c r="N57" s="3038"/>
      <c r="O57" s="3038"/>
      <c r="P57" s="3038"/>
      <c r="Q57" s="3038"/>
      <c r="R57" s="3038"/>
      <c r="S57" s="3038"/>
      <c r="T57" s="3038"/>
      <c r="U57" s="3038"/>
      <c r="V57" s="3038"/>
      <c r="W57" s="3038"/>
      <c r="X57" s="3038"/>
      <c r="Y57" s="3038"/>
      <c r="Z57" s="3038"/>
      <c r="AA57" s="3038"/>
      <c r="AB57" s="3038"/>
      <c r="AC57" s="3038"/>
      <c r="AD57" s="3038"/>
      <c r="AE57" s="3038"/>
      <c r="AF57" s="3038"/>
      <c r="AG57" s="3038"/>
      <c r="AH57" s="3038"/>
      <c r="AI57" s="3038"/>
      <c r="AJ57" s="3039"/>
      <c r="AK57" s="938"/>
      <c r="AL57" s="935"/>
      <c r="AM57" s="935"/>
      <c r="AN57" s="931"/>
      <c r="AO57" s="945">
        <f>IF($B57="yes",10,0)</f>
        <v>0</v>
      </c>
    </row>
    <row r="58" spans="1:50" s="932" customFormat="1" ht="12.75" customHeight="1">
      <c r="A58" s="933"/>
      <c r="B58" s="935"/>
      <c r="C58" s="935"/>
      <c r="D58" s="946"/>
      <c r="E58" s="3040"/>
      <c r="F58" s="3041"/>
      <c r="G58" s="3041"/>
      <c r="H58" s="3041"/>
      <c r="I58" s="3041"/>
      <c r="J58" s="3041"/>
      <c r="K58" s="3041"/>
      <c r="L58" s="3041"/>
      <c r="M58" s="3041"/>
      <c r="N58" s="3041"/>
      <c r="O58" s="3041"/>
      <c r="P58" s="3041"/>
      <c r="Q58" s="3041"/>
      <c r="R58" s="3041"/>
      <c r="S58" s="3041"/>
      <c r="T58" s="3041"/>
      <c r="U58" s="3041"/>
      <c r="V58" s="3041"/>
      <c r="W58" s="3041"/>
      <c r="X58" s="3041"/>
      <c r="Y58" s="3041"/>
      <c r="Z58" s="3041"/>
      <c r="AA58" s="3041"/>
      <c r="AB58" s="3041"/>
      <c r="AC58" s="3041"/>
      <c r="AD58" s="3041"/>
      <c r="AE58" s="3041"/>
      <c r="AF58" s="3041"/>
      <c r="AG58" s="3041"/>
      <c r="AH58" s="3041"/>
      <c r="AI58" s="3041"/>
      <c r="AJ58" s="3042"/>
      <c r="AK58" s="938"/>
      <c r="AL58" s="935"/>
      <c r="AM58" s="935"/>
      <c r="AN58" s="931"/>
      <c r="AO58" s="945">
        <f>IF($B62="yes",10,0)</f>
        <v>10</v>
      </c>
    </row>
    <row r="59" spans="1:50" s="932" customFormat="1" ht="12.75" customHeight="1">
      <c r="A59" s="933"/>
      <c r="B59" s="935"/>
      <c r="C59" s="935"/>
      <c r="D59" s="946"/>
      <c r="E59" s="3040"/>
      <c r="F59" s="3041"/>
      <c r="G59" s="3041"/>
      <c r="H59" s="3041"/>
      <c r="I59" s="3041"/>
      <c r="J59" s="3041"/>
      <c r="K59" s="3041"/>
      <c r="L59" s="3041"/>
      <c r="M59" s="3041"/>
      <c r="N59" s="3041"/>
      <c r="O59" s="3041"/>
      <c r="P59" s="3041"/>
      <c r="Q59" s="3041"/>
      <c r="R59" s="3041"/>
      <c r="S59" s="3041"/>
      <c r="T59" s="3041"/>
      <c r="U59" s="3041"/>
      <c r="V59" s="3041"/>
      <c r="W59" s="3041"/>
      <c r="X59" s="3041"/>
      <c r="Y59" s="3041"/>
      <c r="Z59" s="3041"/>
      <c r="AA59" s="3041"/>
      <c r="AB59" s="3041"/>
      <c r="AC59" s="3041"/>
      <c r="AD59" s="3041"/>
      <c r="AE59" s="3041"/>
      <c r="AF59" s="3041"/>
      <c r="AG59" s="3041"/>
      <c r="AH59" s="3041"/>
      <c r="AI59" s="3041"/>
      <c r="AJ59" s="3042"/>
      <c r="AK59" s="938"/>
      <c r="AL59" s="935"/>
      <c r="AM59" s="935"/>
      <c r="AN59" s="931"/>
      <c r="AO59" s="945">
        <f>IF($B69="yes",10,0)</f>
        <v>0</v>
      </c>
    </row>
    <row r="60" spans="1:50" s="932" customFormat="1" ht="12.75" customHeight="1">
      <c r="A60" s="933"/>
      <c r="B60" s="935"/>
      <c r="C60" s="935"/>
      <c r="D60" s="946"/>
      <c r="E60" s="3043"/>
      <c r="F60" s="3044"/>
      <c r="G60" s="3044"/>
      <c r="H60" s="3044"/>
      <c r="I60" s="3044"/>
      <c r="J60" s="3044"/>
      <c r="K60" s="3044"/>
      <c r="L60" s="3044"/>
      <c r="M60" s="3044"/>
      <c r="N60" s="3044"/>
      <c r="O60" s="3044"/>
      <c r="P60" s="3044"/>
      <c r="Q60" s="3044"/>
      <c r="R60" s="3044"/>
      <c r="S60" s="3044"/>
      <c r="T60" s="3044"/>
      <c r="U60" s="3044"/>
      <c r="V60" s="3044"/>
      <c r="W60" s="3044"/>
      <c r="X60" s="3044"/>
      <c r="Y60" s="3044"/>
      <c r="Z60" s="3044"/>
      <c r="AA60" s="3044"/>
      <c r="AB60" s="3044"/>
      <c r="AC60" s="3044"/>
      <c r="AD60" s="3044"/>
      <c r="AE60" s="3044"/>
      <c r="AF60" s="3044"/>
      <c r="AG60" s="3044"/>
      <c r="AH60" s="3044"/>
      <c r="AI60" s="3044"/>
      <c r="AJ60" s="3045"/>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13" t="s">
        <v>578</v>
      </c>
      <c r="C62" s="3013"/>
      <c r="D62" s="942" t="s">
        <v>1600</v>
      </c>
      <c r="E62" s="1693" t="s">
        <v>2235</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53" t="s">
        <v>626</v>
      </c>
      <c r="F63" s="3013"/>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59" t="s">
        <v>578</v>
      </c>
      <c r="F64" s="3060"/>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59" t="s">
        <v>626</v>
      </c>
      <c r="F65" s="3060"/>
      <c r="G65" s="971"/>
      <c r="H65" s="1692" t="s">
        <v>2250</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53" t="s">
        <v>578</v>
      </c>
      <c r="F67" s="3013"/>
      <c r="G67" s="1593"/>
      <c r="H67" s="1701" t="s">
        <v>2249</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13" t="s">
        <v>626</v>
      </c>
      <c r="C69" s="3013"/>
      <c r="D69" s="942" t="s">
        <v>1603</v>
      </c>
      <c r="E69" s="3028" t="s">
        <v>2252</v>
      </c>
      <c r="F69" s="3029"/>
      <c r="G69" s="3029"/>
      <c r="H69" s="3029"/>
      <c r="I69" s="3029"/>
      <c r="J69" s="3029"/>
      <c r="K69" s="3029"/>
      <c r="L69" s="3029"/>
      <c r="M69" s="3029"/>
      <c r="N69" s="3029"/>
      <c r="O69" s="3029"/>
      <c r="P69" s="3029"/>
      <c r="Q69" s="3029"/>
      <c r="R69" s="3029"/>
      <c r="S69" s="3029"/>
      <c r="T69" s="3029"/>
      <c r="U69" s="3029"/>
      <c r="V69" s="3029"/>
      <c r="W69" s="3029"/>
      <c r="X69" s="3029"/>
      <c r="Y69" s="3029"/>
      <c r="Z69" s="3029"/>
      <c r="AA69" s="3029"/>
      <c r="AB69" s="3029"/>
      <c r="AC69" s="3029"/>
      <c r="AD69" s="3029"/>
      <c r="AE69" s="3029"/>
      <c r="AF69" s="3029"/>
      <c r="AG69" s="3029"/>
      <c r="AH69" s="3029"/>
      <c r="AI69" s="3029"/>
      <c r="AJ69" s="3030"/>
      <c r="AK69" s="938"/>
      <c r="AL69" s="935"/>
      <c r="AM69" s="935"/>
      <c r="AN69" s="931"/>
    </row>
    <row r="70" spans="1:40" s="932" customFormat="1" ht="12.75" customHeight="1">
      <c r="A70" s="933"/>
      <c r="B70" s="935"/>
      <c r="C70" s="935"/>
      <c r="D70" s="945"/>
      <c r="E70" s="3031"/>
      <c r="F70" s="3032"/>
      <c r="G70" s="3032"/>
      <c r="H70" s="3032"/>
      <c r="I70" s="3032"/>
      <c r="J70" s="3032"/>
      <c r="K70" s="3032"/>
      <c r="L70" s="3032"/>
      <c r="M70" s="3032"/>
      <c r="N70" s="3032"/>
      <c r="O70" s="3032"/>
      <c r="P70" s="3032"/>
      <c r="Q70" s="3032"/>
      <c r="R70" s="3032"/>
      <c r="S70" s="3032"/>
      <c r="T70" s="3032"/>
      <c r="U70" s="3032"/>
      <c r="V70" s="3032"/>
      <c r="W70" s="3032"/>
      <c r="X70" s="3032"/>
      <c r="Y70" s="3032"/>
      <c r="Z70" s="3032"/>
      <c r="AA70" s="3032"/>
      <c r="AB70" s="3032"/>
      <c r="AC70" s="3032"/>
      <c r="AD70" s="3032"/>
      <c r="AE70" s="3032"/>
      <c r="AF70" s="3032"/>
      <c r="AG70" s="3032"/>
      <c r="AH70" s="3032"/>
      <c r="AI70" s="3032"/>
      <c r="AJ70" s="303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46">
        <f>IF(AK51&gt;0,0,AO60)</f>
        <v>10</v>
      </c>
      <c r="AL72" s="3047"/>
      <c r="AM72" s="304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14" t="s">
        <v>1575</v>
      </c>
      <c r="AF75" s="3014"/>
      <c r="AG75" s="3014"/>
      <c r="AH75" s="3014"/>
      <c r="AI75" s="3014"/>
      <c r="AJ75" s="3014"/>
      <c r="AK75" s="3014"/>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13" t="s">
        <v>626</v>
      </c>
      <c r="C78" s="3013"/>
      <c r="D78" s="942" t="s">
        <v>1598</v>
      </c>
      <c r="E78" s="3007" t="s">
        <v>1608</v>
      </c>
      <c r="F78" s="3008"/>
      <c r="G78" s="3008"/>
      <c r="H78" s="3008"/>
      <c r="I78" s="3008"/>
      <c r="J78" s="3008"/>
      <c r="K78" s="3008"/>
      <c r="L78" s="3008"/>
      <c r="M78" s="3008"/>
      <c r="N78" s="3008"/>
      <c r="O78" s="3008"/>
      <c r="P78" s="3008"/>
      <c r="Q78" s="3008"/>
      <c r="R78" s="3008"/>
      <c r="S78" s="3008"/>
      <c r="T78" s="3008"/>
      <c r="U78" s="3008"/>
      <c r="V78" s="3008"/>
      <c r="W78" s="3008"/>
      <c r="X78" s="3008"/>
      <c r="Y78" s="3008"/>
      <c r="Z78" s="3008"/>
      <c r="AA78" s="3008"/>
      <c r="AB78" s="3008"/>
      <c r="AC78" s="3008"/>
      <c r="AD78" s="3008"/>
      <c r="AE78" s="3008"/>
      <c r="AF78" s="3008"/>
      <c r="AG78" s="3008"/>
      <c r="AH78" s="3008"/>
      <c r="AI78" s="3008"/>
      <c r="AJ78" s="3009"/>
      <c r="AK78" s="938"/>
      <c r="AL78" s="935"/>
      <c r="AM78" s="935"/>
      <c r="AN78" s="931"/>
    </row>
    <row r="79" spans="1:40" s="932" customFormat="1" ht="12.75" customHeight="1">
      <c r="A79" s="933"/>
      <c r="B79" s="934"/>
      <c r="C79" s="934"/>
      <c r="D79" s="934"/>
      <c r="E79" s="3010"/>
      <c r="F79" s="3011"/>
      <c r="G79" s="3011"/>
      <c r="H79" s="3011"/>
      <c r="I79" s="3011"/>
      <c r="J79" s="3011"/>
      <c r="K79" s="3011"/>
      <c r="L79" s="3011"/>
      <c r="M79" s="3011"/>
      <c r="N79" s="3011"/>
      <c r="O79" s="3011"/>
      <c r="P79" s="3011"/>
      <c r="Q79" s="3011"/>
      <c r="R79" s="3011"/>
      <c r="S79" s="3011"/>
      <c r="T79" s="3011"/>
      <c r="U79" s="3011"/>
      <c r="V79" s="3011"/>
      <c r="W79" s="3011"/>
      <c r="X79" s="3011"/>
      <c r="Y79" s="3011"/>
      <c r="Z79" s="3011"/>
      <c r="AA79" s="3011"/>
      <c r="AB79" s="3011"/>
      <c r="AC79" s="3011"/>
      <c r="AD79" s="3011"/>
      <c r="AE79" s="3011"/>
      <c r="AF79" s="3011"/>
      <c r="AG79" s="3011"/>
      <c r="AH79" s="3011"/>
      <c r="AI79" s="3011"/>
      <c r="AJ79" s="301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9">
        <f>Application!AH753</f>
        <v>0.58958333333333335</v>
      </c>
      <c r="F81" s="3050"/>
      <c r="G81" s="3050"/>
      <c r="H81" s="3050"/>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51">
        <f>0.6-ROUNDUP(E81,2)</f>
        <v>1.0000000000000009E-2</v>
      </c>
      <c r="F82" s="3052"/>
      <c r="G82" s="3052"/>
      <c r="H82" s="3052"/>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61">
        <f>IF(E82*200&gt;20,20,E82*200)</f>
        <v>2.0000000000000018</v>
      </c>
      <c r="F83" s="3062"/>
      <c r="G83" s="3062"/>
      <c r="H83" s="3062"/>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13" t="s">
        <v>578</v>
      </c>
      <c r="C86" s="3013"/>
      <c r="D86" s="942" t="s">
        <v>1600</v>
      </c>
      <c r="E86" s="3007" t="s">
        <v>2236</v>
      </c>
      <c r="F86" s="3008"/>
      <c r="G86" s="3008"/>
      <c r="H86" s="3008"/>
      <c r="I86" s="3008"/>
      <c r="J86" s="3008"/>
      <c r="K86" s="3008"/>
      <c r="L86" s="3008"/>
      <c r="M86" s="3008"/>
      <c r="N86" s="3008"/>
      <c r="O86" s="3008"/>
      <c r="P86" s="3008"/>
      <c r="Q86" s="3008"/>
      <c r="R86" s="3008"/>
      <c r="S86" s="3008"/>
      <c r="T86" s="3008"/>
      <c r="U86" s="3008"/>
      <c r="V86" s="3008"/>
      <c r="W86" s="3008"/>
      <c r="X86" s="3008"/>
      <c r="Y86" s="3008"/>
      <c r="Z86" s="3008"/>
      <c r="AA86" s="3008"/>
      <c r="AB86" s="3008"/>
      <c r="AC86" s="3008"/>
      <c r="AD86" s="3008"/>
      <c r="AE86" s="3008"/>
      <c r="AF86" s="3008"/>
      <c r="AG86" s="3008"/>
      <c r="AH86" s="3008"/>
      <c r="AI86" s="3008"/>
      <c r="AJ86" s="3009"/>
      <c r="AK86" s="938"/>
      <c r="AL86" s="935"/>
      <c r="AM86" s="935"/>
      <c r="AN86" s="931"/>
    </row>
    <row r="87" spans="1:47" s="932" customFormat="1" ht="12.75" customHeight="1">
      <c r="A87" s="933"/>
      <c r="B87" s="934"/>
      <c r="C87" s="934"/>
      <c r="D87" s="934"/>
      <c r="E87" s="3010"/>
      <c r="F87" s="3011"/>
      <c r="G87" s="3011"/>
      <c r="H87" s="3011"/>
      <c r="I87" s="3011"/>
      <c r="J87" s="3011"/>
      <c r="K87" s="3011"/>
      <c r="L87" s="3011"/>
      <c r="M87" s="3011"/>
      <c r="N87" s="3011"/>
      <c r="O87" s="3011"/>
      <c r="P87" s="3011"/>
      <c r="Q87" s="3011"/>
      <c r="R87" s="3011"/>
      <c r="S87" s="3011"/>
      <c r="T87" s="3011"/>
      <c r="U87" s="3011"/>
      <c r="V87" s="3011"/>
      <c r="W87" s="3011"/>
      <c r="X87" s="3011"/>
      <c r="Y87" s="3011"/>
      <c r="Z87" s="3011"/>
      <c r="AA87" s="3011"/>
      <c r="AB87" s="3011"/>
      <c r="AC87" s="3011"/>
      <c r="AD87" s="3011"/>
      <c r="AE87" s="3011"/>
      <c r="AF87" s="3011"/>
      <c r="AG87" s="3011"/>
      <c r="AH87" s="3011"/>
      <c r="AI87" s="3011"/>
      <c r="AJ87" s="3012"/>
      <c r="AK87" s="938"/>
      <c r="AL87" s="935"/>
      <c r="AM87" s="935"/>
      <c r="AN87" s="931"/>
    </row>
    <row r="88" spans="1:47" s="932" customFormat="1" ht="12.75" customHeight="1">
      <c r="A88" s="933"/>
      <c r="B88" s="934"/>
      <c r="C88" s="934"/>
      <c r="D88" s="934"/>
      <c r="E88" s="3010"/>
      <c r="F88" s="3011"/>
      <c r="G88" s="3011"/>
      <c r="H88" s="3011"/>
      <c r="I88" s="3011"/>
      <c r="J88" s="3011"/>
      <c r="K88" s="3011"/>
      <c r="L88" s="3011"/>
      <c r="M88" s="3011"/>
      <c r="N88" s="3011"/>
      <c r="O88" s="3011"/>
      <c r="P88" s="3011"/>
      <c r="Q88" s="3011"/>
      <c r="R88" s="3011"/>
      <c r="S88" s="3011"/>
      <c r="T88" s="3011"/>
      <c r="U88" s="3011"/>
      <c r="V88" s="3011"/>
      <c r="W88" s="3011"/>
      <c r="X88" s="3011"/>
      <c r="Y88" s="3011"/>
      <c r="Z88" s="3011"/>
      <c r="AA88" s="3011"/>
      <c r="AB88" s="3011"/>
      <c r="AC88" s="3011"/>
      <c r="AD88" s="3011"/>
      <c r="AE88" s="3011"/>
      <c r="AF88" s="3011"/>
      <c r="AG88" s="3011"/>
      <c r="AH88" s="3011"/>
      <c r="AI88" s="3011"/>
      <c r="AJ88" s="3012"/>
      <c r="AK88" s="938"/>
      <c r="AL88" s="935"/>
      <c r="AM88" s="935"/>
      <c r="AN88" s="931"/>
    </row>
    <row r="89" spans="1:47" s="932" customFormat="1" ht="12.75" customHeight="1">
      <c r="A89" s="933"/>
      <c r="B89" s="934"/>
      <c r="C89" s="934"/>
      <c r="D89" s="934"/>
      <c r="E89" s="3010"/>
      <c r="F89" s="3011"/>
      <c r="G89" s="3011"/>
      <c r="H89" s="3011"/>
      <c r="I89" s="3011"/>
      <c r="J89" s="3011"/>
      <c r="K89" s="3011"/>
      <c r="L89" s="3011"/>
      <c r="M89" s="3011"/>
      <c r="N89" s="3011"/>
      <c r="O89" s="3011"/>
      <c r="P89" s="3011"/>
      <c r="Q89" s="3011"/>
      <c r="R89" s="3011"/>
      <c r="S89" s="3011"/>
      <c r="T89" s="3011"/>
      <c r="U89" s="3011"/>
      <c r="V89" s="3011"/>
      <c r="W89" s="3011"/>
      <c r="X89" s="3011"/>
      <c r="Y89" s="3011"/>
      <c r="Z89" s="3011"/>
      <c r="AA89" s="3011"/>
      <c r="AB89" s="3011"/>
      <c r="AC89" s="3011"/>
      <c r="AD89" s="3011"/>
      <c r="AE89" s="3011"/>
      <c r="AF89" s="3011"/>
      <c r="AG89" s="3011"/>
      <c r="AH89" s="3011"/>
      <c r="AI89" s="3011"/>
      <c r="AJ89" s="301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9">
        <f>Application!AH753</f>
        <v>0.58958333333333335</v>
      </c>
      <c r="F91" s="3050"/>
      <c r="G91" s="3050"/>
      <c r="H91" s="3050"/>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9">
        <f ca="1">SUMIF(Application!AH728:AL752,0.2,Application!G728:J752)/Application!G753+SUMIF(Application!AH728:AL752,0.25,Application!G728:J752)/Application!G753+SUMIF(Application!AH728:AL752,0.3,Application!G728:J752)/Application!G753</f>
        <v>0.10416666666666667</v>
      </c>
      <c r="F92" s="3050"/>
      <c r="G92" s="3050"/>
      <c r="H92" s="3050"/>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49">
        <f ca="1">SUMIF(Application!AH728:AL752,0.35,Application!G728:J752)/Application!G753+SUMIF(Application!AH728:AL752,0.4,Application!G728:J752)/Application!G753+SUMIF(Application!AH728:AL752,0.45,Application!G728:J752)/Application!G753+SUMIF(Application!AH728:AL752,0.5,Application!G728:J752)/Application!G753</f>
        <v>0.10416666666666667</v>
      </c>
      <c r="F93" s="3050"/>
      <c r="G93" s="3050"/>
      <c r="H93" s="3050"/>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66">
        <f ca="1">IF(AND(E91&lt;=0.6,E92&gt;=0.1,OR(E93&gt;=0.1,E92=1)),20,0)</f>
        <v>20</v>
      </c>
      <c r="F94" s="3067"/>
      <c r="G94" s="3067"/>
      <c r="H94" s="3067"/>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46">
        <f ca="1">MAX(AP83,AP94)</f>
        <v>20</v>
      </c>
      <c r="AL97" s="3047"/>
      <c r="AM97" s="304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14" t="s">
        <v>1597</v>
      </c>
      <c r="AF100" s="3014"/>
      <c r="AG100" s="3014"/>
      <c r="AH100" s="3014"/>
      <c r="AI100" s="3014"/>
      <c r="AJ100" s="3014"/>
      <c r="AK100" s="3014"/>
      <c r="AL100" s="935"/>
      <c r="AM100" s="935"/>
      <c r="AN100" s="931"/>
      <c r="AO100" s="932" t="str">
        <f>Application!B728</f>
        <v>1 Bedroom</v>
      </c>
      <c r="AQ100" s="932">
        <f>Application!O728</f>
        <v>447</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771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933</v>
      </c>
    </row>
    <row r="103" spans="1:49" s="932" customFormat="1" ht="12.75" customHeight="1">
      <c r="A103" s="935"/>
      <c r="B103" s="3013" t="s">
        <v>578</v>
      </c>
      <c r="C103" s="3013"/>
      <c r="D103" s="942" t="s">
        <v>1598</v>
      </c>
      <c r="E103" s="3007" t="s">
        <v>2448</v>
      </c>
      <c r="F103" s="3008"/>
      <c r="G103" s="3008"/>
      <c r="H103" s="3008"/>
      <c r="I103" s="3008"/>
      <c r="J103" s="3008"/>
      <c r="K103" s="3008"/>
      <c r="L103" s="3008"/>
      <c r="M103" s="3008"/>
      <c r="N103" s="3008"/>
      <c r="O103" s="3008"/>
      <c r="P103" s="3008"/>
      <c r="Q103" s="3008"/>
      <c r="R103" s="3008"/>
      <c r="S103" s="3008"/>
      <c r="T103" s="3008"/>
      <c r="U103" s="3008"/>
      <c r="V103" s="3008"/>
      <c r="W103" s="3008"/>
      <c r="X103" s="3008"/>
      <c r="Y103" s="3008"/>
      <c r="Z103" s="3008"/>
      <c r="AA103" s="3008"/>
      <c r="AB103" s="3008"/>
      <c r="AC103" s="3008"/>
      <c r="AD103" s="3008"/>
      <c r="AE103" s="3008"/>
      <c r="AF103" s="3008"/>
      <c r="AG103" s="3008"/>
      <c r="AH103" s="3008"/>
      <c r="AI103" s="3008"/>
      <c r="AJ103" s="3009"/>
      <c r="AK103" s="935"/>
      <c r="AL103" s="935"/>
      <c r="AM103" s="935"/>
      <c r="AN103" s="931"/>
      <c r="AO103" s="932" t="str">
        <f>Application!B731</f>
        <v>1 Bedroom</v>
      </c>
      <c r="AQ103" s="932">
        <f>Application!O731</f>
        <v>933</v>
      </c>
      <c r="AU103" s="932" t="s">
        <v>2425</v>
      </c>
      <c r="AV103" s="1783" t="s">
        <v>2426</v>
      </c>
      <c r="AW103" s="932" t="s">
        <v>2427</v>
      </c>
    </row>
    <row r="104" spans="1:49" s="932" customFormat="1" ht="12.75" customHeight="1">
      <c r="A104" s="935"/>
      <c r="B104" s="934"/>
      <c r="C104" s="934"/>
      <c r="D104" s="934"/>
      <c r="E104" s="3010"/>
      <c r="F104" s="3011"/>
      <c r="G104" s="3011"/>
      <c r="H104" s="3011"/>
      <c r="I104" s="3011"/>
      <c r="J104" s="3011"/>
      <c r="K104" s="3011"/>
      <c r="L104" s="3011"/>
      <c r="M104" s="3011"/>
      <c r="N104" s="3011"/>
      <c r="O104" s="3011"/>
      <c r="P104" s="3011"/>
      <c r="Q104" s="3011"/>
      <c r="R104" s="3011"/>
      <c r="S104" s="3011"/>
      <c r="T104" s="3011"/>
      <c r="U104" s="3011"/>
      <c r="V104" s="3011"/>
      <c r="W104" s="3011"/>
      <c r="X104" s="3011"/>
      <c r="Y104" s="3011"/>
      <c r="Z104" s="3011"/>
      <c r="AA104" s="3011"/>
      <c r="AB104" s="3011"/>
      <c r="AC104" s="3011"/>
      <c r="AD104" s="3011"/>
      <c r="AE104" s="3011"/>
      <c r="AF104" s="3011"/>
      <c r="AG104" s="3011"/>
      <c r="AH104" s="3011"/>
      <c r="AI104" s="3011"/>
      <c r="AJ104" s="3012"/>
      <c r="AK104" s="935"/>
      <c r="AL104" s="935"/>
      <c r="AM104" s="935"/>
      <c r="AN104" s="931"/>
      <c r="AO104" s="932" t="str">
        <f>Application!B732</f>
        <v>1 Bedroom</v>
      </c>
      <c r="AQ104" s="932">
        <f>Application!O732</f>
        <v>1095</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010"/>
      <c r="F105" s="3011"/>
      <c r="G105" s="3011"/>
      <c r="H105" s="3011"/>
      <c r="I105" s="3011"/>
      <c r="J105" s="3011"/>
      <c r="K105" s="3011"/>
      <c r="L105" s="3011"/>
      <c r="M105" s="3011"/>
      <c r="N105" s="3011"/>
      <c r="O105" s="3011"/>
      <c r="P105" s="3011"/>
      <c r="Q105" s="3011"/>
      <c r="R105" s="3011"/>
      <c r="S105" s="3011"/>
      <c r="T105" s="3011"/>
      <c r="U105" s="3011"/>
      <c r="V105" s="3011"/>
      <c r="W105" s="3011"/>
      <c r="X105" s="3011"/>
      <c r="Y105" s="3011"/>
      <c r="Z105" s="3011"/>
      <c r="AA105" s="3011"/>
      <c r="AB105" s="3011"/>
      <c r="AC105" s="3011"/>
      <c r="AD105" s="3011"/>
      <c r="AE105" s="3011"/>
      <c r="AF105" s="3011"/>
      <c r="AG105" s="3011"/>
      <c r="AH105" s="3011"/>
      <c r="AI105" s="3011"/>
      <c r="AJ105" s="3012"/>
      <c r="AK105" s="935"/>
      <c r="AL105" s="935"/>
      <c r="AM105" s="935"/>
      <c r="AN105" s="931"/>
      <c r="AO105" s="932" t="str">
        <f>Application!B733</f>
        <v>2 Bedrooms</v>
      </c>
      <c r="AQ105" s="932">
        <f>Application!O733</f>
        <v>538</v>
      </c>
      <c r="AU105" s="1786" t="str">
        <f>J112</f>
        <v>1-bedroom</v>
      </c>
      <c r="AV105" s="932">
        <f t="array" ref="AV105">SUM(IF(Application!B728:F752="1 Bedroom",Application!G728:J752))</f>
        <v>96</v>
      </c>
      <c r="AW105" s="1821">
        <f>AV105/AV110</f>
        <v>0.5</v>
      </c>
    </row>
    <row r="106" spans="1:49" s="932" customFormat="1" ht="12.75" customHeight="1">
      <c r="A106" s="935"/>
      <c r="B106" s="934"/>
      <c r="C106" s="934"/>
      <c r="D106" s="934"/>
      <c r="E106" s="3010"/>
      <c r="F106" s="3011"/>
      <c r="G106" s="3011"/>
      <c r="H106" s="3011"/>
      <c r="I106" s="3011"/>
      <c r="J106" s="3011"/>
      <c r="K106" s="3011"/>
      <c r="L106" s="3011"/>
      <c r="M106" s="3011"/>
      <c r="N106" s="3011"/>
      <c r="O106" s="3011"/>
      <c r="P106" s="3011"/>
      <c r="Q106" s="3011"/>
      <c r="R106" s="3011"/>
      <c r="S106" s="3011"/>
      <c r="T106" s="3011"/>
      <c r="U106" s="3011"/>
      <c r="V106" s="3011"/>
      <c r="W106" s="3011"/>
      <c r="X106" s="3011"/>
      <c r="Y106" s="3011"/>
      <c r="Z106" s="3011"/>
      <c r="AA106" s="3011"/>
      <c r="AB106" s="3011"/>
      <c r="AC106" s="3011"/>
      <c r="AD106" s="3011"/>
      <c r="AE106" s="3011"/>
      <c r="AF106" s="3011"/>
      <c r="AG106" s="3011"/>
      <c r="AH106" s="3011"/>
      <c r="AI106" s="3011"/>
      <c r="AJ106" s="3012"/>
      <c r="AK106" s="935"/>
      <c r="AL106" s="935"/>
      <c r="AM106" s="935"/>
      <c r="AN106" s="931"/>
      <c r="AO106" s="932" t="str">
        <f>Application!B734</f>
        <v>2 Bedrooms</v>
      </c>
      <c r="AQ106" s="932">
        <f>Application!O734</f>
        <v>927</v>
      </c>
      <c r="AU106" s="1786" t="str">
        <f>O112</f>
        <v>2-bedroom</v>
      </c>
      <c r="AV106" s="932">
        <f t="array" ref="AV106">SUM(IF(Application!B728:F752="2 Bedrooms",Application!G728:J752))</f>
        <v>48</v>
      </c>
      <c r="AW106" s="1821">
        <f>AV106/AV110</f>
        <v>0.25</v>
      </c>
    </row>
    <row r="107" spans="1:49" s="932" customFormat="1" ht="12.75" customHeight="1">
      <c r="A107" s="935"/>
      <c r="B107" s="934"/>
      <c r="C107" s="934"/>
      <c r="D107" s="934"/>
      <c r="E107" s="3010"/>
      <c r="F107" s="3011"/>
      <c r="G107" s="3011"/>
      <c r="H107" s="3011"/>
      <c r="I107" s="3011"/>
      <c r="J107" s="3011"/>
      <c r="K107" s="3011"/>
      <c r="L107" s="3011"/>
      <c r="M107" s="3011"/>
      <c r="N107" s="3011"/>
      <c r="O107" s="3011"/>
      <c r="P107" s="3011"/>
      <c r="Q107" s="3011"/>
      <c r="R107" s="3011"/>
      <c r="S107" s="3011"/>
      <c r="T107" s="3011"/>
      <c r="U107" s="3011"/>
      <c r="V107" s="3011"/>
      <c r="W107" s="3011"/>
      <c r="X107" s="3011"/>
      <c r="Y107" s="3011"/>
      <c r="Z107" s="3011"/>
      <c r="AA107" s="3011"/>
      <c r="AB107" s="3011"/>
      <c r="AC107" s="3011"/>
      <c r="AD107" s="3011"/>
      <c r="AE107" s="3011"/>
      <c r="AF107" s="3011"/>
      <c r="AG107" s="3011"/>
      <c r="AH107" s="3011"/>
      <c r="AI107" s="3011"/>
      <c r="AJ107" s="3012"/>
      <c r="AK107" s="935"/>
      <c r="AL107" s="935"/>
      <c r="AM107" s="935"/>
      <c r="AN107" s="931"/>
      <c r="AO107" s="932" t="str">
        <f>Application!B735</f>
        <v>2 Bedrooms</v>
      </c>
      <c r="AQ107" s="932">
        <f>Application!O735</f>
        <v>1121</v>
      </c>
      <c r="AU107" s="1786" t="str">
        <f>T112</f>
        <v>3-bedroom</v>
      </c>
      <c r="AV107" s="932">
        <f t="array" ref="AV107">SUM(IF(Application!B728:F752="3 Bedrooms",Application!G728:J752))</f>
        <v>48</v>
      </c>
      <c r="AW107" s="1821">
        <f>AV107/AV110</f>
        <v>0.25</v>
      </c>
    </row>
    <row r="108" spans="1:49" s="932" customFormat="1" ht="12.75" customHeight="1">
      <c r="A108" s="935"/>
      <c r="B108" s="934"/>
      <c r="C108" s="934"/>
      <c r="D108" s="934"/>
      <c r="E108" s="3010"/>
      <c r="F108" s="3011"/>
      <c r="G108" s="3011"/>
      <c r="H108" s="3011"/>
      <c r="I108" s="3011"/>
      <c r="J108" s="3011"/>
      <c r="K108" s="3011"/>
      <c r="L108" s="3011"/>
      <c r="M108" s="3011"/>
      <c r="N108" s="3011"/>
      <c r="O108" s="3011"/>
      <c r="P108" s="3011"/>
      <c r="Q108" s="3011"/>
      <c r="R108" s="3011"/>
      <c r="S108" s="3011"/>
      <c r="T108" s="3011"/>
      <c r="U108" s="3011"/>
      <c r="V108" s="3011"/>
      <c r="W108" s="3011"/>
      <c r="X108" s="3011"/>
      <c r="Y108" s="3011"/>
      <c r="Z108" s="3011"/>
      <c r="AA108" s="3011"/>
      <c r="AB108" s="3011"/>
      <c r="AC108" s="3011"/>
      <c r="AD108" s="3011"/>
      <c r="AE108" s="3011"/>
      <c r="AF108" s="3011"/>
      <c r="AG108" s="3011"/>
      <c r="AH108" s="3011"/>
      <c r="AI108" s="3011"/>
      <c r="AJ108" s="3012"/>
      <c r="AK108" s="935"/>
      <c r="AL108" s="935"/>
      <c r="AM108" s="935"/>
      <c r="AN108" s="931"/>
      <c r="AO108" s="932" t="str">
        <f>Application!B736</f>
        <v>2 Bedrooms</v>
      </c>
      <c r="AQ108" s="932">
        <f>Application!O736</f>
        <v>1121</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010"/>
      <c r="F109" s="3011"/>
      <c r="G109" s="3011"/>
      <c r="H109" s="3011"/>
      <c r="I109" s="3011"/>
      <c r="J109" s="3011"/>
      <c r="K109" s="3011"/>
      <c r="L109" s="3011"/>
      <c r="M109" s="3011"/>
      <c r="N109" s="3011"/>
      <c r="O109" s="3011"/>
      <c r="P109" s="3011"/>
      <c r="Q109" s="3011"/>
      <c r="R109" s="3011"/>
      <c r="S109" s="3011"/>
      <c r="T109" s="3011"/>
      <c r="U109" s="3011"/>
      <c r="V109" s="3011"/>
      <c r="W109" s="3011"/>
      <c r="X109" s="3011"/>
      <c r="Y109" s="3011"/>
      <c r="Z109" s="3011"/>
      <c r="AA109" s="3011"/>
      <c r="AB109" s="3011"/>
      <c r="AC109" s="3011"/>
      <c r="AD109" s="3011"/>
      <c r="AE109" s="3011"/>
      <c r="AF109" s="3011"/>
      <c r="AG109" s="3011"/>
      <c r="AH109" s="3011"/>
      <c r="AI109" s="3011"/>
      <c r="AJ109" s="3012"/>
      <c r="AK109" s="935"/>
      <c r="AL109" s="935"/>
      <c r="AM109" s="935"/>
      <c r="AN109" s="931"/>
      <c r="AO109" s="932" t="str">
        <f>Application!B737</f>
        <v>2 Bedrooms</v>
      </c>
      <c r="AQ109" s="932">
        <f>Application!O737</f>
        <v>1315</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010"/>
      <c r="F110" s="3011"/>
      <c r="G110" s="3011"/>
      <c r="H110" s="3011"/>
      <c r="I110" s="3011"/>
      <c r="J110" s="3011"/>
      <c r="K110" s="3011"/>
      <c r="L110" s="3011"/>
      <c r="M110" s="3011"/>
      <c r="N110" s="3011"/>
      <c r="O110" s="3011"/>
      <c r="P110" s="3011"/>
      <c r="Q110" s="3011"/>
      <c r="R110" s="3011"/>
      <c r="S110" s="3011"/>
      <c r="T110" s="3011"/>
      <c r="U110" s="3011"/>
      <c r="V110" s="3011"/>
      <c r="W110" s="3011"/>
      <c r="X110" s="3011"/>
      <c r="Y110" s="3011"/>
      <c r="Z110" s="3011"/>
      <c r="AA110" s="3011"/>
      <c r="AB110" s="3011"/>
      <c r="AC110" s="3011"/>
      <c r="AD110" s="3011"/>
      <c r="AE110" s="3011"/>
      <c r="AF110" s="3011"/>
      <c r="AG110" s="3011"/>
      <c r="AH110" s="3011"/>
      <c r="AI110" s="3011"/>
      <c r="AJ110" s="3012"/>
      <c r="AK110" s="935"/>
      <c r="AL110" s="935"/>
      <c r="AM110" s="935"/>
      <c r="AN110" s="931"/>
      <c r="AO110" s="932" t="str">
        <f>Application!B738</f>
        <v>3 Bedrooms</v>
      </c>
      <c r="AQ110" s="932">
        <f>Application!O738</f>
        <v>625</v>
      </c>
      <c r="AV110" s="932">
        <f>SUM(AV104:AV109)</f>
        <v>192</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1074</v>
      </c>
    </row>
    <row r="112" spans="1:49" s="932" customFormat="1" ht="12.75" customHeight="1">
      <c r="A112" s="935"/>
      <c r="B112" s="934"/>
      <c r="C112" s="935"/>
      <c r="D112" s="935"/>
      <c r="E112" s="3049" t="s">
        <v>1899</v>
      </c>
      <c r="F112" s="3050"/>
      <c r="G112" s="3050"/>
      <c r="H112" s="3050"/>
      <c r="I112" s="1475"/>
      <c r="J112" s="3050" t="s">
        <v>1993</v>
      </c>
      <c r="K112" s="3050"/>
      <c r="L112" s="3050"/>
      <c r="M112" s="3050"/>
      <c r="N112" s="1475"/>
      <c r="O112" s="3050" t="s">
        <v>1994</v>
      </c>
      <c r="P112" s="3050"/>
      <c r="Q112" s="3050"/>
      <c r="R112" s="3050"/>
      <c r="S112" s="1475"/>
      <c r="T112" s="3050" t="s">
        <v>1617</v>
      </c>
      <c r="U112" s="3050"/>
      <c r="V112" s="3050"/>
      <c r="W112" s="3050"/>
      <c r="X112" s="1475"/>
      <c r="Y112" s="3050" t="s">
        <v>1995</v>
      </c>
      <c r="Z112" s="3050"/>
      <c r="AA112" s="3050"/>
      <c r="AB112" s="3050"/>
      <c r="AC112" s="1475"/>
      <c r="AD112" s="3050" t="s">
        <v>1996</v>
      </c>
      <c r="AE112" s="3050"/>
      <c r="AF112" s="3050"/>
      <c r="AG112" s="3050"/>
      <c r="AH112" s="973"/>
      <c r="AI112" s="973"/>
      <c r="AJ112" s="975"/>
      <c r="AK112" s="935"/>
      <c r="AL112" s="935"/>
      <c r="AM112" s="935"/>
      <c r="AN112" s="931"/>
      <c r="AO112" s="932" t="str">
        <f>Application!B740</f>
        <v>3 Bedrooms</v>
      </c>
      <c r="AQ112" s="932">
        <f>Application!O740</f>
        <v>1299</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1523</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3 Bedrooms</v>
      </c>
      <c r="AQ114" s="932">
        <f>Application!O742</f>
        <v>1523</v>
      </c>
    </row>
    <row r="115" spans="1:52" s="932" customFormat="1" ht="12.75" customHeight="1">
      <c r="A115" s="935"/>
      <c r="B115" s="956"/>
      <c r="C115" s="935"/>
      <c r="D115" s="935"/>
      <c r="E115" s="3068"/>
      <c r="F115" s="3069"/>
      <c r="G115" s="3069"/>
      <c r="H115" s="3069"/>
      <c r="I115" s="1477"/>
      <c r="J115" s="3069">
        <v>1676</v>
      </c>
      <c r="K115" s="3069"/>
      <c r="L115" s="3069"/>
      <c r="M115" s="3069"/>
      <c r="N115" s="1477"/>
      <c r="O115" s="3069">
        <v>1910</v>
      </c>
      <c r="P115" s="3069"/>
      <c r="Q115" s="3069"/>
      <c r="R115" s="3069"/>
      <c r="S115" s="1477"/>
      <c r="T115" s="3069">
        <v>2251</v>
      </c>
      <c r="U115" s="3069"/>
      <c r="V115" s="3069"/>
      <c r="W115" s="3069"/>
      <c r="X115" s="1477"/>
      <c r="Y115" s="3069"/>
      <c r="Z115" s="3069"/>
      <c r="AA115" s="3069"/>
      <c r="AB115" s="3069"/>
      <c r="AC115" s="1477"/>
      <c r="AD115" s="3069"/>
      <c r="AE115" s="3069"/>
      <c r="AF115" s="3069"/>
      <c r="AG115" s="306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2429</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70">
        <f>Application!DX663</f>
        <v>0</v>
      </c>
      <c r="F118" s="3018"/>
      <c r="G118" s="3018"/>
      <c r="H118" s="3018"/>
      <c r="I118" s="1477"/>
      <c r="J118" s="3018">
        <f>Application!EC663</f>
        <v>885.75</v>
      </c>
      <c r="K118" s="3018"/>
      <c r="L118" s="3018"/>
      <c r="M118" s="3018"/>
      <c r="N118" s="1477"/>
      <c r="O118" s="3018">
        <f>Application!EH663</f>
        <v>1133.0208333333335</v>
      </c>
      <c r="P118" s="3018"/>
      <c r="Q118" s="3018"/>
      <c r="R118" s="3018"/>
      <c r="S118" s="1481"/>
      <c r="T118" s="3018">
        <f>Application!EM663</f>
        <v>1322.0208333333335</v>
      </c>
      <c r="U118" s="3018"/>
      <c r="V118" s="3018"/>
      <c r="W118" s="3018"/>
      <c r="X118" s="1481"/>
      <c r="Y118" s="3018">
        <f>Application!ER663</f>
        <v>0</v>
      </c>
      <c r="Z118" s="3018"/>
      <c r="AA118" s="3018"/>
      <c r="AB118" s="3018"/>
      <c r="AC118" s="1481"/>
      <c r="AD118" s="3018">
        <f>Application!EW663</f>
        <v>0</v>
      </c>
      <c r="AE118" s="3018"/>
      <c r="AF118" s="3018"/>
      <c r="AG118" s="301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2430</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69" t="e">
        <f>(E115-E118)/E115</f>
        <v>#DIV/0!</v>
      </c>
      <c r="F121" s="3270"/>
      <c r="G121" s="3270"/>
      <c r="H121" s="3271"/>
      <c r="I121" s="973"/>
      <c r="J121" s="3269">
        <f>(J115-J118)/J115</f>
        <v>0.47150954653937949</v>
      </c>
      <c r="K121" s="3270"/>
      <c r="L121" s="3270"/>
      <c r="M121" s="3271"/>
      <c r="N121" s="973"/>
      <c r="O121" s="3269">
        <f>(O115-O118)/O115</f>
        <v>0.40679537521815001</v>
      </c>
      <c r="P121" s="3270"/>
      <c r="Q121" s="3270"/>
      <c r="R121" s="3271"/>
      <c r="S121" s="973"/>
      <c r="T121" s="3269">
        <f>(T115-T118)/T115</f>
        <v>0.41269620909225524</v>
      </c>
      <c r="U121" s="3270"/>
      <c r="V121" s="3270"/>
      <c r="W121" s="3271"/>
      <c r="X121" s="973"/>
      <c r="Y121" s="3269" t="e">
        <f>(Y115-Y118)/Y115</f>
        <v>#DIV/0!</v>
      </c>
      <c r="Z121" s="3270"/>
      <c r="AA121" s="3270"/>
      <c r="AB121" s="3271"/>
      <c r="AC121" s="973"/>
      <c r="AD121" s="3269" t="e">
        <f>(AD115-AD118)/AD115</f>
        <v>#DIV/0!</v>
      </c>
      <c r="AE121" s="3270"/>
      <c r="AF121" s="3270"/>
      <c r="AG121" s="327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2431</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15" t="e">
        <f>IF(((E121-0.1)*AW104)&gt;0,((E121-0.1)*AW104),0)</f>
        <v>#DIV/0!</v>
      </c>
      <c r="F124" s="3016"/>
      <c r="G124" s="3016"/>
      <c r="H124" s="3017"/>
      <c r="I124" s="973"/>
      <c r="J124" s="3015">
        <f>IF(((J121-0.1)*AW105)&gt;0,((J121-0.1)*AW105),0)</f>
        <v>0.18575477326968975</v>
      </c>
      <c r="K124" s="3016"/>
      <c r="L124" s="3016"/>
      <c r="M124" s="3017"/>
      <c r="N124" s="973"/>
      <c r="O124" s="3015">
        <f>IF(((O121-0.1)*AW106)&gt;0,((O121-0.1)*AW106),0)</f>
        <v>7.6698843804537509E-2</v>
      </c>
      <c r="P124" s="3016"/>
      <c r="Q124" s="3016"/>
      <c r="R124" s="3017"/>
      <c r="S124" s="973"/>
      <c r="T124" s="3015">
        <f>IF(((T121-0.1)*AW107)&gt;0,((T121-0.1)*AW107),0)</f>
        <v>7.8174052273063815E-2</v>
      </c>
      <c r="U124" s="3016"/>
      <c r="V124" s="3016"/>
      <c r="W124" s="3017"/>
      <c r="X124" s="973"/>
      <c r="Y124" s="3015" t="e">
        <f>IF(((Y121-0.1)*AW108)&gt;0,((Y121-0.1)*AW108),0)</f>
        <v>#DIV/0!</v>
      </c>
      <c r="Z124" s="3016"/>
      <c r="AA124" s="3016"/>
      <c r="AB124" s="3017"/>
      <c r="AC124" s="973"/>
      <c r="AD124" s="3015" t="e">
        <f>IF(((AD121-0.1)*AW109)&gt;0,((AD121-0.1)*AW109),0)</f>
        <v>#DIV/0!</v>
      </c>
      <c r="AE124" s="3016"/>
      <c r="AF124" s="3016"/>
      <c r="AG124" s="3017"/>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69">
        <f>ROUNDDOWN(SUMIF(E124:AG124,"&gt;0"),2)</f>
        <v>0.34</v>
      </c>
      <c r="F126" s="3270"/>
      <c r="G126" s="3270"/>
      <c r="H126" s="3271"/>
      <c r="I126" s="1475"/>
      <c r="J126" s="1482" t="s">
        <v>2432</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46">
        <f>IF((E126*100)&gt;10,10,E126*100)</f>
        <v>10</v>
      </c>
      <c r="F127" s="3047"/>
      <c r="G127" s="3047"/>
      <c r="H127" s="3048"/>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46">
        <f>E127</f>
        <v>10</v>
      </c>
      <c r="AL131" s="3047"/>
      <c r="AM131" s="304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014" t="s">
        <v>1597</v>
      </c>
      <c r="AF134" s="3014"/>
      <c r="AG134" s="3014"/>
      <c r="AH134" s="3014"/>
      <c r="AI134" s="3014"/>
      <c r="AJ134" s="3014"/>
      <c r="AK134" s="3014"/>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64" t="s">
        <v>1621</v>
      </c>
      <c r="AG136" s="3064"/>
      <c r="AH136" s="3064"/>
      <c r="AI136" s="3064"/>
      <c r="AJ136" s="3064"/>
      <c r="AK136" s="3064"/>
      <c r="AL136" s="3064"/>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65" t="s">
        <v>2463</v>
      </c>
      <c r="C138" s="3065"/>
      <c r="D138" s="3065"/>
      <c r="E138" s="3065"/>
      <c r="F138" s="3065"/>
      <c r="G138" s="3065"/>
      <c r="H138" s="3065"/>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90" t="s">
        <v>1624</v>
      </c>
      <c r="C141" s="3090"/>
      <c r="D141" s="3090"/>
      <c r="E141" s="3090"/>
      <c r="F141" s="3090"/>
      <c r="G141" s="3090"/>
      <c r="H141" s="3090"/>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90"/>
      <c r="AD141" s="3090"/>
      <c r="AE141" s="3090"/>
      <c r="AF141" s="3090"/>
      <c r="AG141" s="3090"/>
      <c r="AH141" s="3090"/>
      <c r="AI141" s="3090"/>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091" t="s">
        <v>626</v>
      </c>
      <c r="AC143" s="309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90" t="s">
        <v>1626</v>
      </c>
      <c r="C146" s="3090"/>
      <c r="D146" s="3090"/>
      <c r="E146" s="3090"/>
      <c r="F146" s="3090"/>
      <c r="G146" s="3090"/>
      <c r="H146" s="3090"/>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90"/>
      <c r="AD146" s="3090"/>
      <c r="AE146" s="3090"/>
      <c r="AF146" s="3090"/>
      <c r="AG146" s="3090"/>
      <c r="AH146" s="3090"/>
      <c r="AI146" s="3090"/>
      <c r="AJ146" s="3090"/>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63">
        <f>IF($AB$143="N/A",VLOOKUP($B$141,$AO$139:$AP$142,2,FALSE),VLOOKUP($B$146,$AO$144:$AP$147,2,FALSE))</f>
        <v>7</v>
      </c>
      <c r="AK149" s="306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64" t="s">
        <v>1635</v>
      </c>
      <c r="AG151" s="3064"/>
      <c r="AH151" s="3064"/>
      <c r="AI151" s="3064"/>
      <c r="AJ151" s="3064"/>
      <c r="AK151" s="3064"/>
      <c r="AL151" s="3064"/>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90" t="s">
        <v>1633</v>
      </c>
      <c r="D153" s="3090"/>
      <c r="E153" s="3090"/>
      <c r="F153" s="3090"/>
      <c r="G153" s="3090"/>
      <c r="H153" s="3090"/>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90"/>
      <c r="AD153" s="3090"/>
      <c r="AE153" s="3090"/>
      <c r="AF153" s="3090"/>
      <c r="AG153" s="3090"/>
      <c r="AH153" s="3090"/>
      <c r="AI153" s="3090"/>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91" t="s">
        <v>626</v>
      </c>
      <c r="AD155" s="3091"/>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090" t="s">
        <v>1626</v>
      </c>
      <c r="D157" s="3090"/>
      <c r="E157" s="3090"/>
      <c r="F157" s="3090"/>
      <c r="G157" s="3090"/>
      <c r="H157" s="3090"/>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90"/>
      <c r="AD157" s="309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65" t="s">
        <v>2499</v>
      </c>
      <c r="D161" s="3065"/>
      <c r="E161" s="3065"/>
      <c r="F161" s="3065"/>
      <c r="G161" s="3065"/>
      <c r="H161" s="3065"/>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5"/>
      <c r="AD161" s="3065"/>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92">
        <f>IF($AC$155="N/A",VLOOKUP($C$153,$AO$153:$AP$156,2,FALSE),VLOOKUP($C$157,$AO$160:$AP$162,2,FALSE))</f>
        <v>3</v>
      </c>
      <c r="AK163" s="309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46">
        <f>$AJ$149+$AJ$163</f>
        <v>10</v>
      </c>
      <c r="AL166" s="3047"/>
      <c r="AM166" s="304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2238</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7" t="s">
        <v>1597</v>
      </c>
      <c r="AF169" s="3087"/>
      <c r="AG169" s="3087"/>
      <c r="AH169" s="3087"/>
      <c r="AI169" s="3087"/>
      <c r="AJ169" s="3087"/>
      <c r="AK169" s="3087"/>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088" t="s">
        <v>1157</v>
      </c>
      <c r="C171" s="3088"/>
      <c r="D171" s="3088"/>
      <c r="E171" s="3088"/>
      <c r="F171" s="3088"/>
      <c r="G171" s="3088"/>
      <c r="H171" s="3088"/>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88"/>
      <c r="AD171" s="1025"/>
      <c r="AE171" s="1025"/>
      <c r="AF171" s="3064" t="s">
        <v>1646</v>
      </c>
      <c r="AG171" s="3064"/>
      <c r="AH171" s="3064"/>
      <c r="AI171" s="3064"/>
      <c r="AJ171" s="3064"/>
      <c r="AK171" s="3064"/>
      <c r="AL171" s="3064"/>
      <c r="AN171" s="1002"/>
      <c r="AP171" s="945" t="s">
        <v>1159</v>
      </c>
      <c r="AQ171" s="945">
        <v>10</v>
      </c>
    </row>
    <row r="172" spans="1:81" s="945" customFormat="1" ht="12.75" customHeight="1">
      <c r="A172" s="929"/>
      <c r="B172" s="3089" t="s">
        <v>2237</v>
      </c>
      <c r="C172" s="3089"/>
      <c r="D172" s="3089"/>
      <c r="E172" s="3089"/>
      <c r="F172" s="3089"/>
      <c r="G172" s="3089"/>
      <c r="H172" s="3089"/>
      <c r="I172" s="3089"/>
      <c r="J172" s="3089"/>
      <c r="K172" s="3089"/>
      <c r="L172" s="3089"/>
      <c r="M172" s="3089"/>
      <c r="N172" s="3089"/>
      <c r="O172" s="3089"/>
      <c r="P172" s="3089"/>
      <c r="Q172" s="3089"/>
      <c r="R172" s="3089"/>
      <c r="S172" s="3089"/>
      <c r="T172" s="3065" t="s">
        <v>626</v>
      </c>
      <c r="U172" s="3065"/>
      <c r="V172" s="3065"/>
      <c r="W172" s="3065"/>
      <c r="X172" s="3065"/>
      <c r="Y172" s="3065"/>
      <c r="Z172" s="3065"/>
      <c r="AA172" s="3065"/>
      <c r="AB172" s="3065"/>
      <c r="AC172" s="3065"/>
      <c r="AD172" s="1008"/>
      <c r="AE172" s="1008"/>
      <c r="AF172" s="1008"/>
      <c r="AG172" s="1008"/>
      <c r="AH172" s="1008"/>
      <c r="AI172" s="1008"/>
      <c r="AJ172" s="1818"/>
      <c r="AK172" s="1007"/>
      <c r="AL172" s="1007"/>
      <c r="AM172" s="1007"/>
      <c r="AN172" s="1002"/>
      <c r="AP172" s="945" t="s">
        <v>1158</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103">
        <f>IF(AK72&gt;0,VLOOKUP($B$171,AP168:AQ175,2,FALSE),0)</f>
        <v>10</v>
      </c>
      <c r="AL174" s="3104"/>
      <c r="AM174" s="3105"/>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7" t="s">
        <v>1655</v>
      </c>
      <c r="AF177" s="3087"/>
      <c r="AG177" s="3087"/>
      <c r="AH177" s="3087"/>
      <c r="AI177" s="3087"/>
      <c r="AJ177" s="3087"/>
      <c r="AK177" s="3087"/>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73" t="s">
        <v>2540</v>
      </c>
      <c r="C182" s="3073"/>
      <c r="D182" s="3073"/>
      <c r="E182" s="3073"/>
      <c r="F182" s="3073"/>
      <c r="G182" s="3073"/>
      <c r="H182" s="3073"/>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1399"/>
      <c r="AD182" s="3074">
        <v>5500000</v>
      </c>
      <c r="AE182" s="3074"/>
      <c r="AF182" s="3074"/>
      <c r="AG182" s="3074"/>
      <c r="AH182" s="3074"/>
      <c r="AI182" s="3074"/>
      <c r="AJ182" s="3074"/>
      <c r="AK182" s="1026"/>
    </row>
    <row r="183" spans="1:37">
      <c r="A183" s="1018"/>
      <c r="B183" s="3073"/>
      <c r="C183" s="3073"/>
      <c r="D183" s="3073"/>
      <c r="E183" s="3073"/>
      <c r="F183" s="3073"/>
      <c r="G183" s="3073"/>
      <c r="H183" s="3073"/>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1399"/>
      <c r="AD183" s="3074"/>
      <c r="AE183" s="3074"/>
      <c r="AF183" s="3074"/>
      <c r="AG183" s="3074"/>
      <c r="AH183" s="3074"/>
      <c r="AI183" s="3074"/>
      <c r="AJ183" s="3074"/>
      <c r="AK183" s="1026"/>
    </row>
    <row r="184" spans="1:37">
      <c r="A184" s="1018"/>
      <c r="B184" s="3073"/>
      <c r="C184" s="3073"/>
      <c r="D184" s="3073"/>
      <c r="E184" s="3073"/>
      <c r="F184" s="3073"/>
      <c r="G184" s="3073"/>
      <c r="H184" s="3073"/>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1399"/>
      <c r="AD184" s="3074"/>
      <c r="AE184" s="3074"/>
      <c r="AF184" s="3074"/>
      <c r="AG184" s="3074"/>
      <c r="AH184" s="3074"/>
      <c r="AI184" s="3074"/>
      <c r="AJ184" s="3074"/>
      <c r="AK184" s="1026"/>
    </row>
    <row r="185" spans="1:37">
      <c r="A185" s="1018"/>
      <c r="B185" s="3073"/>
      <c r="C185" s="3073"/>
      <c r="D185" s="3073"/>
      <c r="E185" s="3073"/>
      <c r="F185" s="3073"/>
      <c r="G185" s="3073"/>
      <c r="H185" s="3073"/>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1399"/>
      <c r="AD185" s="3074"/>
      <c r="AE185" s="3074"/>
      <c r="AF185" s="3074"/>
      <c r="AG185" s="3074"/>
      <c r="AH185" s="3074"/>
      <c r="AI185" s="3074"/>
      <c r="AJ185" s="3074"/>
      <c r="AK185" s="1026"/>
    </row>
    <row r="186" spans="1:37">
      <c r="A186" s="1018"/>
      <c r="B186" s="3073"/>
      <c r="C186" s="3073"/>
      <c r="D186" s="3073"/>
      <c r="E186" s="3073"/>
      <c r="F186" s="3073"/>
      <c r="G186" s="3073"/>
      <c r="H186" s="3073"/>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1399"/>
      <c r="AD186" s="3074"/>
      <c r="AE186" s="3074"/>
      <c r="AF186" s="3074"/>
      <c r="AG186" s="3074"/>
      <c r="AH186" s="3074"/>
      <c r="AI186" s="3074"/>
      <c r="AJ186" s="3074"/>
      <c r="AK186" s="1026"/>
    </row>
    <row r="187" spans="1:37">
      <c r="A187" s="1018"/>
      <c r="B187" s="3073"/>
      <c r="C187" s="3073"/>
      <c r="D187" s="3073"/>
      <c r="E187" s="3073"/>
      <c r="F187" s="3073"/>
      <c r="G187" s="3073"/>
      <c r="H187" s="3073"/>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1399"/>
      <c r="AD187" s="3074"/>
      <c r="AE187" s="3074"/>
      <c r="AF187" s="3074"/>
      <c r="AG187" s="3074"/>
      <c r="AH187" s="3074"/>
      <c r="AI187" s="3074"/>
      <c r="AJ187" s="3074"/>
      <c r="AK187" s="1026"/>
    </row>
    <row r="188" spans="1:37">
      <c r="A188" s="1018"/>
      <c r="B188" s="3073"/>
      <c r="C188" s="3073"/>
      <c r="D188" s="3073"/>
      <c r="E188" s="3073"/>
      <c r="F188" s="3073"/>
      <c r="G188" s="3073"/>
      <c r="H188" s="3073"/>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1399"/>
      <c r="AD188" s="3074"/>
      <c r="AE188" s="3074"/>
      <c r="AF188" s="3074"/>
      <c r="AG188" s="3074"/>
      <c r="AH188" s="3074"/>
      <c r="AI188" s="3074"/>
      <c r="AJ188" s="3074"/>
      <c r="AK188" s="1026"/>
    </row>
    <row r="189" spans="1:37">
      <c r="A189" s="1018"/>
      <c r="B189" s="3073"/>
      <c r="C189" s="3073"/>
      <c r="D189" s="3073"/>
      <c r="E189" s="3073"/>
      <c r="F189" s="3073"/>
      <c r="G189" s="3073"/>
      <c r="H189" s="3073"/>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1399"/>
      <c r="AD189" s="3074"/>
      <c r="AE189" s="3074"/>
      <c r="AF189" s="3074"/>
      <c r="AG189" s="3074"/>
      <c r="AH189" s="3074"/>
      <c r="AI189" s="3074"/>
      <c r="AJ189" s="3074"/>
      <c r="AK189" s="1026"/>
    </row>
    <row r="190" spans="1:37">
      <c r="A190" s="1018"/>
      <c r="B190" s="3073"/>
      <c r="C190" s="3073"/>
      <c r="D190" s="3073"/>
      <c r="E190" s="3073"/>
      <c r="F190" s="3073"/>
      <c r="G190" s="3073"/>
      <c r="H190" s="3073"/>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1399"/>
      <c r="AD190" s="3074"/>
      <c r="AE190" s="3074"/>
      <c r="AF190" s="3074"/>
      <c r="AG190" s="3074"/>
      <c r="AH190" s="3074"/>
      <c r="AI190" s="3074"/>
      <c r="AJ190" s="3074"/>
      <c r="AK190" s="1026"/>
    </row>
    <row r="191" spans="1:37">
      <c r="A191" s="1018"/>
      <c r="B191" s="3073"/>
      <c r="C191" s="3073"/>
      <c r="D191" s="3073"/>
      <c r="E191" s="3073"/>
      <c r="F191" s="3073"/>
      <c r="G191" s="3073"/>
      <c r="H191" s="3073"/>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1399"/>
      <c r="AD191" s="3074"/>
      <c r="AE191" s="3074"/>
      <c r="AF191" s="3074"/>
      <c r="AG191" s="3074"/>
      <c r="AH191" s="3074"/>
      <c r="AI191" s="3074"/>
      <c r="AJ191" s="3074"/>
      <c r="AK191" s="1026"/>
    </row>
    <row r="192" spans="1:37">
      <c r="A192" s="1018"/>
      <c r="B192" s="3257" t="s">
        <v>1943</v>
      </c>
      <c r="C192" s="3257"/>
      <c r="D192" s="3257"/>
      <c r="E192" s="3257"/>
      <c r="F192" s="3257"/>
      <c r="G192" s="3257"/>
      <c r="H192" s="3257"/>
      <c r="I192" s="3257"/>
      <c r="J192" s="3257"/>
      <c r="K192" s="3257"/>
      <c r="L192" s="3257"/>
      <c r="M192" s="3257"/>
      <c r="N192" s="3257"/>
      <c r="O192" s="3257"/>
      <c r="P192" s="3257"/>
      <c r="Q192" s="3257"/>
      <c r="R192" s="3257"/>
      <c r="S192" s="3257"/>
      <c r="T192" s="3257"/>
      <c r="U192" s="3257"/>
      <c r="V192" s="3257"/>
      <c r="W192" s="3257"/>
      <c r="X192" s="3257"/>
      <c r="Y192" s="3257"/>
      <c r="Z192" s="3257"/>
      <c r="AA192" s="3257"/>
      <c r="AB192" s="3257"/>
      <c r="AC192" s="929"/>
      <c r="AD192" s="3110">
        <f>AB243</f>
        <v>0</v>
      </c>
      <c r="AE192" s="3110"/>
      <c r="AF192" s="3110"/>
      <c r="AG192" s="3110"/>
      <c r="AH192" s="3110"/>
      <c r="AI192" s="3110"/>
      <c r="AJ192" s="3110"/>
      <c r="AK192" s="1026"/>
    </row>
    <row r="193" spans="1:37">
      <c r="A193" s="1018"/>
      <c r="B193" s="3256" t="s">
        <v>1906</v>
      </c>
      <c r="C193" s="3256"/>
      <c r="D193" s="3256"/>
      <c r="E193" s="3256"/>
      <c r="F193" s="3256"/>
      <c r="G193" s="3256"/>
      <c r="H193" s="3256"/>
      <c r="I193" s="3256"/>
      <c r="J193" s="3256"/>
      <c r="K193" s="3256"/>
      <c r="L193" s="3256"/>
      <c r="M193" s="3256"/>
      <c r="N193" s="3256"/>
      <c r="O193" s="3256"/>
      <c r="P193" s="3256"/>
      <c r="Q193" s="3256"/>
      <c r="R193" s="3256"/>
      <c r="S193" s="3256"/>
      <c r="T193" s="3256"/>
      <c r="U193" s="3256"/>
      <c r="V193" s="3256"/>
      <c r="W193" s="3256"/>
      <c r="X193" s="3256"/>
      <c r="Y193" s="3256"/>
      <c r="Z193" s="3256"/>
      <c r="AA193" s="3256"/>
      <c r="AB193" s="3256"/>
      <c r="AC193" s="1399"/>
      <c r="AD193" s="3111">
        <f>'Sources and Uses Budget'!B15</f>
        <v>0</v>
      </c>
      <c r="AE193" s="3111"/>
      <c r="AF193" s="3111"/>
      <c r="AG193" s="3111"/>
      <c r="AH193" s="3111"/>
      <c r="AI193" s="3111"/>
      <c r="AJ193" s="311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15">
        <f>SUM(AD182:AJ192)-AD193</f>
        <v>5500000</v>
      </c>
      <c r="AE194" s="3115"/>
      <c r="AF194" s="3115"/>
      <c r="AG194" s="3115"/>
      <c r="AH194" s="3115"/>
      <c r="AI194" s="3115"/>
      <c r="AJ194" s="311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77" t="s">
        <v>1923</v>
      </c>
      <c r="J205" s="3077"/>
      <c r="K205" s="3077"/>
      <c r="L205" s="993"/>
      <c r="M205" s="993"/>
      <c r="N205" s="993"/>
      <c r="O205" s="993"/>
      <c r="P205" s="993"/>
      <c r="Q205" s="993"/>
      <c r="R205" s="993"/>
      <c r="S205" s="993"/>
      <c r="T205" s="3273" t="s">
        <v>1917</v>
      </c>
      <c r="U205" s="3273"/>
      <c r="V205" s="3273"/>
      <c r="W205" s="3273"/>
      <c r="X205" s="3273"/>
      <c r="Y205" s="3273"/>
      <c r="Z205" s="1403"/>
      <c r="AA205" s="1404"/>
      <c r="AB205" s="3094" t="s">
        <v>1918</v>
      </c>
      <c r="AC205" s="3094"/>
      <c r="AD205" s="3094"/>
      <c r="AE205" s="3094"/>
      <c r="AF205" s="3094"/>
      <c r="AG205" s="3094"/>
      <c r="AH205" s="1373"/>
      <c r="AI205" s="1373"/>
      <c r="AJ205" s="1373"/>
      <c r="AK205" s="1026"/>
    </row>
    <row r="206" spans="1:37">
      <c r="A206" s="1018"/>
      <c r="B206" s="3075" t="s">
        <v>1896</v>
      </c>
      <c r="C206" s="3075"/>
      <c r="D206" s="3075"/>
      <c r="E206" s="3075"/>
      <c r="F206" s="3075"/>
      <c r="G206" s="3075"/>
      <c r="I206" s="3076" t="s">
        <v>1924</v>
      </c>
      <c r="J206" s="3076"/>
      <c r="K206" s="3076"/>
      <c r="L206" s="1817"/>
      <c r="N206" s="3082" t="s">
        <v>1919</v>
      </c>
      <c r="O206" s="3082"/>
      <c r="P206" s="3082"/>
      <c r="Q206" s="3082"/>
      <c r="R206" s="3082"/>
      <c r="T206" s="3082" t="s">
        <v>1920</v>
      </c>
      <c r="U206" s="3082"/>
      <c r="V206" s="3082"/>
      <c r="W206" s="3082"/>
      <c r="X206" s="3082"/>
      <c r="Y206" s="3082"/>
      <c r="Z206" s="1405"/>
      <c r="AA206" s="1404"/>
      <c r="AB206" s="3258" t="s">
        <v>1921</v>
      </c>
      <c r="AC206" s="3258"/>
      <c r="AD206" s="3258"/>
      <c r="AE206" s="3258"/>
      <c r="AF206" s="3258"/>
      <c r="AG206" s="3258"/>
      <c r="AH206" s="1373"/>
      <c r="AI206" s="1373"/>
      <c r="AJ206" s="1373"/>
      <c r="AK206" s="1026"/>
    </row>
    <row r="207" spans="1:37">
      <c r="A207" s="1018"/>
      <c r="B207" s="3079" t="s">
        <v>1386</v>
      </c>
      <c r="C207" s="3079"/>
      <c r="D207" s="3079"/>
      <c r="E207" s="3079"/>
      <c r="F207" s="3079"/>
      <c r="G207" s="3079"/>
      <c r="H207" s="1407"/>
      <c r="I207" s="3078"/>
      <c r="J207" s="3078"/>
      <c r="K207" s="3078"/>
      <c r="L207" s="1817"/>
      <c r="N207" s="3083"/>
      <c r="O207" s="3083"/>
      <c r="P207" s="3083"/>
      <c r="Q207" s="3083"/>
      <c r="R207" s="3083"/>
      <c r="T207" s="3093"/>
      <c r="U207" s="3093"/>
      <c r="V207" s="3093"/>
      <c r="W207" s="3093"/>
      <c r="X207" s="3093"/>
      <c r="Y207" s="3093"/>
      <c r="Z207" s="1406"/>
      <c r="AA207" s="1406"/>
      <c r="AB207" s="3080">
        <f t="shared" ref="AB207:AB216" si="0">MAX(($T207-$N207)*$I207*12,0)</f>
        <v>0</v>
      </c>
      <c r="AC207" s="3080"/>
      <c r="AD207" s="3080"/>
      <c r="AE207" s="3080"/>
      <c r="AF207" s="3080"/>
      <c r="AG207" s="3080"/>
      <c r="AH207" s="1373"/>
      <c r="AI207" s="1373"/>
      <c r="AJ207" s="1373"/>
      <c r="AK207" s="1026"/>
    </row>
    <row r="208" spans="1:37">
      <c r="A208" s="1018"/>
      <c r="B208" s="3079" t="s">
        <v>1386</v>
      </c>
      <c r="C208" s="3079"/>
      <c r="D208" s="3079"/>
      <c r="E208" s="3079"/>
      <c r="F208" s="3079"/>
      <c r="G208" s="3079"/>
      <c r="I208" s="3078"/>
      <c r="J208" s="3078"/>
      <c r="K208" s="3078"/>
      <c r="L208" s="1817"/>
      <c r="N208" s="3083"/>
      <c r="O208" s="3083"/>
      <c r="P208" s="3083"/>
      <c r="Q208" s="3083"/>
      <c r="R208" s="3083"/>
      <c r="T208" s="3093"/>
      <c r="U208" s="3093"/>
      <c r="V208" s="3093"/>
      <c r="W208" s="3093"/>
      <c r="X208" s="3093"/>
      <c r="Y208" s="3093"/>
      <c r="Z208" s="1406"/>
      <c r="AA208" s="1406"/>
      <c r="AB208" s="3080">
        <f t="shared" si="0"/>
        <v>0</v>
      </c>
      <c r="AC208" s="3080"/>
      <c r="AD208" s="3080"/>
      <c r="AE208" s="3080"/>
      <c r="AF208" s="3080"/>
      <c r="AG208" s="3080"/>
      <c r="AH208" s="1373"/>
      <c r="AI208" s="1373"/>
      <c r="AJ208" s="1373"/>
      <c r="AK208" s="1026"/>
    </row>
    <row r="209" spans="1:37">
      <c r="A209" s="1018"/>
      <c r="B209" s="3079" t="s">
        <v>1386</v>
      </c>
      <c r="C209" s="3079"/>
      <c r="D209" s="3079"/>
      <c r="E209" s="3079"/>
      <c r="F209" s="3079"/>
      <c r="G209" s="3079"/>
      <c r="I209" s="3078"/>
      <c r="J209" s="3078"/>
      <c r="K209" s="3078"/>
      <c r="L209" s="1817"/>
      <c r="N209" s="3083"/>
      <c r="O209" s="3083"/>
      <c r="P209" s="3083"/>
      <c r="Q209" s="3083"/>
      <c r="R209" s="3083"/>
      <c r="T209" s="3093"/>
      <c r="U209" s="3093"/>
      <c r="V209" s="3093"/>
      <c r="W209" s="3093"/>
      <c r="X209" s="3093"/>
      <c r="Y209" s="3093"/>
      <c r="Z209" s="1406"/>
      <c r="AA209" s="1406"/>
      <c r="AB209" s="3080">
        <f t="shared" si="0"/>
        <v>0</v>
      </c>
      <c r="AC209" s="3080"/>
      <c r="AD209" s="3080"/>
      <c r="AE209" s="3080"/>
      <c r="AF209" s="3080"/>
      <c r="AG209" s="3080"/>
      <c r="AH209" s="1373"/>
      <c r="AI209" s="1373"/>
      <c r="AJ209" s="1373"/>
      <c r="AK209" s="1026"/>
    </row>
    <row r="210" spans="1:37">
      <c r="A210" s="1018"/>
      <c r="B210" s="3079" t="s">
        <v>1386</v>
      </c>
      <c r="C210" s="3079"/>
      <c r="D210" s="3079"/>
      <c r="E210" s="3079"/>
      <c r="F210" s="3079"/>
      <c r="G210" s="3079"/>
      <c r="I210" s="3078"/>
      <c r="J210" s="3078"/>
      <c r="K210" s="3078"/>
      <c r="L210" s="1817"/>
      <c r="N210" s="3083"/>
      <c r="O210" s="3083"/>
      <c r="P210" s="3083"/>
      <c r="Q210" s="3083"/>
      <c r="R210" s="3083"/>
      <c r="T210" s="3093"/>
      <c r="U210" s="3093"/>
      <c r="V210" s="3093"/>
      <c r="W210" s="3093"/>
      <c r="X210" s="3093"/>
      <c r="Y210" s="3093"/>
      <c r="Z210" s="1406"/>
      <c r="AA210" s="1406"/>
      <c r="AB210" s="3080">
        <f t="shared" si="0"/>
        <v>0</v>
      </c>
      <c r="AC210" s="3080"/>
      <c r="AD210" s="3080"/>
      <c r="AE210" s="3080"/>
      <c r="AF210" s="3080"/>
      <c r="AG210" s="3080"/>
      <c r="AH210" s="1373"/>
      <c r="AI210" s="1373"/>
      <c r="AJ210" s="1373"/>
      <c r="AK210" s="1026"/>
    </row>
    <row r="211" spans="1:37">
      <c r="A211" s="1018"/>
      <c r="B211" s="3079" t="s">
        <v>1386</v>
      </c>
      <c r="C211" s="3079"/>
      <c r="D211" s="3079"/>
      <c r="E211" s="3079"/>
      <c r="F211" s="3079"/>
      <c r="G211" s="3079"/>
      <c r="I211" s="3078"/>
      <c r="J211" s="3078"/>
      <c r="K211" s="3078"/>
      <c r="L211" s="1829"/>
      <c r="N211" s="3083"/>
      <c r="O211" s="3083"/>
      <c r="P211" s="3083"/>
      <c r="Q211" s="3083"/>
      <c r="R211" s="3083"/>
      <c r="T211" s="3093"/>
      <c r="U211" s="3093"/>
      <c r="V211" s="3093"/>
      <c r="W211" s="3093"/>
      <c r="X211" s="3093"/>
      <c r="Y211" s="3093"/>
      <c r="Z211" s="1406"/>
      <c r="AA211" s="1406"/>
      <c r="AB211" s="3080">
        <f t="shared" si="0"/>
        <v>0</v>
      </c>
      <c r="AC211" s="3080"/>
      <c r="AD211" s="3080"/>
      <c r="AE211" s="3080"/>
      <c r="AF211" s="3080"/>
      <c r="AG211" s="3080"/>
      <c r="AH211" s="1373"/>
      <c r="AI211" s="1373"/>
      <c r="AJ211" s="1373"/>
      <c r="AK211" s="1026"/>
    </row>
    <row r="212" spans="1:37">
      <c r="A212" s="1018"/>
      <c r="B212" s="3079" t="s">
        <v>1386</v>
      </c>
      <c r="C212" s="3079"/>
      <c r="D212" s="3079"/>
      <c r="E212" s="3079"/>
      <c r="F212" s="3079"/>
      <c r="G212" s="3079"/>
      <c r="I212" s="3078"/>
      <c r="J212" s="3078"/>
      <c r="K212" s="3078"/>
      <c r="L212" s="1829"/>
      <c r="N212" s="3083"/>
      <c r="O212" s="3083"/>
      <c r="P212" s="3083"/>
      <c r="Q212" s="3083"/>
      <c r="R212" s="3083"/>
      <c r="T212" s="3093"/>
      <c r="U212" s="3093"/>
      <c r="V212" s="3093"/>
      <c r="W212" s="3093"/>
      <c r="X212" s="3093"/>
      <c r="Y212" s="3093"/>
      <c r="Z212" s="1406"/>
      <c r="AA212" s="1406"/>
      <c r="AB212" s="3080">
        <f t="shared" si="0"/>
        <v>0</v>
      </c>
      <c r="AC212" s="3080"/>
      <c r="AD212" s="3080"/>
      <c r="AE212" s="3080"/>
      <c r="AF212" s="3080"/>
      <c r="AG212" s="3080"/>
      <c r="AH212" s="1373"/>
      <c r="AI212" s="1373"/>
      <c r="AJ212" s="1373"/>
      <c r="AK212" s="1026"/>
    </row>
    <row r="213" spans="1:37">
      <c r="A213" s="1018"/>
      <c r="B213" s="3079" t="s">
        <v>1386</v>
      </c>
      <c r="C213" s="3079"/>
      <c r="D213" s="3079"/>
      <c r="E213" s="3079"/>
      <c r="F213" s="3079"/>
      <c r="G213" s="3079"/>
      <c r="I213" s="3078"/>
      <c r="J213" s="3078"/>
      <c r="K213" s="3078"/>
      <c r="L213" s="1829"/>
      <c r="N213" s="3083"/>
      <c r="O213" s="3083"/>
      <c r="P213" s="3083"/>
      <c r="Q213" s="3083"/>
      <c r="R213" s="3083"/>
      <c r="T213" s="3093"/>
      <c r="U213" s="3093"/>
      <c r="V213" s="3093"/>
      <c r="W213" s="3093"/>
      <c r="X213" s="3093"/>
      <c r="Y213" s="3093"/>
      <c r="Z213" s="1406"/>
      <c r="AA213" s="1406"/>
      <c r="AB213" s="3080">
        <f t="shared" si="0"/>
        <v>0</v>
      </c>
      <c r="AC213" s="3080"/>
      <c r="AD213" s="3080"/>
      <c r="AE213" s="3080"/>
      <c r="AF213" s="3080"/>
      <c r="AG213" s="3080"/>
      <c r="AH213" s="1373"/>
      <c r="AI213" s="1373"/>
      <c r="AJ213" s="1373"/>
      <c r="AK213" s="1026"/>
    </row>
    <row r="214" spans="1:37">
      <c r="A214" s="1018"/>
      <c r="B214" s="3079" t="s">
        <v>1386</v>
      </c>
      <c r="C214" s="3079"/>
      <c r="D214" s="3079"/>
      <c r="E214" s="3079"/>
      <c r="F214" s="3079"/>
      <c r="G214" s="3079"/>
      <c r="I214" s="3078"/>
      <c r="J214" s="3078"/>
      <c r="K214" s="3078"/>
      <c r="L214" s="1829"/>
      <c r="N214" s="3083"/>
      <c r="O214" s="3083"/>
      <c r="P214" s="3083"/>
      <c r="Q214" s="3083"/>
      <c r="R214" s="3083"/>
      <c r="T214" s="3093"/>
      <c r="U214" s="3093"/>
      <c r="V214" s="3093"/>
      <c r="W214" s="3093"/>
      <c r="X214" s="3093"/>
      <c r="Y214" s="3093"/>
      <c r="Z214" s="1406"/>
      <c r="AA214" s="1406"/>
      <c r="AB214" s="3080">
        <f t="shared" si="0"/>
        <v>0</v>
      </c>
      <c r="AC214" s="3080"/>
      <c r="AD214" s="3080"/>
      <c r="AE214" s="3080"/>
      <c r="AF214" s="3080"/>
      <c r="AG214" s="3080"/>
      <c r="AH214" s="1373"/>
      <c r="AI214" s="1373"/>
      <c r="AJ214" s="1373"/>
      <c r="AK214" s="1026"/>
    </row>
    <row r="215" spans="1:37">
      <c r="A215" s="1018"/>
      <c r="B215" s="3079" t="s">
        <v>1386</v>
      </c>
      <c r="C215" s="3079"/>
      <c r="D215" s="3079"/>
      <c r="E215" s="3079"/>
      <c r="F215" s="3079"/>
      <c r="G215" s="3079"/>
      <c r="I215" s="3078"/>
      <c r="J215" s="3078"/>
      <c r="K215" s="3078"/>
      <c r="L215" s="1829"/>
      <c r="N215" s="3083"/>
      <c r="O215" s="3083"/>
      <c r="P215" s="3083"/>
      <c r="Q215" s="3083"/>
      <c r="R215" s="3083"/>
      <c r="T215" s="3093"/>
      <c r="U215" s="3093"/>
      <c r="V215" s="3093"/>
      <c r="W215" s="3093"/>
      <c r="X215" s="3093"/>
      <c r="Y215" s="3093"/>
      <c r="Z215" s="1406"/>
      <c r="AA215" s="1406"/>
      <c r="AB215" s="3080">
        <f t="shared" si="0"/>
        <v>0</v>
      </c>
      <c r="AC215" s="3080"/>
      <c r="AD215" s="3080"/>
      <c r="AE215" s="3080"/>
      <c r="AF215" s="3080"/>
      <c r="AG215" s="3080"/>
      <c r="AH215" s="1373"/>
      <c r="AI215" s="1373"/>
      <c r="AJ215" s="1373"/>
      <c r="AK215" s="1026"/>
    </row>
    <row r="216" spans="1:37">
      <c r="A216" s="1018"/>
      <c r="B216" s="3079" t="s">
        <v>1386</v>
      </c>
      <c r="C216" s="3079"/>
      <c r="D216" s="3079"/>
      <c r="E216" s="3079"/>
      <c r="F216" s="3079"/>
      <c r="G216" s="3079"/>
      <c r="I216" s="3081"/>
      <c r="J216" s="3081"/>
      <c r="K216" s="3081"/>
      <c r="L216" s="1829"/>
      <c r="N216" s="3083"/>
      <c r="O216" s="3083"/>
      <c r="P216" s="3083"/>
      <c r="Q216" s="3083"/>
      <c r="R216" s="3083"/>
      <c r="T216" s="3093"/>
      <c r="U216" s="3093"/>
      <c r="V216" s="3093"/>
      <c r="W216" s="3093"/>
      <c r="X216" s="3093"/>
      <c r="Y216" s="3093"/>
      <c r="Z216" s="1406"/>
      <c r="AA216" s="1406"/>
      <c r="AB216" s="3264">
        <f t="shared" si="0"/>
        <v>0</v>
      </c>
      <c r="AC216" s="3264"/>
      <c r="AD216" s="3264"/>
      <c r="AE216" s="3264"/>
      <c r="AF216" s="3264"/>
      <c r="AG216" s="326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80">
        <f>SUM(AB207:AB216)</f>
        <v>0</v>
      </c>
      <c r="AC217" s="3080"/>
      <c r="AD217" s="3080"/>
      <c r="AE217" s="3080"/>
      <c r="AF217" s="3080"/>
      <c r="AG217" s="308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86"/>
      <c r="AC223" s="3086"/>
      <c r="AD223" s="3086"/>
      <c r="AE223" s="3086"/>
      <c r="AF223" s="3086"/>
      <c r="AG223" s="3086"/>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86"/>
      <c r="AC226" s="3086"/>
      <c r="AD226" s="3086"/>
      <c r="AE226" s="3086"/>
      <c r="AF226" s="3086"/>
      <c r="AG226" s="3086"/>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72"/>
      <c r="AC227" s="3272"/>
      <c r="AD227" s="3272"/>
      <c r="AE227" s="3272"/>
      <c r="AF227" s="3272"/>
      <c r="AG227" s="3272"/>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65">
        <f>IFERROR(AB226/AB227,0)</f>
        <v>0</v>
      </c>
      <c r="AC228" s="3265"/>
      <c r="AD228" s="3265"/>
      <c r="AE228" s="3265"/>
      <c r="AF228" s="3265"/>
      <c r="AG228" s="326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55">
        <f>MAX(AB223,AB228)</f>
        <v>0</v>
      </c>
      <c r="AC230" s="3255"/>
      <c r="AD230" s="3255"/>
      <c r="AE230" s="3255"/>
      <c r="AF230" s="3255"/>
      <c r="AG230" s="3255"/>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71">
        <f>AB217+AB230</f>
        <v>0</v>
      </c>
      <c r="AC233" s="3071"/>
      <c r="AD233" s="3071"/>
      <c r="AE233" s="3071"/>
      <c r="AF233" s="3071"/>
      <c r="AG233" s="3071"/>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9">
        <v>0.05</v>
      </c>
      <c r="AC234" s="3119"/>
      <c r="AD234" s="3119"/>
      <c r="AE234" s="3119"/>
      <c r="AF234" s="3119"/>
      <c r="AG234" s="3119"/>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20">
        <f>AB233-(AB233*AB234)</f>
        <v>0</v>
      </c>
      <c r="AC235" s="3120"/>
      <c r="AD235" s="3120"/>
      <c r="AE235" s="3120"/>
      <c r="AF235" s="3120"/>
      <c r="AG235" s="3120"/>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71">
        <f>AB235/AB241</f>
        <v>0</v>
      </c>
      <c r="AC237" s="3071"/>
      <c r="AD237" s="3071"/>
      <c r="AE237" s="3071"/>
      <c r="AF237" s="3071"/>
      <c r="AG237" s="307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72">
        <v>15</v>
      </c>
      <c r="AC239" s="3072"/>
      <c r="AD239" s="3072"/>
      <c r="AE239" s="3072"/>
      <c r="AF239" s="3072"/>
      <c r="AG239" s="3072"/>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84">
        <v>0.04</v>
      </c>
      <c r="AC240" s="3084"/>
      <c r="AD240" s="3084"/>
      <c r="AE240" s="3084"/>
      <c r="AF240" s="3084"/>
      <c r="AG240" s="3084"/>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85">
        <v>1.1499999999999999</v>
      </c>
      <c r="AC241" s="3085"/>
      <c r="AD241" s="3085"/>
      <c r="AE241" s="3085"/>
      <c r="AF241" s="3085"/>
      <c r="AG241" s="308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12">
        <f>PV(AB240/12,AB239*12,-AB237/12, ,0)</f>
        <v>0</v>
      </c>
      <c r="AC243" s="3113"/>
      <c r="AD243" s="3113"/>
      <c r="AE243" s="3113"/>
      <c r="AF243" s="3113"/>
      <c r="AG243" s="311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16">
        <f>IFERROR(('Sources and Uses Budget'!D105/'Sources and Uses Budget'!B105),0)</f>
        <v>0</v>
      </c>
      <c r="AC249" s="3117"/>
      <c r="AD249" s="3117"/>
      <c r="AE249" s="3117"/>
      <c r="AF249" s="3117"/>
      <c r="AG249" s="311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06">
        <f>AD194*(1-AB249)</f>
        <v>5500000</v>
      </c>
      <c r="AH251" s="3106"/>
      <c r="AI251" s="3106"/>
      <c r="AJ251" s="3106"/>
      <c r="AK251" s="3106"/>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06">
        <f>'Sources and Uses Budget'!C105</f>
        <v>62430666</v>
      </c>
      <c r="AH252" s="3106"/>
      <c r="AI252" s="3106"/>
      <c r="AJ252" s="3106"/>
      <c r="AK252" s="310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07">
        <f>ROUNDDOWN(IF(AND(C274="Yes",AK72=10),((AG251*2)/AG252),AG251/AG252),2)</f>
        <v>0.08</v>
      </c>
      <c r="AH253" s="3107"/>
      <c r="AI253" s="3107"/>
      <c r="AJ253" s="3107"/>
      <c r="AK253" s="3107"/>
    </row>
    <row r="254" spans="1:39">
      <c r="A254" s="1047"/>
      <c r="B254" s="1703" t="s">
        <v>2253</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08">
        <f>IF(AG253=0,0,IF((AG253*100)&gt;8,8,(AG253*100)))</f>
        <v>8</v>
      </c>
      <c r="AL256" s="3108"/>
      <c r="AM256" s="3109"/>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95" t="s">
        <v>578</v>
      </c>
      <c r="D261" s="3095"/>
      <c r="E261" s="942"/>
      <c r="F261" s="3096" t="s">
        <v>1999</v>
      </c>
      <c r="G261" s="3097"/>
      <c r="H261" s="3097"/>
      <c r="I261" s="3097"/>
      <c r="J261" s="3097"/>
      <c r="K261" s="3097"/>
      <c r="L261" s="3097"/>
      <c r="M261" s="3097"/>
      <c r="N261" s="3097"/>
      <c r="O261" s="3097"/>
      <c r="P261" s="3097"/>
      <c r="Q261" s="3097"/>
      <c r="R261" s="3097"/>
      <c r="S261" s="3097"/>
      <c r="T261" s="3097"/>
      <c r="U261" s="3097"/>
      <c r="V261" s="3097"/>
      <c r="W261" s="3097"/>
      <c r="X261" s="3097"/>
      <c r="Y261" s="3097"/>
      <c r="Z261" s="3097"/>
      <c r="AA261" s="3097"/>
      <c r="AB261" s="3097"/>
      <c r="AC261" s="3097"/>
      <c r="AD261" s="3098"/>
      <c r="AE261" s="945"/>
      <c r="AF261" s="1068"/>
      <c r="AG261" s="3102" t="s">
        <v>1661</v>
      </c>
      <c r="AH261" s="3102"/>
      <c r="AI261" s="3102"/>
      <c r="AJ261" s="3102"/>
      <c r="AK261" s="1028"/>
      <c r="AL261" s="1028"/>
      <c r="AM261" s="1028"/>
      <c r="AN261" s="1063"/>
      <c r="AO261" s="945">
        <f>IF($C$261="yes",5,0)</f>
        <v>5</v>
      </c>
      <c r="AS261" s="21"/>
      <c r="AT261" s="21"/>
    </row>
    <row r="262" spans="1:81" ht="13.7" customHeight="1">
      <c r="A262" s="1062"/>
      <c r="B262" s="1067"/>
      <c r="C262" s="1069"/>
      <c r="D262" s="945"/>
      <c r="E262" s="942"/>
      <c r="F262" s="3099"/>
      <c r="G262" s="3100"/>
      <c r="H262" s="3100"/>
      <c r="I262" s="3100"/>
      <c r="J262" s="3100"/>
      <c r="K262" s="3100"/>
      <c r="L262" s="3100"/>
      <c r="M262" s="3100"/>
      <c r="N262" s="3100"/>
      <c r="O262" s="3100"/>
      <c r="P262" s="3100"/>
      <c r="Q262" s="3100"/>
      <c r="R262" s="3100"/>
      <c r="S262" s="3100"/>
      <c r="T262" s="3100"/>
      <c r="U262" s="3100"/>
      <c r="V262" s="3100"/>
      <c r="W262" s="3100"/>
      <c r="X262" s="3100"/>
      <c r="Y262" s="3100"/>
      <c r="Z262" s="3100"/>
      <c r="AA262" s="3100"/>
      <c r="AB262" s="3100"/>
      <c r="AC262" s="3100"/>
      <c r="AD262" s="310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95" t="s">
        <v>578</v>
      </c>
      <c r="D264" s="3095"/>
      <c r="E264" s="942"/>
      <c r="F264" s="3096" t="s">
        <v>2203</v>
      </c>
      <c r="G264" s="3097"/>
      <c r="H264" s="3097"/>
      <c r="I264" s="3097"/>
      <c r="J264" s="3097"/>
      <c r="K264" s="3097"/>
      <c r="L264" s="3097"/>
      <c r="M264" s="3097"/>
      <c r="N264" s="3097"/>
      <c r="O264" s="3097"/>
      <c r="P264" s="3097"/>
      <c r="Q264" s="3097"/>
      <c r="R264" s="3097"/>
      <c r="S264" s="3097"/>
      <c r="T264" s="3097"/>
      <c r="U264" s="3097"/>
      <c r="V264" s="3097"/>
      <c r="W264" s="3097"/>
      <c r="X264" s="3097"/>
      <c r="Y264" s="3097"/>
      <c r="Z264" s="3097"/>
      <c r="AA264" s="3097"/>
      <c r="AB264" s="3097"/>
      <c r="AC264" s="3097"/>
      <c r="AD264" s="3098"/>
      <c r="AE264" s="945"/>
      <c r="AF264" s="1068"/>
      <c r="AG264" s="3102" t="s">
        <v>1661</v>
      </c>
      <c r="AH264" s="3102"/>
      <c r="AI264" s="3102"/>
      <c r="AJ264" s="3102"/>
      <c r="AK264" s="1028"/>
      <c r="AL264" s="1028"/>
      <c r="AM264" s="1028"/>
      <c r="AN264" s="1063"/>
      <c r="AS264" s="21"/>
      <c r="AT264" s="21"/>
    </row>
    <row r="265" spans="1:81" ht="13.7" customHeight="1">
      <c r="A265" s="1062"/>
      <c r="C265" s="1071"/>
      <c r="D265" s="1071"/>
      <c r="E265" s="1071"/>
      <c r="F265" s="3099"/>
      <c r="G265" s="3100"/>
      <c r="H265" s="3100"/>
      <c r="I265" s="3100"/>
      <c r="J265" s="3100"/>
      <c r="K265" s="3100"/>
      <c r="L265" s="3100"/>
      <c r="M265" s="3100"/>
      <c r="N265" s="3100"/>
      <c r="O265" s="3100"/>
      <c r="P265" s="3100"/>
      <c r="Q265" s="3100"/>
      <c r="R265" s="3100"/>
      <c r="S265" s="3100"/>
      <c r="T265" s="3100"/>
      <c r="U265" s="3100"/>
      <c r="V265" s="3100"/>
      <c r="W265" s="3100"/>
      <c r="X265" s="3100"/>
      <c r="Y265" s="3100"/>
      <c r="Z265" s="3100"/>
      <c r="AA265" s="3100"/>
      <c r="AB265" s="3100"/>
      <c r="AC265" s="3100"/>
      <c r="AD265" s="310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103">
        <f>$AO$263</f>
        <v>10</v>
      </c>
      <c r="AL267" s="3104"/>
      <c r="AM267" s="3105"/>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2443</v>
      </c>
      <c r="AH270" s="1036" t="s">
        <v>1575</v>
      </c>
    </row>
    <row r="271" spans="1:81" ht="15" customHeight="1">
      <c r="B271" s="934" t="s">
        <v>2442</v>
      </c>
    </row>
    <row r="272" spans="1:81" ht="15" customHeight="1">
      <c r="B272" s="934" t="s">
        <v>2444</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7" t="s">
        <v>1665</v>
      </c>
      <c r="B274" s="3127"/>
      <c r="C274" s="3095" t="s">
        <v>626</v>
      </c>
      <c r="D274" s="3095"/>
      <c r="E274" s="942"/>
      <c r="F274" s="3128" t="s">
        <v>1666</v>
      </c>
      <c r="G274" s="3129"/>
      <c r="H274" s="3129"/>
      <c r="I274" s="3129"/>
      <c r="J274" s="3129"/>
      <c r="K274" s="3129"/>
      <c r="L274" s="3129"/>
      <c r="M274" s="3129"/>
      <c r="N274" s="3129"/>
      <c r="O274" s="3129"/>
      <c r="P274" s="3129"/>
      <c r="Q274" s="3129"/>
      <c r="R274" s="3129"/>
      <c r="S274" s="3129"/>
      <c r="T274" s="3129"/>
      <c r="U274" s="3129"/>
      <c r="V274" s="3129"/>
      <c r="W274" s="3129"/>
      <c r="X274" s="3129"/>
      <c r="Y274" s="3129"/>
      <c r="Z274" s="3129"/>
      <c r="AA274" s="3129"/>
      <c r="AB274" s="3129"/>
      <c r="AC274" s="3129"/>
      <c r="AD274" s="3130"/>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21"/>
      <c r="G275" s="3122"/>
      <c r="H275" s="3122"/>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22"/>
      <c r="AD275" s="312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21"/>
      <c r="G276" s="3122"/>
      <c r="H276" s="3122"/>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22"/>
      <c r="AD276" s="312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21" t="s">
        <v>1668</v>
      </c>
      <c r="G277" s="3122"/>
      <c r="H277" s="3122"/>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22"/>
      <c r="AD277" s="3123"/>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121"/>
      <c r="G278" s="3122"/>
      <c r="H278" s="3122"/>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22"/>
      <c r="AD278" s="3123"/>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21" t="s">
        <v>1669</v>
      </c>
      <c r="G279" s="3122"/>
      <c r="H279" s="3122"/>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22"/>
      <c r="AD279" s="3123"/>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21"/>
      <c r="G280" s="3122"/>
      <c r="H280" s="3122"/>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22"/>
      <c r="AD280" s="312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21" t="s">
        <v>1670</v>
      </c>
      <c r="G281" s="3122"/>
      <c r="H281" s="3122"/>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22"/>
      <c r="AD281" s="312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24"/>
      <c r="G282" s="3125"/>
      <c r="H282" s="3125"/>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25"/>
      <c r="AD282" s="312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7" t="s">
        <v>1671</v>
      </c>
      <c r="B284" s="3127"/>
      <c r="C284" s="3095" t="s">
        <v>626</v>
      </c>
      <c r="D284" s="3095"/>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21" t="s">
        <v>1674</v>
      </c>
      <c r="G285" s="3122"/>
      <c r="H285" s="3122"/>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22"/>
      <c r="AD285" s="3123"/>
      <c r="AE285" s="946"/>
      <c r="AF285" s="946"/>
      <c r="AG285" s="946"/>
      <c r="AH285" s="946"/>
      <c r="AI285" s="946"/>
      <c r="AJ285" s="945"/>
      <c r="AK285" s="1028"/>
      <c r="AL285" s="1028"/>
      <c r="AM285" s="1028"/>
      <c r="AR285" s="1088"/>
    </row>
    <row r="286" spans="1:53" ht="15" customHeight="1">
      <c r="A286" s="1062"/>
      <c r="B286" s="946"/>
      <c r="C286" s="945"/>
      <c r="D286" s="946"/>
      <c r="E286" s="945"/>
      <c r="F286" s="3121"/>
      <c r="G286" s="3122"/>
      <c r="H286" s="3122"/>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22"/>
      <c r="AD286" s="3123"/>
      <c r="AE286" s="946"/>
      <c r="AF286" s="946"/>
      <c r="AG286" s="946"/>
      <c r="AH286" s="946"/>
      <c r="AI286" s="946"/>
      <c r="AJ286" s="945"/>
      <c r="AK286" s="1028"/>
      <c r="AL286" s="1028"/>
      <c r="AM286" s="1028"/>
      <c r="AR286" s="1088"/>
    </row>
    <row r="287" spans="1:53">
      <c r="A287" s="1062"/>
      <c r="B287" s="946"/>
      <c r="C287" s="945"/>
      <c r="D287" s="946"/>
      <c r="E287" s="945"/>
      <c r="F287" s="3121" t="s">
        <v>1669</v>
      </c>
      <c r="G287" s="3122"/>
      <c r="H287" s="3122"/>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22"/>
      <c r="AD287" s="312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21"/>
      <c r="G288" s="3122"/>
      <c r="H288" s="3122"/>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22"/>
      <c r="AD288" s="3123"/>
      <c r="AE288" s="946"/>
      <c r="AF288" s="946"/>
      <c r="AG288" s="946"/>
      <c r="AH288" s="946"/>
      <c r="AI288" s="946"/>
      <c r="AJ288" s="945"/>
      <c r="AK288" s="1028"/>
      <c r="AL288" s="1028"/>
      <c r="AM288" s="1028"/>
      <c r="AP288" s="1081"/>
      <c r="AQ288" s="970"/>
      <c r="AR288" s="1088"/>
    </row>
    <row r="289" spans="1:60">
      <c r="A289" s="1062"/>
      <c r="B289" s="946"/>
      <c r="C289" s="945"/>
      <c r="D289" s="946"/>
      <c r="E289" s="945"/>
      <c r="F289" s="3121" t="s">
        <v>1675</v>
      </c>
      <c r="G289" s="3122"/>
      <c r="H289" s="3122"/>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22"/>
      <c r="AD289" s="3123"/>
      <c r="AE289" s="946"/>
      <c r="AF289" s="946"/>
      <c r="AG289" s="946"/>
      <c r="AH289" s="946"/>
      <c r="AI289" s="946"/>
      <c r="AJ289" s="945"/>
      <c r="AK289" s="1028"/>
      <c r="AL289" s="1028"/>
      <c r="AM289" s="1028"/>
      <c r="AP289" s="1081"/>
      <c r="AQ289" s="970"/>
      <c r="AR289" s="1088"/>
    </row>
    <row r="290" spans="1:60">
      <c r="A290" s="1062"/>
      <c r="B290" s="946"/>
      <c r="C290" s="945"/>
      <c r="D290" s="946"/>
      <c r="E290" s="945"/>
      <c r="F290" s="3124"/>
      <c r="G290" s="3125"/>
      <c r="H290" s="3125"/>
      <c r="I290" s="3125"/>
      <c r="J290" s="3125"/>
      <c r="K290" s="3125"/>
      <c r="L290" s="3125"/>
      <c r="M290" s="3125"/>
      <c r="N290" s="3125"/>
      <c r="O290" s="3125"/>
      <c r="P290" s="3125"/>
      <c r="Q290" s="3125"/>
      <c r="R290" s="3125"/>
      <c r="S290" s="3125"/>
      <c r="T290" s="3125"/>
      <c r="U290" s="3125"/>
      <c r="V290" s="3125"/>
      <c r="W290" s="3125"/>
      <c r="X290" s="3125"/>
      <c r="Y290" s="3125"/>
      <c r="Z290" s="3125"/>
      <c r="AA290" s="3125"/>
      <c r="AB290" s="3125"/>
      <c r="AC290" s="3125"/>
      <c r="AD290" s="312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7" t="s">
        <v>1676</v>
      </c>
      <c r="B292" s="3127"/>
      <c r="C292" s="3095" t="s">
        <v>578</v>
      </c>
      <c r="D292" s="3095"/>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21" t="s">
        <v>1677</v>
      </c>
      <c r="G293" s="3122"/>
      <c r="H293" s="3122"/>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22"/>
      <c r="AD293" s="3123"/>
      <c r="AE293" s="946"/>
      <c r="AF293" s="946"/>
      <c r="AG293" s="1014"/>
      <c r="AH293" s="946"/>
      <c r="AI293" s="946"/>
      <c r="AJ293" s="945"/>
      <c r="AK293" s="1028"/>
      <c r="AL293" s="1028"/>
      <c r="AM293" s="1028"/>
      <c r="AN293" s="110"/>
      <c r="AO293" s="51"/>
      <c r="AP293" s="952" t="s">
        <v>1386</v>
      </c>
      <c r="AR293" s="21"/>
    </row>
    <row r="294" spans="1:60" s="21" customFormat="1">
      <c r="F294" s="3121"/>
      <c r="G294" s="3122"/>
      <c r="H294" s="3122"/>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22"/>
      <c r="AD294" s="3123"/>
      <c r="AE294" s="946"/>
      <c r="AF294" s="946"/>
      <c r="AH294" s="946"/>
      <c r="AI294" s="946"/>
      <c r="AJ294" s="1091"/>
      <c r="AK294" s="1062"/>
      <c r="AL294" s="1062"/>
      <c r="AM294" s="1062"/>
      <c r="AN294" s="1092"/>
      <c r="AP294" s="1093" t="s">
        <v>2241</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2243</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2446</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31" t="s">
        <v>2241</v>
      </c>
      <c r="G298" s="3132"/>
      <c r="H298" s="3132"/>
      <c r="I298" s="3132"/>
      <c r="J298" s="3132"/>
      <c r="K298" s="3132"/>
      <c r="L298" s="3132"/>
      <c r="M298" s="3132"/>
      <c r="N298" s="3132"/>
      <c r="O298" s="3132"/>
      <c r="P298" s="3132"/>
      <c r="Q298" s="3132"/>
      <c r="R298" s="3132"/>
      <c r="S298" s="3132"/>
      <c r="T298" s="3132"/>
      <c r="U298" s="3132"/>
      <c r="V298" s="3132"/>
      <c r="W298" s="3132"/>
      <c r="X298" s="3132"/>
      <c r="Y298" s="3132"/>
      <c r="Z298" s="3132"/>
      <c r="AA298" s="3132"/>
      <c r="AB298" s="3132"/>
      <c r="AC298" s="3132"/>
      <c r="AD298" s="313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1"/>
      <c r="G299" s="3132"/>
      <c r="H299" s="3132"/>
      <c r="I299" s="3132"/>
      <c r="J299" s="3132"/>
      <c r="K299" s="3132"/>
      <c r="L299" s="3132"/>
      <c r="M299" s="3132"/>
      <c r="N299" s="3132"/>
      <c r="O299" s="3132"/>
      <c r="P299" s="3132"/>
      <c r="Q299" s="3132"/>
      <c r="R299" s="3132"/>
      <c r="S299" s="3132"/>
      <c r="T299" s="3132"/>
      <c r="U299" s="3132"/>
      <c r="V299" s="3132"/>
      <c r="W299" s="3132"/>
      <c r="X299" s="3132"/>
      <c r="Y299" s="3132"/>
      <c r="Z299" s="3132"/>
      <c r="AA299" s="3132"/>
      <c r="AB299" s="3132"/>
      <c r="AC299" s="3132"/>
      <c r="AD299" s="313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1"/>
      <c r="G300" s="3132"/>
      <c r="H300" s="3132"/>
      <c r="I300" s="3132"/>
      <c r="J300" s="3132"/>
      <c r="K300" s="3132"/>
      <c r="L300" s="3132"/>
      <c r="M300" s="3132"/>
      <c r="N300" s="3132"/>
      <c r="O300" s="3132"/>
      <c r="P300" s="3132"/>
      <c r="Q300" s="3132"/>
      <c r="R300" s="3132"/>
      <c r="S300" s="3132"/>
      <c r="T300" s="3132"/>
      <c r="U300" s="3132"/>
      <c r="V300" s="3132"/>
      <c r="W300" s="3132"/>
      <c r="X300" s="3132"/>
      <c r="Y300" s="3132"/>
      <c r="Z300" s="3132"/>
      <c r="AA300" s="3132"/>
      <c r="AB300" s="3132"/>
      <c r="AC300" s="3132"/>
      <c r="AD300" s="313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1"/>
      <c r="G301" s="3132"/>
      <c r="H301" s="3132"/>
      <c r="I301" s="3132"/>
      <c r="J301" s="3132"/>
      <c r="K301" s="3132"/>
      <c r="L301" s="3132"/>
      <c r="M301" s="3132"/>
      <c r="N301" s="3132"/>
      <c r="O301" s="3132"/>
      <c r="P301" s="3132"/>
      <c r="Q301" s="3132"/>
      <c r="R301" s="3132"/>
      <c r="S301" s="3132"/>
      <c r="T301" s="3132"/>
      <c r="U301" s="3132"/>
      <c r="V301" s="3132"/>
      <c r="W301" s="3132"/>
      <c r="X301" s="3132"/>
      <c r="Y301" s="3132"/>
      <c r="Z301" s="3132"/>
      <c r="AA301" s="3132"/>
      <c r="AB301" s="3132"/>
      <c r="AC301" s="3132"/>
      <c r="AD301" s="313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34"/>
      <c r="G302" s="3135"/>
      <c r="H302" s="3135"/>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35"/>
      <c r="AD302" s="313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2242</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725</v>
      </c>
      <c r="H306" s="971"/>
      <c r="I306" s="3137" t="s">
        <v>2541</v>
      </c>
      <c r="J306" s="3137"/>
      <c r="K306" s="3137"/>
      <c r="L306" s="3137"/>
      <c r="M306" s="3137"/>
      <c r="N306" s="3137"/>
      <c r="O306" s="3137"/>
      <c r="P306" s="3137"/>
      <c r="Q306" s="3137"/>
      <c r="R306" s="3137"/>
      <c r="S306" s="3137"/>
      <c r="T306" s="3137"/>
      <c r="U306" s="3137"/>
      <c r="V306" s="3137"/>
      <c r="W306" s="3137"/>
      <c r="X306" s="3137"/>
      <c r="Y306" s="3137"/>
      <c r="Z306" s="3137"/>
      <c r="AA306" s="3137"/>
      <c r="AB306" s="3137"/>
      <c r="AC306" s="3137"/>
      <c r="AD306" s="3138"/>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37"/>
      <c r="J307" s="3137"/>
      <c r="K307" s="3137"/>
      <c r="L307" s="3137"/>
      <c r="M307" s="3137"/>
      <c r="N307" s="3137"/>
      <c r="O307" s="3137"/>
      <c r="P307" s="3137"/>
      <c r="Q307" s="3137"/>
      <c r="R307" s="3137"/>
      <c r="S307" s="3137"/>
      <c r="T307" s="3137"/>
      <c r="U307" s="3137"/>
      <c r="V307" s="3137"/>
      <c r="W307" s="3137"/>
      <c r="X307" s="3137"/>
      <c r="Y307" s="3137"/>
      <c r="Z307" s="3137"/>
      <c r="AA307" s="3137"/>
      <c r="AB307" s="3137"/>
      <c r="AC307" s="3137"/>
      <c r="AD307" s="3138"/>
      <c r="AE307" s="946"/>
      <c r="AF307" s="946"/>
      <c r="AG307" s="988"/>
      <c r="AH307" s="946"/>
      <c r="AI307" s="946"/>
      <c r="AJ307" s="945"/>
      <c r="AK307" s="1028"/>
      <c r="AL307" s="1028"/>
      <c r="AM307" s="1028"/>
      <c r="AN307" s="110"/>
      <c r="AO307" s="51"/>
      <c r="AP307" s="952" t="s">
        <v>2244</v>
      </c>
      <c r="AR307" s="21"/>
    </row>
    <row r="308" spans="1:60">
      <c r="A308" s="1062"/>
      <c r="B308" s="946"/>
      <c r="C308" s="1095"/>
      <c r="D308" s="1095"/>
      <c r="E308" s="942"/>
      <c r="F308" s="1100"/>
      <c r="G308" s="971"/>
      <c r="H308" s="971"/>
      <c r="I308" s="3137"/>
      <c r="J308" s="3137"/>
      <c r="K308" s="3137"/>
      <c r="L308" s="3137"/>
      <c r="M308" s="3137"/>
      <c r="N308" s="3137"/>
      <c r="O308" s="3137"/>
      <c r="P308" s="3137"/>
      <c r="Q308" s="3137"/>
      <c r="R308" s="3137"/>
      <c r="S308" s="3137"/>
      <c r="T308" s="3137"/>
      <c r="U308" s="3137"/>
      <c r="V308" s="3137"/>
      <c r="W308" s="3137"/>
      <c r="X308" s="3137"/>
      <c r="Y308" s="3137"/>
      <c r="Z308" s="3137"/>
      <c r="AA308" s="3137"/>
      <c r="AB308" s="3137"/>
      <c r="AC308" s="3137"/>
      <c r="AD308" s="3138"/>
      <c r="AE308" s="946"/>
      <c r="AF308" s="946"/>
      <c r="AG308" s="988"/>
      <c r="AH308" s="946"/>
      <c r="AI308" s="946"/>
      <c r="AJ308" s="945"/>
      <c r="AK308" s="1028"/>
      <c r="AL308" s="1028"/>
      <c r="AM308" s="1028"/>
      <c r="AN308" s="110"/>
      <c r="AO308" s="51"/>
      <c r="AP308" s="952" t="s">
        <v>2246</v>
      </c>
      <c r="AR308" s="21"/>
    </row>
    <row r="309" spans="1:60">
      <c r="A309" s="1062"/>
      <c r="B309" s="946"/>
      <c r="C309" s="1095"/>
      <c r="D309" s="1095"/>
      <c r="E309" s="942"/>
      <c r="F309" s="1098"/>
      <c r="G309" s="946"/>
      <c r="H309" s="946"/>
      <c r="I309" s="3139"/>
      <c r="J309" s="3139"/>
      <c r="K309" s="3139"/>
      <c r="L309" s="3139"/>
      <c r="M309" s="3139"/>
      <c r="N309" s="3139"/>
      <c r="O309" s="3139"/>
      <c r="P309" s="3139"/>
      <c r="Q309" s="3139"/>
      <c r="R309" s="3139"/>
      <c r="S309" s="3139"/>
      <c r="T309" s="3139"/>
      <c r="U309" s="3139"/>
      <c r="V309" s="3139"/>
      <c r="W309" s="3139"/>
      <c r="X309" s="3139"/>
      <c r="Y309" s="3139"/>
      <c r="Z309" s="3139"/>
      <c r="AA309" s="3139"/>
      <c r="AB309" s="3139"/>
      <c r="AC309" s="3139"/>
      <c r="AD309" s="3140"/>
      <c r="AE309" s="946"/>
      <c r="AF309" s="946"/>
      <c r="AG309" s="988"/>
      <c r="AH309" s="946"/>
      <c r="AI309" s="946"/>
      <c r="AJ309" s="945"/>
      <c r="AK309" s="1028"/>
      <c r="AL309" s="1028"/>
      <c r="AM309" s="1028"/>
      <c r="AN309" s="110"/>
      <c r="AO309" s="51"/>
      <c r="AP309" s="952" t="s">
        <v>2245</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37" t="s">
        <v>1386</v>
      </c>
      <c r="J311" s="3137"/>
      <c r="K311" s="3137"/>
      <c r="L311" s="3137"/>
      <c r="M311" s="3137"/>
      <c r="N311" s="3137"/>
      <c r="O311" s="3137"/>
      <c r="P311" s="3137"/>
      <c r="Q311" s="3137"/>
      <c r="R311" s="3137"/>
      <c r="S311" s="3137"/>
      <c r="T311" s="3137"/>
      <c r="U311" s="3137"/>
      <c r="V311" s="3137"/>
      <c r="W311" s="3137"/>
      <c r="X311" s="3137"/>
      <c r="Y311" s="3137"/>
      <c r="Z311" s="3137"/>
      <c r="AA311" s="3137"/>
      <c r="AB311" s="3137"/>
      <c r="AC311" s="3137"/>
      <c r="AD311" s="313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37"/>
      <c r="J312" s="3137"/>
      <c r="K312" s="3137"/>
      <c r="L312" s="3137"/>
      <c r="M312" s="3137"/>
      <c r="N312" s="3137"/>
      <c r="O312" s="3137"/>
      <c r="P312" s="3137"/>
      <c r="Q312" s="3137"/>
      <c r="R312" s="3137"/>
      <c r="S312" s="3137"/>
      <c r="T312" s="3137"/>
      <c r="U312" s="3137"/>
      <c r="V312" s="3137"/>
      <c r="W312" s="3137"/>
      <c r="X312" s="3137"/>
      <c r="Y312" s="3137"/>
      <c r="Z312" s="3137"/>
      <c r="AA312" s="3137"/>
      <c r="AB312" s="3137"/>
      <c r="AC312" s="3137"/>
      <c r="AD312" s="3138"/>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39"/>
      <c r="J313" s="3139"/>
      <c r="K313" s="3139"/>
      <c r="L313" s="3139"/>
      <c r="M313" s="3139"/>
      <c r="N313" s="3139"/>
      <c r="O313" s="3139"/>
      <c r="P313" s="3139"/>
      <c r="Q313" s="3139"/>
      <c r="R313" s="3139"/>
      <c r="S313" s="3139"/>
      <c r="T313" s="3139"/>
      <c r="U313" s="3139"/>
      <c r="V313" s="3139"/>
      <c r="W313" s="3139"/>
      <c r="X313" s="3139"/>
      <c r="Y313" s="3139"/>
      <c r="Z313" s="3139"/>
      <c r="AA313" s="3139"/>
      <c r="AB313" s="3139"/>
      <c r="AC313" s="3139"/>
      <c r="AD313" s="3140"/>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27" t="s">
        <v>1680</v>
      </c>
      <c r="B315" s="3127"/>
      <c r="C315" s="3095" t="s">
        <v>626</v>
      </c>
      <c r="D315" s="3095"/>
      <c r="E315" s="942"/>
      <c r="F315" s="3028" t="s">
        <v>1681</v>
      </c>
      <c r="G315" s="3029"/>
      <c r="H315" s="3029"/>
      <c r="I315" s="3029"/>
      <c r="J315" s="3029"/>
      <c r="K315" s="3029"/>
      <c r="L315" s="3029"/>
      <c r="M315" s="3029"/>
      <c r="N315" s="3029"/>
      <c r="O315" s="3029"/>
      <c r="P315" s="3029"/>
      <c r="Q315" s="3029"/>
      <c r="R315" s="3029"/>
      <c r="S315" s="3029"/>
      <c r="T315" s="3029"/>
      <c r="U315" s="3029"/>
      <c r="V315" s="3029"/>
      <c r="W315" s="3029"/>
      <c r="X315" s="3029"/>
      <c r="Y315" s="3029"/>
      <c r="Z315" s="3029"/>
      <c r="AA315" s="3029"/>
      <c r="AB315" s="3029"/>
      <c r="AC315" s="3029"/>
      <c r="AD315" s="3030"/>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34"/>
      <c r="G316" s="3035"/>
      <c r="H316" s="3035"/>
      <c r="I316" s="3035"/>
      <c r="J316" s="3035"/>
      <c r="K316" s="3035"/>
      <c r="L316" s="3035"/>
      <c r="M316" s="3035"/>
      <c r="N316" s="3035"/>
      <c r="O316" s="3035"/>
      <c r="P316" s="3035"/>
      <c r="Q316" s="3035"/>
      <c r="R316" s="3035"/>
      <c r="S316" s="3035"/>
      <c r="T316" s="3035"/>
      <c r="U316" s="3035"/>
      <c r="V316" s="3035"/>
      <c r="W316" s="3035"/>
      <c r="X316" s="3035"/>
      <c r="Y316" s="3035"/>
      <c r="Z316" s="3035"/>
      <c r="AA316" s="3035"/>
      <c r="AB316" s="3035"/>
      <c r="AC316" s="3035"/>
      <c r="AD316" s="3036"/>
      <c r="AE316" s="946"/>
      <c r="AF316" s="946"/>
      <c r="AG316" s="946"/>
      <c r="AH316" s="946"/>
      <c r="AI316" s="946"/>
      <c r="AJ316" s="945"/>
      <c r="AK316" s="1028"/>
      <c r="AL316" s="1028"/>
      <c r="AM316" s="1028"/>
      <c r="AN316" s="110"/>
      <c r="AO316" s="51"/>
    </row>
    <row r="317" spans="1:60" ht="15" customHeight="1">
      <c r="A317" s="1062"/>
      <c r="B317" s="946"/>
      <c r="C317" s="946"/>
      <c r="D317" s="946"/>
      <c r="E317" s="946"/>
      <c r="F317" s="3034"/>
      <c r="G317" s="3035"/>
      <c r="H317" s="3035"/>
      <c r="I317" s="3035"/>
      <c r="J317" s="3035"/>
      <c r="K317" s="3035"/>
      <c r="L317" s="3035"/>
      <c r="M317" s="3035"/>
      <c r="N317" s="3035"/>
      <c r="O317" s="3035"/>
      <c r="P317" s="3035"/>
      <c r="Q317" s="3035"/>
      <c r="R317" s="3035"/>
      <c r="S317" s="3035"/>
      <c r="T317" s="3035"/>
      <c r="U317" s="3035"/>
      <c r="V317" s="3035"/>
      <c r="W317" s="3035"/>
      <c r="X317" s="3035"/>
      <c r="Y317" s="3035"/>
      <c r="Z317" s="3035"/>
      <c r="AA317" s="3035"/>
      <c r="AB317" s="3035"/>
      <c r="AC317" s="3035"/>
      <c r="AD317" s="303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103">
        <f>AP279</f>
        <v>9</v>
      </c>
      <c r="AL320" s="3104"/>
      <c r="AM320" s="310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7" t="s">
        <v>1597</v>
      </c>
      <c r="AF323" s="3087"/>
      <c r="AG323" s="3087"/>
      <c r="AH323" s="3087"/>
      <c r="AI323" s="3087"/>
      <c r="AJ323" s="3087"/>
      <c r="AK323" s="3087"/>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22" t="s">
        <v>2204</v>
      </c>
      <c r="C325" s="3122"/>
      <c r="D325" s="3122"/>
      <c r="E325" s="3122"/>
      <c r="F325" s="3122"/>
      <c r="G325" s="3122"/>
      <c r="H325" s="3122"/>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22"/>
      <c r="AD325" s="3122"/>
      <c r="AE325" s="3122"/>
      <c r="AF325" s="3122"/>
      <c r="AG325" s="3122"/>
      <c r="AH325" s="3122"/>
      <c r="AI325" s="3122"/>
      <c r="AJ325" s="3122"/>
      <c r="AK325" s="1080"/>
      <c r="AL325" s="969"/>
      <c r="AM325" s="1029"/>
      <c r="AN325" s="1002"/>
    </row>
    <row r="326" spans="1:42" s="945" customFormat="1" ht="12.75" customHeight="1">
      <c r="A326" s="1029"/>
      <c r="B326" s="3122"/>
      <c r="C326" s="3122"/>
      <c r="D326" s="3122"/>
      <c r="E326" s="3122"/>
      <c r="F326" s="3122"/>
      <c r="G326" s="3122"/>
      <c r="H326" s="3122"/>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22"/>
      <c r="AD326" s="3122"/>
      <c r="AE326" s="3122"/>
      <c r="AF326" s="3122"/>
      <c r="AG326" s="3122"/>
      <c r="AH326" s="3122"/>
      <c r="AI326" s="3122"/>
      <c r="AJ326" s="3122"/>
      <c r="AK326" s="1080"/>
      <c r="AL326" s="969"/>
      <c r="AM326" s="1029"/>
      <c r="AN326" s="1002"/>
    </row>
    <row r="327" spans="1:42" s="945" customFormat="1" ht="12.75" customHeight="1">
      <c r="A327" s="1029"/>
      <c r="B327" s="3122"/>
      <c r="C327" s="3122"/>
      <c r="D327" s="3122"/>
      <c r="E327" s="3122"/>
      <c r="F327" s="3122"/>
      <c r="G327" s="3122"/>
      <c r="H327" s="3122"/>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22"/>
      <c r="AD327" s="3122"/>
      <c r="AE327" s="3122"/>
      <c r="AF327" s="3122"/>
      <c r="AG327" s="3122"/>
      <c r="AH327" s="3122"/>
      <c r="AI327" s="3122"/>
      <c r="AJ327" s="3122"/>
      <c r="AK327" s="1080"/>
      <c r="AL327" s="969"/>
      <c r="AM327" s="1029"/>
      <c r="AN327" s="1002"/>
    </row>
    <row r="328" spans="1:42" s="945" customFormat="1" ht="12.75" customHeight="1">
      <c r="A328" s="1029"/>
      <c r="B328" s="3122"/>
      <c r="C328" s="3122"/>
      <c r="D328" s="3122"/>
      <c r="E328" s="3122"/>
      <c r="F328" s="3122"/>
      <c r="G328" s="3122"/>
      <c r="H328" s="3122"/>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22"/>
      <c r="AD328" s="3122"/>
      <c r="AE328" s="3122"/>
      <c r="AF328" s="3122"/>
      <c r="AG328" s="3122"/>
      <c r="AH328" s="3122"/>
      <c r="AI328" s="3122"/>
      <c r="AJ328" s="3122"/>
      <c r="AK328" s="1080"/>
      <c r="AL328" s="969"/>
      <c r="AM328" s="1029"/>
      <c r="AN328" s="1002"/>
    </row>
    <row r="329" spans="1:42" s="945" customFormat="1" ht="12.75" customHeight="1">
      <c r="A329" s="1029"/>
      <c r="B329" s="3122"/>
      <c r="C329" s="3122"/>
      <c r="D329" s="3122"/>
      <c r="E329" s="3122"/>
      <c r="F329" s="3122"/>
      <c r="G329" s="3122"/>
      <c r="H329" s="3122"/>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22"/>
      <c r="AD329" s="3122"/>
      <c r="AE329" s="3122"/>
      <c r="AF329" s="3122"/>
      <c r="AG329" s="3122"/>
      <c r="AH329" s="3122"/>
      <c r="AI329" s="3122"/>
      <c r="AJ329" s="3122"/>
      <c r="AK329" s="1080"/>
      <c r="AL329" s="969"/>
      <c r="AM329" s="1029"/>
      <c r="AN329" s="1002"/>
    </row>
    <row r="330" spans="1:42" s="945" customFormat="1" ht="12.75" customHeight="1">
      <c r="A330" s="1029"/>
      <c r="B330" s="3122"/>
      <c r="C330" s="3122"/>
      <c r="D330" s="3122"/>
      <c r="E330" s="3122"/>
      <c r="F330" s="3122"/>
      <c r="G330" s="3122"/>
      <c r="H330" s="3122"/>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22"/>
      <c r="AD330" s="3122"/>
      <c r="AE330" s="3122"/>
      <c r="AF330" s="3122"/>
      <c r="AG330" s="3122"/>
      <c r="AH330" s="3122"/>
      <c r="AI330" s="3122"/>
      <c r="AJ330" s="3122"/>
      <c r="AK330" s="1080"/>
      <c r="AL330" s="969"/>
      <c r="AM330" s="1029"/>
      <c r="AN330" s="1002"/>
    </row>
    <row r="331" spans="1:42" s="945" customFormat="1" ht="12.75" customHeight="1">
      <c r="A331" s="1029"/>
      <c r="B331" s="3122"/>
      <c r="C331" s="3122"/>
      <c r="D331" s="3122"/>
      <c r="E331" s="3122"/>
      <c r="F331" s="3122"/>
      <c r="G331" s="3122"/>
      <c r="H331" s="3122"/>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22"/>
      <c r="AD331" s="3122"/>
      <c r="AE331" s="3122"/>
      <c r="AF331" s="3122"/>
      <c r="AG331" s="3122"/>
      <c r="AH331" s="3122"/>
      <c r="AI331" s="3122"/>
      <c r="AJ331" s="3122"/>
      <c r="AK331" s="1080"/>
      <c r="AL331" s="969"/>
      <c r="AM331" s="1029"/>
      <c r="AN331" s="1002"/>
    </row>
    <row r="332" spans="1:42" ht="12.75" customHeight="1">
      <c r="A332" s="1029"/>
      <c r="B332" s="3122"/>
      <c r="C332" s="3122"/>
      <c r="D332" s="3122"/>
      <c r="E332" s="3122"/>
      <c r="F332" s="3122"/>
      <c r="G332" s="3122"/>
      <c r="H332" s="3122"/>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22"/>
      <c r="AD332" s="3122"/>
      <c r="AE332" s="3122"/>
      <c r="AF332" s="3122"/>
      <c r="AG332" s="3122"/>
      <c r="AH332" s="3122"/>
      <c r="AI332" s="3122"/>
      <c r="AJ332" s="3122"/>
      <c r="AK332" s="1080"/>
      <c r="AL332" s="969"/>
      <c r="AM332" s="1029"/>
    </row>
    <row r="333" spans="1:42" s="945" customFormat="1" ht="12.75" customHeight="1">
      <c r="A333" s="1062"/>
      <c r="B333" s="3122"/>
      <c r="C333" s="3122"/>
      <c r="D333" s="3122"/>
      <c r="E333" s="3122"/>
      <c r="F333" s="3122"/>
      <c r="G333" s="3122"/>
      <c r="H333" s="3122"/>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22"/>
      <c r="AD333" s="3122"/>
      <c r="AE333" s="3122"/>
      <c r="AF333" s="3122"/>
      <c r="AG333" s="3122"/>
      <c r="AH333" s="3122"/>
      <c r="AI333" s="3122"/>
      <c r="AJ333" s="312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725</v>
      </c>
      <c r="E339" s="1640" t="s">
        <v>2209</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64" t="s">
        <v>1621</v>
      </c>
      <c r="AG339" s="3064"/>
      <c r="AH339" s="3064"/>
      <c r="AI339" s="3064"/>
      <c r="AJ339" s="3064"/>
      <c r="AK339" s="3064"/>
      <c r="AL339" s="3064"/>
      <c r="AM339" s="1028"/>
      <c r="AN339" s="1002"/>
    </row>
    <row r="340" spans="1:42" s="945" customFormat="1" ht="12.75" customHeight="1">
      <c r="A340" s="1028"/>
      <c r="B340" s="1008"/>
      <c r="C340" s="1037"/>
      <c r="D340" s="1108"/>
      <c r="E340" s="1640" t="s">
        <v>2210</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2211</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2212</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2213</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2214</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542</v>
      </c>
      <c r="E346" s="1640" t="s">
        <v>2215</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64" t="s">
        <v>1687</v>
      </c>
      <c r="AG346" s="3064"/>
      <c r="AH346" s="3064"/>
      <c r="AI346" s="3064"/>
      <c r="AJ346" s="3064"/>
      <c r="AK346" s="3064"/>
      <c r="AL346" s="3064"/>
      <c r="AM346" s="1028"/>
      <c r="AN346" s="1002"/>
    </row>
    <row r="347" spans="1:42" s="945" customFormat="1" ht="12.75" customHeight="1">
      <c r="A347" s="1062"/>
      <c r="B347" s="1025"/>
      <c r="C347" s="1643"/>
      <c r="D347" s="1108"/>
      <c r="E347" s="1640" t="s">
        <v>2216</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4"/>
      <c r="D348" s="1108"/>
      <c r="E348" s="1640" t="s">
        <v>2217</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4"/>
      <c r="D349" s="1108"/>
      <c r="E349" s="1640" t="s">
        <v>2219</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4"/>
      <c r="D350" s="1108"/>
      <c r="E350" s="1640" t="s">
        <v>2218</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285</v>
      </c>
      <c r="E352" s="1640" t="s">
        <v>2220</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64" t="s">
        <v>1661</v>
      </c>
      <c r="AG352" s="3064"/>
      <c r="AH352" s="3064"/>
      <c r="AI352" s="3064"/>
      <c r="AJ352" s="3064"/>
      <c r="AK352" s="3064"/>
      <c r="AL352" s="3064"/>
      <c r="AM352" s="1028"/>
      <c r="AN352" s="1002"/>
      <c r="AO352" s="1120" t="s">
        <v>1689</v>
      </c>
      <c r="AP352" s="945">
        <v>3</v>
      </c>
    </row>
    <row r="353" spans="1:53" s="945" customFormat="1" ht="12.75" customHeight="1">
      <c r="A353" s="1062"/>
      <c r="B353" s="1025"/>
      <c r="C353" s="1643"/>
      <c r="D353" s="1108"/>
      <c r="E353" s="1640" t="s">
        <v>2216</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2217</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2219</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2218</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2221</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64" t="s">
        <v>1690</v>
      </c>
      <c r="AG358" s="3064"/>
      <c r="AH358" s="3064"/>
      <c r="AI358" s="3064"/>
      <c r="AJ358" s="3064"/>
      <c r="AK358" s="3064"/>
      <c r="AL358" s="3064"/>
      <c r="AM358" s="1028"/>
      <c r="AN358" s="1002"/>
      <c r="AO358" s="945" t="str">
        <f>X395</f>
        <v>N/A</v>
      </c>
    </row>
    <row r="359" spans="1:53" s="945" customFormat="1" ht="12.75" customHeight="1">
      <c r="A359" s="1062"/>
      <c r="B359" s="1025"/>
      <c r="C359" s="1643"/>
      <c r="D359" s="1108"/>
      <c r="E359" s="1640" t="s">
        <v>2222</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2223</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2458</v>
      </c>
      <c r="O362" s="3144" t="s">
        <v>1386</v>
      </c>
      <c r="P362" s="3144"/>
      <c r="Q362" s="3144"/>
      <c r="R362" s="3144"/>
      <c r="S362" s="3144"/>
      <c r="T362" s="3144"/>
      <c r="U362" s="3144"/>
      <c r="V362" s="3144"/>
      <c r="W362" s="3144"/>
      <c r="X362" s="3144"/>
      <c r="Y362" s="3144"/>
      <c r="Z362" s="3144"/>
      <c r="AA362" s="3144"/>
      <c r="AB362" s="314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2225</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64" t="s">
        <v>1635</v>
      </c>
      <c r="AG364" s="3064"/>
      <c r="AH364" s="3064"/>
      <c r="AI364" s="3064"/>
      <c r="AJ364" s="3064"/>
      <c r="AK364" s="3064"/>
      <c r="AL364" s="3064"/>
      <c r="AM364" s="1028"/>
      <c r="AN364" s="1003"/>
    </row>
    <row r="365" spans="1:53" s="945" customFormat="1" ht="12.75" customHeight="1">
      <c r="A365" s="1062"/>
      <c r="B365" s="1008"/>
      <c r="C365" s="1641"/>
      <c r="D365" s="1108"/>
      <c r="E365" s="1640" t="s">
        <v>2224</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3"/>
      <c r="D367" s="1025" t="s">
        <v>1691</v>
      </c>
      <c r="E367" s="1647"/>
      <c r="F367" s="1647"/>
      <c r="G367" s="1647"/>
      <c r="H367" s="3141" t="s">
        <v>1689</v>
      </c>
      <c r="I367" s="314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2226</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2227</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2228</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2229</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3"/>
      <c r="D375" s="1025"/>
      <c r="E375" s="1025" t="s">
        <v>1691</v>
      </c>
      <c r="F375" s="1647"/>
      <c r="G375" s="1647"/>
      <c r="I375" s="3143" t="s">
        <v>626</v>
      </c>
      <c r="J375" s="3143"/>
      <c r="K375" s="3143"/>
      <c r="L375" s="3143"/>
      <c r="M375" s="3143"/>
      <c r="N375" s="3143"/>
      <c r="O375" s="3143"/>
      <c r="P375" s="3143"/>
      <c r="Q375" s="3143"/>
      <c r="R375" s="3143"/>
      <c r="S375" s="3143"/>
      <c r="T375" s="3143"/>
      <c r="U375" s="3143"/>
      <c r="V375" s="3143"/>
      <c r="W375" s="3143"/>
      <c r="X375" s="3143"/>
      <c r="Y375" s="3143"/>
      <c r="Z375" s="3143"/>
      <c r="AA375" s="3143"/>
      <c r="AB375" s="3143"/>
      <c r="AC375" s="3143"/>
      <c r="AD375" s="3143"/>
      <c r="AE375" s="3143"/>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091" t="s">
        <v>626</v>
      </c>
      <c r="C377" s="3091"/>
      <c r="D377" s="1648"/>
      <c r="E377" s="3122" t="s">
        <v>1694</v>
      </c>
      <c r="F377" s="3122"/>
      <c r="G377" s="3122"/>
      <c r="H377" s="3122"/>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22"/>
      <c r="AD377" s="3122"/>
      <c r="AE377" s="3122"/>
      <c r="AF377" s="3122"/>
      <c r="AG377" s="3122"/>
      <c r="AH377" s="1648"/>
      <c r="AI377" s="1648"/>
      <c r="AJ377" s="1648"/>
      <c r="AK377" s="1648"/>
      <c r="AL377" s="1648"/>
      <c r="AN377" s="1002"/>
    </row>
    <row r="378" spans="1:46" s="945" customFormat="1" ht="12.75" customHeight="1">
      <c r="A378" s="1062"/>
      <c r="B378" s="1025"/>
      <c r="C378" s="1643"/>
      <c r="D378" s="1648"/>
      <c r="E378" s="3122"/>
      <c r="F378" s="3122"/>
      <c r="G378" s="3122"/>
      <c r="H378" s="3122"/>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22"/>
      <c r="AD378" s="3122"/>
      <c r="AE378" s="3122"/>
      <c r="AF378" s="3122"/>
      <c r="AG378" s="3122"/>
      <c r="AH378" s="1648"/>
      <c r="AI378" s="1648"/>
      <c r="AJ378" s="1648"/>
      <c r="AK378" s="1648"/>
      <c r="AL378" s="1648"/>
      <c r="AN378" s="1002"/>
    </row>
    <row r="379" spans="1:46" s="945" customFormat="1" ht="12.75" customHeight="1">
      <c r="A379" s="1062"/>
      <c r="B379" s="1025"/>
      <c r="C379" s="1643"/>
      <c r="D379" s="1648"/>
      <c r="E379" s="3122"/>
      <c r="F379" s="3122"/>
      <c r="G379" s="3122"/>
      <c r="H379" s="3122"/>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22"/>
      <c r="AD379" s="3122"/>
      <c r="AE379" s="3122"/>
      <c r="AF379" s="3122"/>
      <c r="AG379" s="3122"/>
      <c r="AH379" s="1648"/>
      <c r="AI379" s="1648"/>
      <c r="AJ379" s="1648"/>
      <c r="AK379" s="1648"/>
      <c r="AL379" s="1648"/>
      <c r="AN379" s="1002"/>
    </row>
    <row r="380" spans="1:46" s="945" customFormat="1" ht="12.75" customHeight="1">
      <c r="A380" s="1062"/>
      <c r="B380" s="1025"/>
      <c r="C380" s="1643"/>
      <c r="D380" s="1650"/>
      <c r="E380" s="3122"/>
      <c r="F380" s="3122"/>
      <c r="G380" s="3122"/>
      <c r="H380" s="3122"/>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22"/>
      <c r="AD380" s="3122"/>
      <c r="AE380" s="3122"/>
      <c r="AF380" s="3122"/>
      <c r="AG380" s="312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103">
        <f>VLOOKUP($H$367,$AO$347:$AP$352,2,FALSE)+VLOOKUP($I$375,$AO$374:$AP$376,2,FALSE)</f>
        <v>3</v>
      </c>
      <c r="AK382" s="310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42" t="s">
        <v>2205</v>
      </c>
      <c r="F386" s="3142"/>
      <c r="G386" s="3142"/>
      <c r="H386" s="3142"/>
      <c r="I386" s="3142"/>
      <c r="J386" s="3142"/>
      <c r="K386" s="3142"/>
      <c r="L386" s="3142"/>
      <c r="M386" s="3142"/>
      <c r="N386" s="3142"/>
      <c r="O386" s="3142"/>
      <c r="P386" s="3142"/>
      <c r="Q386" s="3142"/>
      <c r="R386" s="3142"/>
      <c r="S386" s="3142"/>
      <c r="T386" s="3142"/>
      <c r="U386" s="3142"/>
      <c r="V386" s="3142"/>
      <c r="W386" s="3142"/>
      <c r="X386" s="3142"/>
      <c r="Y386" s="3142"/>
      <c r="Z386" s="3142"/>
      <c r="AA386" s="3142"/>
      <c r="AB386" s="3142"/>
      <c r="AC386" s="3142"/>
      <c r="AD386" s="3142"/>
      <c r="AE386" s="934"/>
      <c r="AF386" s="3064" t="s">
        <v>1635</v>
      </c>
      <c r="AG386" s="3064"/>
      <c r="AH386" s="3064"/>
      <c r="AI386" s="3064"/>
      <c r="AJ386" s="3064"/>
      <c r="AK386" s="3064"/>
      <c r="AL386" s="3064"/>
      <c r="AM386" s="1028"/>
      <c r="AN386" s="1127"/>
    </row>
    <row r="387" spans="1:42" s="945" customFormat="1" ht="12.75" customHeight="1">
      <c r="A387" s="1128"/>
      <c r="B387" s="1025"/>
      <c r="C387" s="1643"/>
      <c r="D387" s="1108"/>
      <c r="E387" s="3142"/>
      <c r="F387" s="3142"/>
      <c r="G387" s="3142"/>
      <c r="H387" s="3142"/>
      <c r="I387" s="3142"/>
      <c r="J387" s="3142"/>
      <c r="K387" s="3142"/>
      <c r="L387" s="3142"/>
      <c r="M387" s="3142"/>
      <c r="N387" s="3142"/>
      <c r="O387" s="3142"/>
      <c r="P387" s="3142"/>
      <c r="Q387" s="3142"/>
      <c r="R387" s="3142"/>
      <c r="S387" s="3142"/>
      <c r="T387" s="3142"/>
      <c r="U387" s="3142"/>
      <c r="V387" s="3142"/>
      <c r="W387" s="3142"/>
      <c r="X387" s="3142"/>
      <c r="Y387" s="3142"/>
      <c r="Z387" s="3142"/>
      <c r="AA387" s="3142"/>
      <c r="AB387" s="3142"/>
      <c r="AC387" s="3142"/>
      <c r="AD387" s="314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2"/>
      <c r="F388" s="3142"/>
      <c r="G388" s="3142"/>
      <c r="H388" s="3142"/>
      <c r="I388" s="3142"/>
      <c r="J388" s="3142"/>
      <c r="K388" s="3142"/>
      <c r="L388" s="3142"/>
      <c r="M388" s="3142"/>
      <c r="N388" s="3142"/>
      <c r="O388" s="3142"/>
      <c r="P388" s="3142"/>
      <c r="Q388" s="3142"/>
      <c r="R388" s="3142"/>
      <c r="S388" s="3142"/>
      <c r="T388" s="3142"/>
      <c r="U388" s="3142"/>
      <c r="V388" s="3142"/>
      <c r="W388" s="3142"/>
      <c r="X388" s="3142"/>
      <c r="Y388" s="3142"/>
      <c r="Z388" s="3142"/>
      <c r="AA388" s="3142"/>
      <c r="AB388" s="3142"/>
      <c r="AC388" s="3142"/>
      <c r="AD388" s="314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2"/>
      <c r="F389" s="3142"/>
      <c r="G389" s="3142"/>
      <c r="H389" s="3142"/>
      <c r="I389" s="3142"/>
      <c r="J389" s="3142"/>
      <c r="K389" s="3142"/>
      <c r="L389" s="3142"/>
      <c r="M389" s="3142"/>
      <c r="N389" s="3142"/>
      <c r="O389" s="3142"/>
      <c r="P389" s="3142"/>
      <c r="Q389" s="3142"/>
      <c r="R389" s="3142"/>
      <c r="S389" s="3142"/>
      <c r="T389" s="3142"/>
      <c r="U389" s="3142"/>
      <c r="V389" s="3142"/>
      <c r="W389" s="3142"/>
      <c r="X389" s="3142"/>
      <c r="Y389" s="3142"/>
      <c r="Z389" s="3142"/>
      <c r="AA389" s="3142"/>
      <c r="AB389" s="3142"/>
      <c r="AC389" s="3142"/>
      <c r="AD389" s="314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2"/>
      <c r="F390" s="3142"/>
      <c r="G390" s="3142"/>
      <c r="H390" s="3142"/>
      <c r="I390" s="3142"/>
      <c r="J390" s="3142"/>
      <c r="K390" s="3142"/>
      <c r="L390" s="3142"/>
      <c r="M390" s="3142"/>
      <c r="N390" s="3142"/>
      <c r="O390" s="3142"/>
      <c r="P390" s="3142"/>
      <c r="Q390" s="3142"/>
      <c r="R390" s="3142"/>
      <c r="S390" s="3142"/>
      <c r="T390" s="3142"/>
      <c r="U390" s="3142"/>
      <c r="V390" s="3142"/>
      <c r="W390" s="3142"/>
      <c r="X390" s="3142"/>
      <c r="Y390" s="3142"/>
      <c r="Z390" s="3142"/>
      <c r="AA390" s="3142"/>
      <c r="AB390" s="3142"/>
      <c r="AC390" s="3142"/>
      <c r="AD390" s="314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2"/>
      <c r="F391" s="3142"/>
      <c r="G391" s="3142"/>
      <c r="H391" s="3142"/>
      <c r="I391" s="3142"/>
      <c r="J391" s="3142"/>
      <c r="K391" s="3142"/>
      <c r="L391" s="3142"/>
      <c r="M391" s="3142"/>
      <c r="N391" s="3142"/>
      <c r="O391" s="3142"/>
      <c r="P391" s="3142"/>
      <c r="Q391" s="3142"/>
      <c r="R391" s="3142"/>
      <c r="S391" s="3142"/>
      <c r="T391" s="3142"/>
      <c r="U391" s="3142"/>
      <c r="V391" s="3142"/>
      <c r="W391" s="3142"/>
      <c r="X391" s="3142"/>
      <c r="Y391" s="3142"/>
      <c r="Z391" s="3142"/>
      <c r="AA391" s="3142"/>
      <c r="AB391" s="3142"/>
      <c r="AC391" s="3142"/>
      <c r="AD391" s="314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2"/>
      <c r="F392" s="3142"/>
      <c r="G392" s="3142"/>
      <c r="H392" s="3142"/>
      <c r="I392" s="3142"/>
      <c r="J392" s="3142"/>
      <c r="K392" s="3142"/>
      <c r="L392" s="3142"/>
      <c r="M392" s="3142"/>
      <c r="N392" s="3142"/>
      <c r="O392" s="3142"/>
      <c r="P392" s="3142"/>
      <c r="Q392" s="3142"/>
      <c r="R392" s="3142"/>
      <c r="S392" s="3142"/>
      <c r="T392" s="3142"/>
      <c r="U392" s="3142"/>
      <c r="V392" s="3142"/>
      <c r="W392" s="3142"/>
      <c r="X392" s="3142"/>
      <c r="Y392" s="3142"/>
      <c r="Z392" s="3142"/>
      <c r="AA392" s="3142"/>
      <c r="AB392" s="3142"/>
      <c r="AC392" s="3142"/>
      <c r="AD392" s="314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2"/>
      <c r="F393" s="3142"/>
      <c r="G393" s="3142"/>
      <c r="H393" s="3142"/>
      <c r="I393" s="3142"/>
      <c r="J393" s="3142"/>
      <c r="K393" s="3142"/>
      <c r="L393" s="3142"/>
      <c r="M393" s="3142"/>
      <c r="N393" s="3142"/>
      <c r="O393" s="3142"/>
      <c r="P393" s="3142"/>
      <c r="Q393" s="3142"/>
      <c r="R393" s="3142"/>
      <c r="S393" s="3142"/>
      <c r="T393" s="3142"/>
      <c r="U393" s="3142"/>
      <c r="V393" s="3142"/>
      <c r="W393" s="3142"/>
      <c r="X393" s="3142"/>
      <c r="Y393" s="3142"/>
      <c r="Z393" s="3142"/>
      <c r="AA393" s="3142"/>
      <c r="AB393" s="3142"/>
      <c r="AC393" s="3142"/>
      <c r="AD393" s="314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91" t="s">
        <v>626</v>
      </c>
      <c r="Y395" s="3091"/>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41"/>
      <c r="D397" s="1108" t="s">
        <v>542</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64" t="s">
        <v>1699</v>
      </c>
      <c r="AG397" s="3064"/>
      <c r="AH397" s="3064"/>
      <c r="AI397" s="3064"/>
      <c r="AJ397" s="3064"/>
      <c r="AK397" s="3064"/>
      <c r="AL397" s="3064"/>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141" t="s">
        <v>725</v>
      </c>
      <c r="I399" s="314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103">
        <f>VLOOKUP($H$399,$AO$366:$AP$368,2,FALSE)</f>
        <v>3</v>
      </c>
      <c r="AK401" s="3105"/>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64" t="s">
        <v>1635</v>
      </c>
      <c r="AG405" s="3064"/>
      <c r="AH405" s="3064"/>
      <c r="AI405" s="3064"/>
      <c r="AJ405" s="3064"/>
      <c r="AK405" s="3064"/>
      <c r="AL405" s="3064"/>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542</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64" t="s">
        <v>1699</v>
      </c>
      <c r="AG408" s="3064"/>
      <c r="AH408" s="3064"/>
      <c r="AI408" s="3064"/>
      <c r="AJ408" s="3064"/>
      <c r="AK408" s="3064"/>
      <c r="AL408" s="3064"/>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141" t="s">
        <v>626</v>
      </c>
      <c r="I411" s="314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103">
        <f>VLOOKUP(H411,AT366:AU368,2,FALSE)</f>
        <v>0</v>
      </c>
      <c r="AK413" s="3105"/>
      <c r="AL413" s="1007"/>
      <c r="AN413" s="1003"/>
      <c r="AO413" s="1004" t="s">
        <v>626</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122" t="s">
        <v>1711</v>
      </c>
      <c r="F418" s="3122"/>
      <c r="G418" s="3122"/>
      <c r="H418" s="3122"/>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22"/>
      <c r="AD418" s="929"/>
      <c r="AE418" s="929"/>
      <c r="AF418" s="3064" t="s">
        <v>1661</v>
      </c>
      <c r="AG418" s="3064"/>
      <c r="AH418" s="3064"/>
      <c r="AI418" s="3064"/>
      <c r="AJ418" s="3064"/>
      <c r="AK418" s="3064"/>
      <c r="AL418" s="3064"/>
      <c r="AN418" s="1002"/>
    </row>
    <row r="419" spans="1:42" s="945" customFormat="1" ht="12.75" customHeight="1">
      <c r="B419" s="929"/>
      <c r="C419" s="988"/>
      <c r="D419" s="929"/>
      <c r="E419" s="3122"/>
      <c r="F419" s="3122"/>
      <c r="G419" s="3122"/>
      <c r="H419" s="3122"/>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22"/>
      <c r="AD419" s="929"/>
      <c r="AE419" s="929"/>
      <c r="AF419" s="929"/>
      <c r="AG419" s="929"/>
      <c r="AH419" s="929"/>
      <c r="AI419" s="929"/>
      <c r="AJ419" s="929"/>
      <c r="AK419" s="929"/>
      <c r="AL419" s="929"/>
      <c r="AN419" s="1002"/>
    </row>
    <row r="420" spans="1:42" s="945" customFormat="1" ht="12.75" customHeight="1">
      <c r="B420" s="929"/>
      <c r="C420" s="988"/>
      <c r="D420" s="1108"/>
      <c r="E420" s="3122"/>
      <c r="F420" s="3122"/>
      <c r="G420" s="3122"/>
      <c r="H420" s="3122"/>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2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542</v>
      </c>
      <c r="E422" s="3122" t="s">
        <v>1712</v>
      </c>
      <c r="F422" s="3122"/>
      <c r="G422" s="3122"/>
      <c r="H422" s="3122"/>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22"/>
      <c r="AD422" s="929"/>
      <c r="AE422" s="929"/>
      <c r="AF422" s="3064" t="s">
        <v>1690</v>
      </c>
      <c r="AG422" s="3064"/>
      <c r="AH422" s="3064"/>
      <c r="AI422" s="3064"/>
      <c r="AJ422" s="3064"/>
      <c r="AK422" s="3064"/>
      <c r="AL422" s="3064"/>
      <c r="AN422" s="1002"/>
    </row>
    <row r="423" spans="1:42" s="945" customFormat="1" ht="12.75" customHeight="1">
      <c r="B423" s="929"/>
      <c r="C423" s="988"/>
      <c r="D423" s="929"/>
      <c r="E423" s="3122"/>
      <c r="F423" s="3122"/>
      <c r="G423" s="3122"/>
      <c r="H423" s="3122"/>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22"/>
      <c r="AD423" s="929"/>
      <c r="AE423" s="929"/>
      <c r="AF423" s="929"/>
      <c r="AG423" s="929"/>
      <c r="AH423" s="929"/>
      <c r="AI423" s="929"/>
      <c r="AJ423" s="929"/>
      <c r="AK423" s="929"/>
      <c r="AL423" s="929"/>
      <c r="AN423" s="1002"/>
    </row>
    <row r="424" spans="1:42" s="945" customFormat="1" ht="15" customHeight="1">
      <c r="B424" s="929"/>
      <c r="C424" s="988"/>
      <c r="D424" s="1108"/>
      <c r="E424" s="3122"/>
      <c r="F424" s="3122"/>
      <c r="G424" s="3122"/>
      <c r="H424" s="3122"/>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2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122" t="s">
        <v>1713</v>
      </c>
      <c r="F426" s="3122"/>
      <c r="G426" s="3122"/>
      <c r="H426" s="3122"/>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22"/>
      <c r="AD426" s="929"/>
      <c r="AE426" s="929"/>
      <c r="AF426" s="3064" t="s">
        <v>1635</v>
      </c>
      <c r="AG426" s="3064"/>
      <c r="AH426" s="3064"/>
      <c r="AI426" s="3064"/>
      <c r="AJ426" s="3064"/>
      <c r="AK426" s="3064"/>
      <c r="AL426" s="3064"/>
      <c r="AN426" s="1002"/>
    </row>
    <row r="427" spans="1:42" s="945" customFormat="1" ht="12.75" customHeight="1">
      <c r="A427" s="1062"/>
      <c r="B427" s="1025"/>
      <c r="C427" s="1644"/>
      <c r="D427" s="929"/>
      <c r="E427" s="3122"/>
      <c r="F427" s="3122"/>
      <c r="G427" s="3122"/>
      <c r="H427" s="3122"/>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22"/>
      <c r="AD427" s="929"/>
      <c r="AE427" s="3064"/>
      <c r="AF427" s="3064"/>
      <c r="AG427" s="3064"/>
      <c r="AH427" s="3064"/>
      <c r="AI427" s="3064"/>
      <c r="AJ427" s="3064"/>
      <c r="AK427" s="3064"/>
      <c r="AL427" s="1598"/>
      <c r="AM427" s="1028"/>
      <c r="AN427" s="1002"/>
      <c r="AO427" s="945" t="s">
        <v>626</v>
      </c>
      <c r="AP427" s="1122">
        <v>0</v>
      </c>
    </row>
    <row r="428" spans="1:42" s="945" customFormat="1" ht="12.75" customHeight="1">
      <c r="A428" s="1128"/>
      <c r="B428" s="929"/>
      <c r="C428" s="929"/>
      <c r="D428" s="1108"/>
      <c r="E428" s="3122"/>
      <c r="F428" s="3122"/>
      <c r="G428" s="3122"/>
      <c r="H428" s="3122"/>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22"/>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60"/>
      <c r="D430" s="1108" t="s">
        <v>1688</v>
      </c>
      <c r="E430" s="3122" t="s">
        <v>1714</v>
      </c>
      <c r="F430" s="3122"/>
      <c r="G430" s="3122"/>
      <c r="H430" s="3122"/>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22"/>
      <c r="AD430" s="929"/>
      <c r="AE430" s="929"/>
      <c r="AF430" s="3064" t="s">
        <v>1690</v>
      </c>
      <c r="AG430" s="3064"/>
      <c r="AH430" s="3064"/>
      <c r="AI430" s="3064"/>
      <c r="AJ430" s="3064"/>
      <c r="AK430" s="3064"/>
      <c r="AL430" s="3064"/>
      <c r="AN430" s="1002"/>
    </row>
    <row r="431" spans="1:42" s="945" customFormat="1" ht="12.75" customHeight="1">
      <c r="A431" s="1117"/>
      <c r="B431" s="1025"/>
      <c r="C431" s="1660"/>
      <c r="D431" s="1108"/>
      <c r="E431" s="3122"/>
      <c r="F431" s="3122"/>
      <c r="G431" s="3122"/>
      <c r="H431" s="3122"/>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2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22"/>
      <c r="F432" s="3122"/>
      <c r="G432" s="3122"/>
      <c r="H432" s="3122"/>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2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122" t="s">
        <v>1715</v>
      </c>
      <c r="F434" s="3122"/>
      <c r="G434" s="3122"/>
      <c r="H434" s="3122"/>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22"/>
      <c r="AD434" s="929"/>
      <c r="AE434" s="929"/>
      <c r="AF434" s="3064" t="s">
        <v>1635</v>
      </c>
      <c r="AG434" s="3064"/>
      <c r="AH434" s="3064"/>
      <c r="AI434" s="3064"/>
      <c r="AJ434" s="3064"/>
      <c r="AK434" s="3064"/>
      <c r="AL434" s="3064"/>
      <c r="AM434" s="1067"/>
      <c r="AN434" s="1002"/>
    </row>
    <row r="435" spans="1:42" s="945" customFormat="1" ht="12.75" customHeight="1">
      <c r="A435" s="1062"/>
      <c r="B435" s="1025"/>
      <c r="C435" s="1644"/>
      <c r="D435" s="1108"/>
      <c r="E435" s="3122"/>
      <c r="F435" s="3122"/>
      <c r="G435" s="3122"/>
      <c r="H435" s="3122"/>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2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22"/>
      <c r="F436" s="3122"/>
      <c r="G436" s="3122"/>
      <c r="H436" s="3122"/>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2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122" t="s">
        <v>1716</v>
      </c>
      <c r="F438" s="3122"/>
      <c r="G438" s="3122"/>
      <c r="H438" s="3122"/>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22"/>
      <c r="AD438" s="929"/>
      <c r="AE438" s="929"/>
      <c r="AF438" s="3064" t="s">
        <v>1699</v>
      </c>
      <c r="AG438" s="3064"/>
      <c r="AH438" s="3064"/>
      <c r="AI438" s="3064"/>
      <c r="AJ438" s="3064"/>
      <c r="AK438" s="3064"/>
      <c r="AL438" s="3064"/>
      <c r="AM438" s="1067"/>
      <c r="AN438" s="1002"/>
    </row>
    <row r="439" spans="1:42" s="945" customFormat="1" ht="12.75" customHeight="1">
      <c r="A439" s="1601"/>
      <c r="B439" s="1008"/>
      <c r="C439" s="1641"/>
      <c r="D439" s="1108"/>
      <c r="E439" s="3122"/>
      <c r="F439" s="3122"/>
      <c r="G439" s="3122"/>
      <c r="H439" s="3122"/>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2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22"/>
      <c r="F440" s="3122"/>
      <c r="G440" s="3122"/>
      <c r="H440" s="3122"/>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2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75" customHeight="1">
      <c r="A442" s="1128"/>
      <c r="B442" s="1008"/>
      <c r="C442" s="1641"/>
      <c r="D442" s="1108" t="s">
        <v>1702</v>
      </c>
      <c r="E442" s="3122" t="s">
        <v>1717</v>
      </c>
      <c r="F442" s="3122"/>
      <c r="G442" s="3122"/>
      <c r="H442" s="3122"/>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22"/>
      <c r="AD442" s="929"/>
      <c r="AE442" s="929"/>
      <c r="AF442" s="3064" t="s">
        <v>1718</v>
      </c>
      <c r="AG442" s="3064"/>
      <c r="AH442" s="3064"/>
      <c r="AI442" s="3064"/>
      <c r="AJ442" s="3064"/>
      <c r="AK442" s="3064"/>
      <c r="AL442" s="3064"/>
      <c r="AM442" s="1067"/>
      <c r="AN442" s="1002"/>
      <c r="AO442" s="1120" t="s">
        <v>725</v>
      </c>
      <c r="AP442" s="945">
        <v>3</v>
      </c>
    </row>
    <row r="443" spans="1:42" s="945" customFormat="1" ht="12.75" customHeight="1">
      <c r="A443" s="1601"/>
      <c r="B443" s="1008"/>
      <c r="C443" s="1641"/>
      <c r="D443" s="1108"/>
      <c r="E443" s="3122"/>
      <c r="F443" s="3122"/>
      <c r="G443" s="3122"/>
      <c r="H443" s="3122"/>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22"/>
      <c r="AD443" s="929"/>
      <c r="AE443" s="929"/>
      <c r="AF443" s="1598"/>
      <c r="AG443" s="1598"/>
      <c r="AH443" s="1598"/>
      <c r="AI443" s="1598"/>
      <c r="AJ443" s="1598"/>
      <c r="AK443" s="1598"/>
      <c r="AL443" s="1598"/>
      <c r="AM443" s="1067"/>
      <c r="AN443" s="1002"/>
      <c r="AO443" s="1120" t="s">
        <v>542</v>
      </c>
      <c r="AP443" s="945">
        <v>2</v>
      </c>
    </row>
    <row r="444" spans="1:42" s="945" customFormat="1" ht="12.75" customHeight="1">
      <c r="A444" s="1128"/>
      <c r="B444" s="1008"/>
      <c r="C444" s="1641"/>
      <c r="D444" s="1108"/>
      <c r="E444" s="3122"/>
      <c r="F444" s="3122"/>
      <c r="G444" s="3122"/>
      <c r="H444" s="3122"/>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2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141" t="s">
        <v>542</v>
      </c>
      <c r="I446" s="314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103">
        <f>VLOOKUP($H$446,$AO$394:$AP$401,2,FALSE)</f>
        <v>4</v>
      </c>
      <c r="AK448" s="310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725</v>
      </c>
      <c r="E452" s="3122" t="s">
        <v>2200</v>
      </c>
      <c r="F452" s="3122"/>
      <c r="G452" s="3122"/>
      <c r="H452" s="3122"/>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929"/>
      <c r="AD452" s="929"/>
      <c r="AE452" s="932"/>
      <c r="AF452" s="3064" t="s">
        <v>1635</v>
      </c>
      <c r="AG452" s="3064"/>
      <c r="AH452" s="3064"/>
      <c r="AI452" s="3064"/>
      <c r="AJ452" s="3064"/>
      <c r="AK452" s="3064"/>
      <c r="AL452" s="3064"/>
      <c r="AM452" s="1028"/>
      <c r="AN452" s="1003"/>
    </row>
    <row r="453" spans="1:42" s="1004" customFormat="1" ht="12.75" customHeight="1">
      <c r="A453" s="1062"/>
      <c r="B453" s="1025"/>
      <c r="C453" s="1653"/>
      <c r="D453" s="1108"/>
      <c r="E453" s="3122"/>
      <c r="F453" s="3122"/>
      <c r="G453" s="3122"/>
      <c r="H453" s="3122"/>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929"/>
      <c r="AD453" s="929"/>
      <c r="AE453" s="1037"/>
      <c r="AF453" s="932"/>
      <c r="AG453" s="932"/>
      <c r="AH453" s="932"/>
      <c r="AI453" s="932"/>
      <c r="AJ453" s="932"/>
      <c r="AK453" s="932"/>
      <c r="AL453" s="932"/>
      <c r="AM453" s="1028"/>
      <c r="AN453" s="1003"/>
      <c r="AO453" s="3145"/>
      <c r="AP453" s="3145"/>
    </row>
    <row r="454" spans="1:42" s="1004" customFormat="1" ht="12.75" customHeight="1">
      <c r="A454" s="1062"/>
      <c r="B454" s="1025"/>
      <c r="C454" s="1653"/>
      <c r="D454" s="1108"/>
      <c r="E454" s="3122"/>
      <c r="F454" s="3122"/>
      <c r="G454" s="3122"/>
      <c r="H454" s="3122"/>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22"/>
      <c r="F455" s="3122"/>
      <c r="G455" s="3122"/>
      <c r="H455" s="3122"/>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41"/>
      <c r="D457" s="1108" t="s">
        <v>542</v>
      </c>
      <c r="E457" s="3122" t="s">
        <v>2202</v>
      </c>
      <c r="F457" s="3122"/>
      <c r="G457" s="3122"/>
      <c r="H457" s="3122"/>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929"/>
      <c r="AD457" s="929"/>
      <c r="AE457" s="929"/>
      <c r="AF457" s="3064" t="s">
        <v>1699</v>
      </c>
      <c r="AG457" s="3064"/>
      <c r="AH457" s="3064"/>
      <c r="AI457" s="3064"/>
      <c r="AJ457" s="3064"/>
      <c r="AK457" s="3064"/>
      <c r="AL457" s="3064"/>
      <c r="AM457" s="1028"/>
      <c r="AN457" s="1002"/>
      <c r="AO457" s="1120" t="s">
        <v>542</v>
      </c>
      <c r="AP457" s="945">
        <v>1</v>
      </c>
    </row>
    <row r="458" spans="1:42" s="945" customFormat="1" ht="12" customHeight="1">
      <c r="A458" s="1028"/>
      <c r="B458" s="929"/>
      <c r="C458" s="1661"/>
      <c r="D458" s="929"/>
      <c r="E458" s="3122"/>
      <c r="F458" s="3122"/>
      <c r="G458" s="3122"/>
      <c r="H458" s="3122"/>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22"/>
      <c r="F459" s="3122"/>
      <c r="G459" s="3122"/>
      <c r="H459" s="3122"/>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22"/>
      <c r="F460" s="3122"/>
      <c r="G460" s="3122"/>
      <c r="H460" s="3122"/>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22" t="s">
        <v>2201</v>
      </c>
      <c r="F462" s="3122"/>
      <c r="G462" s="3122"/>
      <c r="H462" s="3122"/>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22"/>
      <c r="F463" s="3122"/>
      <c r="G463" s="3122"/>
      <c r="H463" s="3122"/>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22"/>
      <c r="F464" s="3122"/>
      <c r="G464" s="3122"/>
      <c r="H464" s="3122"/>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141" t="s">
        <v>725</v>
      </c>
      <c r="I466" s="314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103">
        <f>VLOOKUP($H$466,$AO$413:$AP$415,2,FALSE)</f>
        <v>3</v>
      </c>
      <c r="AK468" s="3105"/>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725</v>
      </c>
      <c r="E472" s="3146" t="s">
        <v>2206</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9"/>
      <c r="AD472" s="929"/>
      <c r="AE472" s="929"/>
      <c r="AF472" s="3064" t="s">
        <v>1635</v>
      </c>
      <c r="AG472" s="3064"/>
      <c r="AH472" s="3064"/>
      <c r="AI472" s="3064"/>
      <c r="AJ472" s="3064"/>
      <c r="AK472" s="3064"/>
      <c r="AL472" s="3064"/>
      <c r="AM472" s="1028"/>
      <c r="AN472" s="1135"/>
      <c r="AP472" s="1137" t="s">
        <v>1727</v>
      </c>
    </row>
    <row r="473" spans="1:43" s="1136" customFormat="1" ht="11.85" customHeight="1">
      <c r="A473" s="1062"/>
      <c r="B473" s="1025"/>
      <c r="C473" s="1643"/>
      <c r="D473" s="1108"/>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542</v>
      </c>
      <c r="E476" s="3147" t="s">
        <v>1730</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9"/>
      <c r="AD476" s="929"/>
      <c r="AE476" s="929"/>
      <c r="AF476" s="3064" t="s">
        <v>1699</v>
      </c>
      <c r="AG476" s="3064"/>
      <c r="AH476" s="3064"/>
      <c r="AI476" s="3064"/>
      <c r="AJ476" s="3064"/>
      <c r="AK476" s="3064"/>
      <c r="AL476" s="3064"/>
      <c r="AM476" s="1028"/>
      <c r="AN476" s="1138"/>
    </row>
    <row r="477" spans="1:43" s="1136" customFormat="1" ht="12.75" customHeight="1">
      <c r="A477" s="1062"/>
      <c r="B477" s="1025"/>
      <c r="C477" s="1643"/>
      <c r="D477" s="1025"/>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25"/>
      <c r="AD477" s="1025"/>
      <c r="AE477" s="1025"/>
      <c r="AF477" s="1025"/>
      <c r="AG477" s="1025"/>
      <c r="AH477" s="1025"/>
      <c r="AI477" s="1025"/>
      <c r="AJ477" s="929"/>
      <c r="AK477" s="1008"/>
      <c r="AL477" s="1008"/>
      <c r="AM477" s="1028"/>
      <c r="AN477" s="1135"/>
      <c r="AP477" s="945" t="s">
        <v>626</v>
      </c>
      <c r="AQ477" s="1122">
        <v>0</v>
      </c>
    </row>
    <row r="478" spans="1:43" s="1136" customFormat="1" ht="13.9" customHeight="1">
      <c r="A478" s="1062"/>
      <c r="B478" s="1025"/>
      <c r="C478" s="1643"/>
      <c r="D478" s="1025"/>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25"/>
      <c r="AD478" s="1025"/>
      <c r="AE478" s="1025"/>
      <c r="AF478" s="1025"/>
      <c r="AG478" s="1025"/>
      <c r="AH478" s="1025"/>
      <c r="AI478" s="1025"/>
      <c r="AJ478" s="929"/>
      <c r="AK478" s="1008"/>
      <c r="AL478" s="1008"/>
      <c r="AM478" s="1028"/>
      <c r="AN478" s="1135"/>
      <c r="AP478" s="1120" t="s">
        <v>725</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3.9" customHeight="1">
      <c r="A480" s="1062"/>
      <c r="B480" s="1025"/>
      <c r="C480" s="1643"/>
      <c r="D480" s="1025" t="s">
        <v>1691</v>
      </c>
      <c r="E480" s="1647"/>
      <c r="F480" s="1647"/>
      <c r="G480" s="1647"/>
      <c r="H480" s="3141" t="s">
        <v>626</v>
      </c>
      <c r="I480" s="314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103">
        <f>VLOOKUP($H$480,$AO$413:$AP$415,2,FALSE)</f>
        <v>0</v>
      </c>
      <c r="AK482" s="3105"/>
      <c r="AL482" s="1007"/>
      <c r="AM482" s="1004"/>
      <c r="AN482" s="1140"/>
      <c r="AP482" s="3103"/>
      <c r="AQ482" s="310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725</v>
      </c>
      <c r="E486" s="3122" t="s">
        <v>2207</v>
      </c>
      <c r="F486" s="3122"/>
      <c r="G486" s="3122"/>
      <c r="H486" s="3122"/>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929"/>
      <c r="AD486" s="929"/>
      <c r="AE486" s="929"/>
      <c r="AF486" s="3064" t="s">
        <v>1635</v>
      </c>
      <c r="AG486" s="3064"/>
      <c r="AH486" s="3064"/>
      <c r="AI486" s="3064"/>
      <c r="AJ486" s="3064"/>
      <c r="AK486" s="3064"/>
      <c r="AL486" s="3064"/>
      <c r="AM486" s="1028"/>
      <c r="AN486" s="1135"/>
      <c r="AT486" s="51"/>
      <c r="AU486" s="51"/>
      <c r="AV486" s="51"/>
      <c r="AW486" s="51"/>
      <c r="AX486" s="51"/>
      <c r="AY486" s="51"/>
      <c r="AZ486" s="51"/>
    </row>
    <row r="487" spans="1:81" s="1136" customFormat="1">
      <c r="A487" s="1062"/>
      <c r="B487" s="1025"/>
      <c r="C487" s="1643"/>
      <c r="D487" s="1108"/>
      <c r="E487" s="3122"/>
      <c r="F487" s="3122"/>
      <c r="G487" s="3122"/>
      <c r="H487" s="3122"/>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542</v>
      </c>
      <c r="E489" s="3122" t="s">
        <v>1734</v>
      </c>
      <c r="F489" s="3122"/>
      <c r="G489" s="3122"/>
      <c r="H489" s="3122"/>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929"/>
      <c r="AD489" s="929"/>
      <c r="AE489" s="929"/>
      <c r="AF489" s="3064" t="s">
        <v>1699</v>
      </c>
      <c r="AG489" s="3064"/>
      <c r="AH489" s="3064"/>
      <c r="AI489" s="3064"/>
      <c r="AJ489" s="3064"/>
      <c r="AK489" s="3064"/>
      <c r="AL489" s="3064"/>
      <c r="AM489" s="1028"/>
      <c r="AN489" s="1135"/>
      <c r="AT489" s="51"/>
      <c r="AU489" s="51"/>
      <c r="AV489" s="51"/>
      <c r="AW489" s="51"/>
      <c r="AX489" s="51"/>
      <c r="AY489" s="51"/>
      <c r="AZ489" s="51"/>
    </row>
    <row r="490" spans="1:81" s="1136" customFormat="1">
      <c r="A490" s="1062"/>
      <c r="B490" s="1025"/>
      <c r="C490" s="1643"/>
      <c r="D490" s="1025"/>
      <c r="E490" s="3122"/>
      <c r="F490" s="3122"/>
      <c r="G490" s="3122"/>
      <c r="H490" s="3122"/>
      <c r="I490" s="3122"/>
      <c r="J490" s="3122"/>
      <c r="K490" s="3122"/>
      <c r="L490" s="3122"/>
      <c r="M490" s="3122"/>
      <c r="N490" s="3122"/>
      <c r="O490" s="3122"/>
      <c r="P490" s="3122"/>
      <c r="Q490" s="3122"/>
      <c r="R490" s="3122"/>
      <c r="S490" s="3122"/>
      <c r="T490" s="3122"/>
      <c r="U490" s="3122"/>
      <c r="V490" s="3122"/>
      <c r="W490" s="3122"/>
      <c r="X490" s="3122"/>
      <c r="Y490" s="3122"/>
      <c r="Z490" s="3122"/>
      <c r="AA490" s="3122"/>
      <c r="AB490" s="312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141" t="s">
        <v>626</v>
      </c>
      <c r="I492" s="314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103">
        <f>VLOOKUP($H$492,$AO$427:$AP$429,2,FALSE)</f>
        <v>0</v>
      </c>
      <c r="AK494" s="310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725</v>
      </c>
      <c r="E498" s="3122" t="s">
        <v>1737</v>
      </c>
      <c r="F498" s="3122"/>
      <c r="G498" s="3122"/>
      <c r="H498" s="3122"/>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929"/>
      <c r="AD498" s="929"/>
      <c r="AE498" s="929"/>
      <c r="AF498" s="3064" t="s">
        <v>1635</v>
      </c>
      <c r="AG498" s="3064"/>
      <c r="AH498" s="3064"/>
      <c r="AI498" s="3064"/>
      <c r="AJ498" s="3064"/>
      <c r="AK498" s="3064"/>
      <c r="AL498" s="3064"/>
      <c r="AM498" s="1028"/>
      <c r="AN498" s="1135"/>
      <c r="AT498" s="51"/>
      <c r="AU498" s="51"/>
      <c r="AV498" s="51"/>
      <c r="AW498" s="51"/>
      <c r="AX498" s="51"/>
      <c r="AY498" s="51"/>
      <c r="AZ498" s="51"/>
    </row>
    <row r="499" spans="1:81" s="1136" customFormat="1">
      <c r="A499" s="1062"/>
      <c r="B499" s="929"/>
      <c r="C499" s="1641"/>
      <c r="D499" s="1108"/>
      <c r="E499" s="3122"/>
      <c r="F499" s="3122"/>
      <c r="G499" s="3122"/>
      <c r="H499" s="3122"/>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22"/>
      <c r="F500" s="3122"/>
      <c r="G500" s="3122"/>
      <c r="H500" s="3122"/>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22"/>
      <c r="F501" s="3122"/>
      <c r="G501" s="3122"/>
      <c r="H501" s="3122"/>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3122" t="s">
        <v>1738</v>
      </c>
      <c r="F503" s="3122"/>
      <c r="G503" s="3122"/>
      <c r="H503" s="3122"/>
      <c r="I503" s="3122"/>
      <c r="J503" s="3122"/>
      <c r="K503" s="3122"/>
      <c r="L503" s="3122"/>
      <c r="M503" s="3122"/>
      <c r="N503" s="3122"/>
      <c r="O503" s="3122"/>
      <c r="P503" s="3122"/>
      <c r="Q503" s="3122"/>
      <c r="R503" s="3122"/>
      <c r="S503" s="3122"/>
      <c r="T503" s="3122"/>
      <c r="U503" s="3122"/>
      <c r="V503" s="3122"/>
      <c r="W503" s="3122"/>
      <c r="X503" s="3122"/>
      <c r="Y503" s="3122"/>
      <c r="Z503" s="3122"/>
      <c r="AA503" s="3122"/>
      <c r="AB503" s="971"/>
      <c r="AC503" s="929"/>
      <c r="AD503" s="929"/>
      <c r="AE503" s="929"/>
      <c r="AF503" s="3064" t="s">
        <v>1699</v>
      </c>
      <c r="AG503" s="3064"/>
      <c r="AH503" s="3064"/>
      <c r="AI503" s="3064"/>
      <c r="AJ503" s="3064"/>
      <c r="AK503" s="3064"/>
      <c r="AL503" s="3064"/>
      <c r="AM503" s="1028"/>
      <c r="AN503" s="1135"/>
      <c r="AO503" s="126"/>
      <c r="AP503" s="51"/>
    </row>
    <row r="504" spans="1:81" s="1136" customFormat="1">
      <c r="A504" s="1062"/>
      <c r="B504" s="1008"/>
      <c r="C504" s="1641"/>
      <c r="D504" s="1108"/>
      <c r="E504" s="3122"/>
      <c r="F504" s="3122"/>
      <c r="G504" s="3122"/>
      <c r="H504" s="3122"/>
      <c r="I504" s="3122"/>
      <c r="J504" s="3122"/>
      <c r="K504" s="3122"/>
      <c r="L504" s="3122"/>
      <c r="M504" s="3122"/>
      <c r="N504" s="3122"/>
      <c r="O504" s="3122"/>
      <c r="P504" s="3122"/>
      <c r="Q504" s="3122"/>
      <c r="R504" s="3122"/>
      <c r="S504" s="3122"/>
      <c r="T504" s="3122"/>
      <c r="U504" s="3122"/>
      <c r="V504" s="3122"/>
      <c r="W504" s="3122"/>
      <c r="X504" s="3122"/>
      <c r="Y504" s="3122"/>
      <c r="Z504" s="3122"/>
      <c r="AA504" s="312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22"/>
      <c r="F505" s="3122"/>
      <c r="G505" s="3122"/>
      <c r="H505" s="3122"/>
      <c r="I505" s="3122"/>
      <c r="J505" s="3122"/>
      <c r="K505" s="3122"/>
      <c r="L505" s="3122"/>
      <c r="M505" s="3122"/>
      <c r="N505" s="3122"/>
      <c r="O505" s="3122"/>
      <c r="P505" s="3122"/>
      <c r="Q505" s="3122"/>
      <c r="R505" s="3122"/>
      <c r="S505" s="3122"/>
      <c r="T505" s="3122"/>
      <c r="U505" s="3122"/>
      <c r="V505" s="3122"/>
      <c r="W505" s="3122"/>
      <c r="X505" s="3122"/>
      <c r="Y505" s="3122"/>
      <c r="Z505" s="3122"/>
      <c r="AA505" s="312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22"/>
      <c r="F506" s="3122"/>
      <c r="G506" s="3122"/>
      <c r="H506" s="3122"/>
      <c r="I506" s="3122"/>
      <c r="J506" s="3122"/>
      <c r="K506" s="3122"/>
      <c r="L506" s="3122"/>
      <c r="M506" s="3122"/>
      <c r="N506" s="3122"/>
      <c r="O506" s="3122"/>
      <c r="P506" s="3122"/>
      <c r="Q506" s="3122"/>
      <c r="R506" s="3122"/>
      <c r="S506" s="3122"/>
      <c r="T506" s="3122"/>
      <c r="U506" s="3122"/>
      <c r="V506" s="3122"/>
      <c r="W506" s="3122"/>
      <c r="X506" s="3122"/>
      <c r="Y506" s="3122"/>
      <c r="Z506" s="3122"/>
      <c r="AA506" s="312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141" t="s">
        <v>626</v>
      </c>
      <c r="I508" s="314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103">
        <f>VLOOKUP($H$508,$AO$441:$AP$443,2,FALSE)</f>
        <v>0</v>
      </c>
      <c r="AK510" s="310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725</v>
      </c>
      <c r="E514" s="3122" t="s">
        <v>1740</v>
      </c>
      <c r="F514" s="3122"/>
      <c r="G514" s="3122"/>
      <c r="H514" s="3122"/>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929"/>
      <c r="AD514" s="929"/>
      <c r="AE514" s="929"/>
      <c r="AF514" s="3064" t="s">
        <v>1699</v>
      </c>
      <c r="AG514" s="3064"/>
      <c r="AH514" s="3064"/>
      <c r="AI514" s="3064"/>
      <c r="AJ514" s="3064"/>
      <c r="AK514" s="3064"/>
      <c r="AL514" s="306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22"/>
      <c r="F515" s="3122"/>
      <c r="G515" s="3122"/>
      <c r="H515" s="3122"/>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3122" t="s">
        <v>1741</v>
      </c>
      <c r="F517" s="3122"/>
      <c r="G517" s="3122"/>
      <c r="H517" s="3122"/>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929"/>
      <c r="AD517" s="929"/>
      <c r="AE517" s="929"/>
      <c r="AF517" s="3064" t="s">
        <v>1718</v>
      </c>
      <c r="AG517" s="3064"/>
      <c r="AH517" s="3064"/>
      <c r="AI517" s="3064"/>
      <c r="AJ517" s="3064"/>
      <c r="AK517" s="3064"/>
      <c r="AL517" s="306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22"/>
      <c r="F518" s="3122"/>
      <c r="G518" s="3122"/>
      <c r="H518" s="3122"/>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141" t="s">
        <v>542</v>
      </c>
      <c r="I520" s="314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103">
        <f>VLOOKUP($H$520,$AO$455:$AP$457,2,FALSE)</f>
        <v>1</v>
      </c>
      <c r="AK522" s="310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725</v>
      </c>
      <c r="E526" s="3122" t="s">
        <v>2199</v>
      </c>
      <c r="F526" s="3122"/>
      <c r="G526" s="3122"/>
      <c r="H526" s="3122"/>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22"/>
      <c r="AD526" s="3122"/>
      <c r="AE526" s="929"/>
      <c r="AF526" s="3064" t="s">
        <v>1699</v>
      </c>
      <c r="AG526" s="3064"/>
      <c r="AH526" s="3064"/>
      <c r="AI526" s="3064"/>
      <c r="AJ526" s="3064"/>
      <c r="AK526" s="3064"/>
      <c r="AL526" s="3064"/>
      <c r="AM526" s="1033"/>
      <c r="AN526" s="1135"/>
    </row>
    <row r="527" spans="1:74" s="1136" customFormat="1" ht="13.7" customHeight="1">
      <c r="A527" s="1062"/>
      <c r="B527" s="1037"/>
      <c r="C527" s="1653"/>
      <c r="D527" s="1108"/>
      <c r="E527" s="3122"/>
      <c r="F527" s="3122"/>
      <c r="G527" s="3122"/>
      <c r="H527" s="3122"/>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22"/>
      <c r="AD527" s="3122"/>
      <c r="AE527" s="929"/>
      <c r="AF527" s="1598"/>
      <c r="AG527" s="1598"/>
      <c r="AH527" s="1598"/>
      <c r="AI527" s="1598"/>
      <c r="AJ527" s="1598"/>
      <c r="AK527" s="1598"/>
      <c r="AL527" s="1598"/>
      <c r="AM527" s="1033"/>
      <c r="AN527" s="1135"/>
    </row>
    <row r="528" spans="1:74" s="1136" customFormat="1">
      <c r="A528" s="1062"/>
      <c r="B528" s="1037"/>
      <c r="C528" s="1653"/>
      <c r="D528" s="1108"/>
      <c r="E528" s="3122"/>
      <c r="F528" s="3122"/>
      <c r="G528" s="3122"/>
      <c r="H528" s="3122"/>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22"/>
      <c r="AD528" s="312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22"/>
      <c r="F529" s="3122"/>
      <c r="G529" s="3122"/>
      <c r="H529" s="3122"/>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22"/>
      <c r="AD529" s="312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542</v>
      </c>
      <c r="E531" s="3148" t="s">
        <v>2208</v>
      </c>
      <c r="F531" s="3148"/>
      <c r="G531" s="3148"/>
      <c r="H531" s="3148"/>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48"/>
      <c r="AD531" s="3148"/>
      <c r="AE531" s="929"/>
      <c r="AF531" s="3064" t="s">
        <v>1635</v>
      </c>
      <c r="AG531" s="3064"/>
      <c r="AH531" s="3064"/>
      <c r="AI531" s="3064"/>
      <c r="AJ531" s="3064"/>
      <c r="AK531" s="3064"/>
      <c r="AL531" s="3064"/>
      <c r="AM531" s="1033"/>
      <c r="AN531" s="1002"/>
    </row>
    <row r="532" spans="1:81" s="945" customFormat="1" ht="12.75" customHeight="1">
      <c r="A532" s="1062"/>
      <c r="B532" s="1037"/>
      <c r="C532" s="1653"/>
      <c r="D532" s="1108"/>
      <c r="E532" s="3148"/>
      <c r="F532" s="3148"/>
      <c r="G532" s="3148"/>
      <c r="H532" s="3148"/>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48"/>
      <c r="AD532" s="314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8"/>
      <c r="F533" s="3148"/>
      <c r="G533" s="3148"/>
      <c r="H533" s="3148"/>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48"/>
      <c r="AD533" s="314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8"/>
      <c r="F534" s="3148"/>
      <c r="G534" s="3148"/>
      <c r="H534" s="3148"/>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48"/>
      <c r="AD534" s="314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141" t="s">
        <v>626</v>
      </c>
      <c r="I536" s="314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103">
        <f>VLOOKUP($H$536,$AP$477:$AQ$479,2,FALSE)</f>
        <v>0</v>
      </c>
      <c r="AK538" s="310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725</v>
      </c>
      <c r="E542" s="3122" t="s">
        <v>2198</v>
      </c>
      <c r="F542" s="3122"/>
      <c r="G542" s="3122"/>
      <c r="H542" s="3122"/>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22"/>
      <c r="AD542" s="3122"/>
      <c r="AE542" s="929"/>
      <c r="AF542" s="3064" t="s">
        <v>1745</v>
      </c>
      <c r="AG542" s="3064"/>
      <c r="AH542" s="3064"/>
      <c r="AI542" s="3064"/>
      <c r="AJ542" s="3064"/>
      <c r="AK542" s="3064"/>
      <c r="AL542" s="3064"/>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3"/>
      <c r="D543" s="1108"/>
      <c r="E543" s="3122"/>
      <c r="F543" s="3122"/>
      <c r="G543" s="3122"/>
      <c r="H543" s="3122"/>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22"/>
      <c r="AD543" s="312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22"/>
      <c r="F544" s="3122"/>
      <c r="G544" s="3122"/>
      <c r="H544" s="3122"/>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22"/>
      <c r="AD544" s="312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22"/>
      <c r="F545" s="3122"/>
      <c r="G545" s="3122"/>
      <c r="H545" s="3122"/>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22"/>
      <c r="AD545" s="312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41" t="s">
        <v>626</v>
      </c>
      <c r="I547" s="314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103">
        <f>VLOOKUP($H$547,$AO$541:$AP$542,2,FALSE)</f>
        <v>0</v>
      </c>
      <c r="AK549" s="310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103">
        <f>IF(($AJ$382+$AJ$401+$AJ$413+$AJ$448+$AJ$468+$AJ$482+$AJ$494+$AJ$510+$AJ$522+$AJ$538+AJ549)&gt;10,10,($AJ$382+$AJ$401+$AJ$413+$AJ$448+$AJ$468+$AJ$482+$AJ$494+$AJ$510+$AJ$522+$AJ$538+AJ549))</f>
        <v>10</v>
      </c>
      <c r="AL551" s="3104"/>
      <c r="AM551" s="310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103">
        <f>IF((AK320+AK551)&gt;20,20,(AK320+AK551))</f>
        <v>19</v>
      </c>
      <c r="AL553" s="3104"/>
      <c r="AM553" s="310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7" t="s">
        <v>1597</v>
      </c>
      <c r="AF556" s="3087"/>
      <c r="AG556" s="3087"/>
      <c r="AH556" s="3087"/>
      <c r="AI556" s="3087"/>
      <c r="AJ556" s="3087"/>
      <c r="AK556" s="3087"/>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52" t="s">
        <v>1750</v>
      </c>
      <c r="D558" s="3152"/>
      <c r="E558" s="3152"/>
      <c r="F558" s="3152"/>
      <c r="G558" s="3152"/>
      <c r="H558" s="3152"/>
      <c r="I558" s="3152"/>
      <c r="J558" s="3152"/>
      <c r="K558" s="3152"/>
      <c r="L558" s="3152"/>
      <c r="M558" s="3152"/>
      <c r="N558" s="3152"/>
      <c r="O558" s="3152"/>
      <c r="P558" s="3152"/>
      <c r="Q558" s="3152"/>
      <c r="R558" s="3152"/>
      <c r="S558" s="3152"/>
      <c r="T558" s="3152"/>
      <c r="U558" s="3152"/>
      <c r="V558" s="3152"/>
      <c r="W558" s="3152"/>
      <c r="X558" s="3152"/>
      <c r="Y558" s="3152"/>
      <c r="Z558" s="3152"/>
      <c r="AA558" s="3152"/>
      <c r="AB558" s="3152"/>
      <c r="AC558" s="3152"/>
      <c r="AD558" s="3152"/>
      <c r="AE558" s="3152"/>
      <c r="AF558" s="3152"/>
      <c r="AG558" s="3152"/>
      <c r="AH558" s="3152"/>
      <c r="AI558" s="3152"/>
      <c r="AJ558" s="3152"/>
      <c r="AK558" s="1029"/>
      <c r="AL558" s="1029"/>
      <c r="AM558" s="1029"/>
      <c r="AN558" s="1002"/>
    </row>
    <row r="559" spans="1:81" s="945" customFormat="1" ht="12.75" customHeight="1">
      <c r="A559" s="1029"/>
      <c r="B559" s="1030"/>
      <c r="C559" s="3152"/>
      <c r="D559" s="3152"/>
      <c r="E559" s="3152"/>
      <c r="F559" s="3152"/>
      <c r="G559" s="3152"/>
      <c r="H559" s="3152"/>
      <c r="I559" s="3152"/>
      <c r="J559" s="3152"/>
      <c r="K559" s="3152"/>
      <c r="L559" s="3152"/>
      <c r="M559" s="3152"/>
      <c r="N559" s="3152"/>
      <c r="O559" s="3152"/>
      <c r="P559" s="3152"/>
      <c r="Q559" s="3152"/>
      <c r="R559" s="3152"/>
      <c r="S559" s="3152"/>
      <c r="T559" s="3152"/>
      <c r="U559" s="3152"/>
      <c r="V559" s="3152"/>
      <c r="W559" s="3152"/>
      <c r="X559" s="3152"/>
      <c r="Y559" s="3152"/>
      <c r="Z559" s="3152"/>
      <c r="AA559" s="3152"/>
      <c r="AB559" s="3152"/>
      <c r="AC559" s="3152"/>
      <c r="AD559" s="3152"/>
      <c r="AE559" s="3152"/>
      <c r="AF559" s="3152"/>
      <c r="AG559" s="3152"/>
      <c r="AH559" s="3152"/>
      <c r="AI559" s="3152"/>
      <c r="AJ559" s="3152"/>
      <c r="AK559" s="1029"/>
      <c r="AL559" s="1029"/>
      <c r="AM559" s="1029"/>
      <c r="AN559" s="1002"/>
    </row>
    <row r="560" spans="1:81" s="945" customFormat="1" ht="12.75" customHeight="1">
      <c r="A560" s="1029"/>
      <c r="B560" s="1030"/>
      <c r="C560" s="3152"/>
      <c r="D560" s="3152"/>
      <c r="E560" s="3152"/>
      <c r="F560" s="3152"/>
      <c r="G560" s="3152"/>
      <c r="H560" s="3152"/>
      <c r="I560" s="3152"/>
      <c r="J560" s="3152"/>
      <c r="K560" s="3152"/>
      <c r="L560" s="3152"/>
      <c r="M560" s="3152"/>
      <c r="N560" s="3152"/>
      <c r="O560" s="3152"/>
      <c r="P560" s="3152"/>
      <c r="Q560" s="3152"/>
      <c r="R560" s="3152"/>
      <c r="S560" s="3152"/>
      <c r="T560" s="3152"/>
      <c r="U560" s="3152"/>
      <c r="V560" s="3152"/>
      <c r="W560" s="3152"/>
      <c r="X560" s="3152"/>
      <c r="Y560" s="3152"/>
      <c r="Z560" s="3152"/>
      <c r="AA560" s="3152"/>
      <c r="AB560" s="3152"/>
      <c r="AC560" s="3152"/>
      <c r="AD560" s="3152"/>
      <c r="AE560" s="3152"/>
      <c r="AF560" s="3152"/>
      <c r="AG560" s="3152"/>
      <c r="AH560" s="3152"/>
      <c r="AI560" s="3152"/>
      <c r="AJ560" s="3152"/>
      <c r="AK560" s="1029"/>
      <c r="AL560" s="1029"/>
      <c r="AM560" s="1029"/>
      <c r="AN560" s="1002"/>
      <c r="AQ560" s="1137"/>
      <c r="AR560" s="1004"/>
    </row>
    <row r="561" spans="1:46" s="945" customFormat="1" ht="12.75" customHeight="1">
      <c r="A561" s="1029"/>
      <c r="B561" s="1120"/>
      <c r="C561" s="3152"/>
      <c r="D561" s="3152"/>
      <c r="E561" s="3152"/>
      <c r="F561" s="3152"/>
      <c r="G561" s="3152"/>
      <c r="H561" s="3152"/>
      <c r="I561" s="3152"/>
      <c r="J561" s="3152"/>
      <c r="K561" s="3152"/>
      <c r="L561" s="3152"/>
      <c r="M561" s="3152"/>
      <c r="N561" s="3152"/>
      <c r="O561" s="3152"/>
      <c r="P561" s="3152"/>
      <c r="Q561" s="3152"/>
      <c r="R561" s="3152"/>
      <c r="S561" s="3152"/>
      <c r="T561" s="3152"/>
      <c r="U561" s="3152"/>
      <c r="V561" s="3152"/>
      <c r="W561" s="3152"/>
      <c r="X561" s="3152"/>
      <c r="Y561" s="3152"/>
      <c r="Z561" s="3152"/>
      <c r="AA561" s="3152"/>
      <c r="AB561" s="3152"/>
      <c r="AC561" s="3152"/>
      <c r="AD561" s="3152"/>
      <c r="AE561" s="3152"/>
      <c r="AF561" s="3152"/>
      <c r="AG561" s="3152"/>
      <c r="AH561" s="3152"/>
      <c r="AI561" s="3152"/>
      <c r="AJ561" s="3152"/>
      <c r="AK561" s="1029"/>
      <c r="AL561" s="1029"/>
      <c r="AM561" s="1029"/>
      <c r="AN561" s="1002"/>
      <c r="AQ561" s="1137"/>
      <c r="AR561" s="1004"/>
    </row>
    <row r="562" spans="1:46" s="945" customFormat="1" ht="12.4" customHeight="1">
      <c r="A562" s="1029"/>
      <c r="B562" s="1120"/>
      <c r="C562" s="3152"/>
      <c r="D562" s="3152"/>
      <c r="E562" s="3152"/>
      <c r="F562" s="3152"/>
      <c r="G562" s="3152"/>
      <c r="H562" s="3152"/>
      <c r="I562" s="3152"/>
      <c r="J562" s="3152"/>
      <c r="K562" s="3152"/>
      <c r="L562" s="3152"/>
      <c r="M562" s="3152"/>
      <c r="N562" s="3152"/>
      <c r="O562" s="3152"/>
      <c r="P562" s="3152"/>
      <c r="Q562" s="3152"/>
      <c r="R562" s="3152"/>
      <c r="S562" s="3152"/>
      <c r="T562" s="3152"/>
      <c r="U562" s="3152"/>
      <c r="V562" s="3152"/>
      <c r="W562" s="3152"/>
      <c r="X562" s="3152"/>
      <c r="Y562" s="3152"/>
      <c r="Z562" s="3152"/>
      <c r="AA562" s="3152"/>
      <c r="AB562" s="3152"/>
      <c r="AC562" s="3152"/>
      <c r="AD562" s="3152"/>
      <c r="AE562" s="3152"/>
      <c r="AF562" s="3152"/>
      <c r="AG562" s="3152"/>
      <c r="AH562" s="3152"/>
      <c r="AI562" s="3152"/>
      <c r="AJ562" s="3152"/>
      <c r="AK562" s="1029"/>
      <c r="AL562" s="1029"/>
      <c r="AM562" s="1029"/>
      <c r="AN562" s="1002"/>
      <c r="AQ562" s="1137"/>
      <c r="AR562" s="1137"/>
    </row>
    <row r="563" spans="1:46" s="945" customFormat="1" ht="24.95" customHeight="1">
      <c r="A563" s="1029"/>
      <c r="B563" s="1120"/>
      <c r="C563" s="3152" t="s">
        <v>1751</v>
      </c>
      <c r="D563" s="3152"/>
      <c r="E563" s="3152"/>
      <c r="F563" s="3152"/>
      <c r="G563" s="3152"/>
      <c r="H563" s="3152"/>
      <c r="I563" s="3152"/>
      <c r="J563" s="3152"/>
      <c r="K563" s="3152"/>
      <c r="L563" s="3152"/>
      <c r="M563" s="3152"/>
      <c r="N563" s="3152"/>
      <c r="O563" s="3152"/>
      <c r="P563" s="3152"/>
      <c r="Q563" s="3152"/>
      <c r="R563" s="3152"/>
      <c r="S563" s="3152"/>
      <c r="T563" s="3152"/>
      <c r="U563" s="3152"/>
      <c r="V563" s="3152"/>
      <c r="W563" s="3152"/>
      <c r="X563" s="3152"/>
      <c r="Y563" s="3152"/>
      <c r="Z563" s="3152"/>
      <c r="AA563" s="3152"/>
      <c r="AB563" s="3152"/>
      <c r="AC563" s="3152"/>
      <c r="AD563" s="3152"/>
      <c r="AE563" s="3152"/>
      <c r="AF563" s="3152"/>
      <c r="AG563" s="3152"/>
      <c r="AH563" s="3152"/>
      <c r="AI563" s="3152"/>
      <c r="AJ563" s="3152"/>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52" t="s">
        <v>2455</v>
      </c>
      <c r="D565" s="3152"/>
      <c r="E565" s="3152"/>
      <c r="F565" s="3152"/>
      <c r="G565" s="3152"/>
      <c r="H565" s="3152"/>
      <c r="I565" s="3152"/>
      <c r="J565" s="3152"/>
      <c r="K565" s="3152"/>
      <c r="L565" s="3152"/>
      <c r="M565" s="3152"/>
      <c r="N565" s="3152"/>
      <c r="O565" s="3152"/>
      <c r="P565" s="3152"/>
      <c r="Q565" s="3152"/>
      <c r="R565" s="3152"/>
      <c r="S565" s="3152"/>
      <c r="T565" s="3152"/>
      <c r="U565" s="3152"/>
      <c r="V565" s="3152"/>
      <c r="W565" s="3152"/>
      <c r="X565" s="3152"/>
      <c r="Y565" s="3152"/>
      <c r="Z565" s="3152"/>
      <c r="AA565" s="3152"/>
      <c r="AB565" s="3152"/>
      <c r="AC565" s="3152"/>
      <c r="AD565" s="3152"/>
      <c r="AE565" s="3152"/>
      <c r="AF565" s="3152"/>
      <c r="AG565" s="3152"/>
      <c r="AH565" s="3152"/>
      <c r="AI565" s="3152"/>
      <c r="AJ565" s="3152"/>
      <c r="AK565" s="1029"/>
      <c r="AL565" s="1029"/>
      <c r="AM565" s="1029"/>
      <c r="AN565" s="1002"/>
      <c r="AQ565" s="1137"/>
      <c r="AR565" s="1137"/>
    </row>
    <row r="566" spans="1:46" s="945" customFormat="1" ht="30" customHeight="1">
      <c r="A566" s="1029"/>
      <c r="B566" s="1120"/>
      <c r="C566" s="3152"/>
      <c r="D566" s="3152"/>
      <c r="E566" s="3152"/>
      <c r="F566" s="3152"/>
      <c r="G566" s="3152"/>
      <c r="H566" s="3152"/>
      <c r="I566" s="3152"/>
      <c r="J566" s="3152"/>
      <c r="K566" s="3152"/>
      <c r="L566" s="3152"/>
      <c r="M566" s="3152"/>
      <c r="N566" s="3152"/>
      <c r="O566" s="3152"/>
      <c r="P566" s="3152"/>
      <c r="Q566" s="3152"/>
      <c r="R566" s="3152"/>
      <c r="S566" s="3152"/>
      <c r="T566" s="3152"/>
      <c r="U566" s="3152"/>
      <c r="V566" s="3152"/>
      <c r="W566" s="3152"/>
      <c r="X566" s="3152"/>
      <c r="Y566" s="3152"/>
      <c r="Z566" s="3152"/>
      <c r="AA566" s="3152"/>
      <c r="AB566" s="3152"/>
      <c r="AC566" s="3152"/>
      <c r="AD566" s="3152"/>
      <c r="AE566" s="3152"/>
      <c r="AF566" s="3152"/>
      <c r="AG566" s="3152"/>
      <c r="AH566" s="3152"/>
      <c r="AI566" s="3152"/>
      <c r="AJ566" s="3152"/>
      <c r="AK566" s="1029"/>
      <c r="AL566" s="1029"/>
      <c r="AM566" s="1029"/>
      <c r="AN566" s="1002"/>
      <c r="AQ566" s="1004"/>
      <c r="AR566" s="1137"/>
    </row>
    <row r="567" spans="1:46" s="945" customFormat="1" ht="12.75" customHeight="1">
      <c r="A567" s="1029"/>
      <c r="B567" s="1120"/>
      <c r="C567" s="3152"/>
      <c r="D567" s="3152"/>
      <c r="E567" s="3152"/>
      <c r="F567" s="3152"/>
      <c r="G567" s="3152"/>
      <c r="H567" s="3152"/>
      <c r="I567" s="3152"/>
      <c r="J567" s="3152"/>
      <c r="K567" s="3152"/>
      <c r="L567" s="3152"/>
      <c r="M567" s="3152"/>
      <c r="N567" s="3152"/>
      <c r="O567" s="3152"/>
      <c r="P567" s="3152"/>
      <c r="Q567" s="3152"/>
      <c r="R567" s="3152"/>
      <c r="S567" s="3152"/>
      <c r="T567" s="3152"/>
      <c r="U567" s="3152"/>
      <c r="V567" s="3152"/>
      <c r="W567" s="3152"/>
      <c r="X567" s="3152"/>
      <c r="Y567" s="3152"/>
      <c r="Z567" s="3152"/>
      <c r="AA567" s="3152"/>
      <c r="AB567" s="3152"/>
      <c r="AC567" s="3152"/>
      <c r="AD567" s="3152"/>
      <c r="AE567" s="3152"/>
      <c r="AF567" s="3152"/>
      <c r="AG567" s="3152"/>
      <c r="AH567" s="3152"/>
      <c r="AI567" s="3152"/>
      <c r="AJ567" s="3152"/>
      <c r="AK567" s="1029"/>
      <c r="AL567" s="1029"/>
      <c r="AM567" s="1029"/>
      <c r="AN567" s="1002"/>
      <c r="AQ567" s="1004"/>
      <c r="AR567" s="1137"/>
    </row>
    <row r="568" spans="1:46" s="945" customFormat="1" ht="12.75" customHeight="1">
      <c r="A568" s="1029"/>
      <c r="B568" s="1120"/>
      <c r="C568" s="3152" t="s">
        <v>1752</v>
      </c>
      <c r="D568" s="3152"/>
      <c r="E568" s="3152"/>
      <c r="F568" s="3152"/>
      <c r="G568" s="3152"/>
      <c r="H568" s="3152"/>
      <c r="I568" s="3152"/>
      <c r="J568" s="3152"/>
      <c r="K568" s="3152"/>
      <c r="L568" s="3152"/>
      <c r="M568" s="3152"/>
      <c r="N568" s="3152"/>
      <c r="O568" s="3152"/>
      <c r="P568" s="3152"/>
      <c r="Q568" s="3152"/>
      <c r="R568" s="3152"/>
      <c r="S568" s="3152"/>
      <c r="T568" s="3152"/>
      <c r="U568" s="3152"/>
      <c r="V568" s="3152"/>
      <c r="W568" s="3152"/>
      <c r="X568" s="3152"/>
      <c r="Y568" s="3152"/>
      <c r="Z568" s="3152"/>
      <c r="AA568" s="3152"/>
      <c r="AB568" s="3152"/>
      <c r="AC568" s="3152"/>
      <c r="AD568" s="3152"/>
      <c r="AE568" s="3152"/>
      <c r="AF568" s="3152"/>
      <c r="AG568" s="3152"/>
      <c r="AH568" s="3152"/>
      <c r="AI568" s="3152"/>
      <c r="AJ568" s="3152"/>
      <c r="AK568" s="1029"/>
      <c r="AL568" s="1029"/>
      <c r="AM568" s="1029"/>
      <c r="AN568" s="1002"/>
      <c r="AQ568" s="1137"/>
      <c r="AR568" s="1137"/>
    </row>
    <row r="569" spans="1:46" s="945" customFormat="1" ht="12.75" customHeight="1">
      <c r="A569" s="1029"/>
      <c r="B569" s="1120"/>
      <c r="C569" s="3152"/>
      <c r="D569" s="3152"/>
      <c r="E569" s="3152"/>
      <c r="F569" s="3152"/>
      <c r="G569" s="3152"/>
      <c r="H569" s="3152"/>
      <c r="I569" s="3152"/>
      <c r="J569" s="3152"/>
      <c r="K569" s="3152"/>
      <c r="L569" s="3152"/>
      <c r="M569" s="3152"/>
      <c r="N569" s="3152"/>
      <c r="O569" s="3152"/>
      <c r="P569" s="3152"/>
      <c r="Q569" s="3152"/>
      <c r="R569" s="3152"/>
      <c r="S569" s="3152"/>
      <c r="T569" s="3152"/>
      <c r="U569" s="3152"/>
      <c r="V569" s="3152"/>
      <c r="W569" s="3152"/>
      <c r="X569" s="3152"/>
      <c r="Y569" s="3152"/>
      <c r="Z569" s="3152"/>
      <c r="AA569" s="3152"/>
      <c r="AB569" s="3152"/>
      <c r="AC569" s="3152"/>
      <c r="AD569" s="3152"/>
      <c r="AE569" s="3152"/>
      <c r="AF569" s="3152"/>
      <c r="AG569" s="3152"/>
      <c r="AH569" s="3152"/>
      <c r="AI569" s="3152"/>
      <c r="AJ569" s="3152"/>
      <c r="AK569" s="1029"/>
      <c r="AL569" s="1029"/>
      <c r="AM569" s="1029"/>
      <c r="AN569" s="1002"/>
      <c r="AQ569" s="1137"/>
      <c r="AR569" s="1137"/>
    </row>
    <row r="570" spans="1:46" s="945" customFormat="1" ht="13.15" customHeight="1">
      <c r="A570" s="1029"/>
      <c r="B570" s="1120"/>
      <c r="C570" s="3152"/>
      <c r="D570" s="3152"/>
      <c r="E570" s="3152"/>
      <c r="F570" s="3152"/>
      <c r="G570" s="3152"/>
      <c r="H570" s="3152"/>
      <c r="I570" s="3152"/>
      <c r="J570" s="3152"/>
      <c r="K570" s="3152"/>
      <c r="L570" s="3152"/>
      <c r="M570" s="3152"/>
      <c r="N570" s="3152"/>
      <c r="O570" s="3152"/>
      <c r="P570" s="3152"/>
      <c r="Q570" s="3152"/>
      <c r="R570" s="3152"/>
      <c r="S570" s="3152"/>
      <c r="T570" s="3152"/>
      <c r="U570" s="3152"/>
      <c r="V570" s="3152"/>
      <c r="W570" s="3152"/>
      <c r="X570" s="3152"/>
      <c r="Y570" s="3152"/>
      <c r="Z570" s="3152"/>
      <c r="AA570" s="3152"/>
      <c r="AB570" s="3152"/>
      <c r="AC570" s="3152"/>
      <c r="AD570" s="3152"/>
      <c r="AE570" s="3152"/>
      <c r="AF570" s="3152"/>
      <c r="AG570" s="3152"/>
      <c r="AH570" s="3152"/>
      <c r="AI570" s="3152"/>
      <c r="AJ570" s="3152"/>
      <c r="AK570" s="1029"/>
      <c r="AL570" s="1029"/>
      <c r="AM570" s="1029"/>
      <c r="AN570" s="1002"/>
      <c r="AQ570" s="1137"/>
      <c r="AR570" s="1137"/>
    </row>
    <row r="571" spans="1:46" s="945" customFormat="1" ht="12.75" customHeight="1">
      <c r="A571" s="1029"/>
      <c r="B571" s="1120"/>
      <c r="C571" s="3152"/>
      <c r="D571" s="3152"/>
      <c r="E571" s="3152"/>
      <c r="F571" s="3152"/>
      <c r="G571" s="3152"/>
      <c r="H571" s="3152"/>
      <c r="I571" s="3152"/>
      <c r="J571" s="3152"/>
      <c r="K571" s="3152"/>
      <c r="L571" s="3152"/>
      <c r="M571" s="3152"/>
      <c r="N571" s="3152"/>
      <c r="O571" s="3152"/>
      <c r="P571" s="3152"/>
      <c r="Q571" s="3152"/>
      <c r="R571" s="3152"/>
      <c r="S571" s="3152"/>
      <c r="T571" s="3152"/>
      <c r="U571" s="3152"/>
      <c r="V571" s="3152"/>
      <c r="W571" s="3152"/>
      <c r="X571" s="3152"/>
      <c r="Y571" s="3152"/>
      <c r="Z571" s="3152"/>
      <c r="AA571" s="3152"/>
      <c r="AB571" s="3152"/>
      <c r="AC571" s="3152"/>
      <c r="AD571" s="3152"/>
      <c r="AE571" s="3152"/>
      <c r="AF571" s="3152"/>
      <c r="AG571" s="3152"/>
      <c r="AH571" s="3152"/>
      <c r="AI571" s="3152"/>
      <c r="AJ571" s="3152"/>
      <c r="AK571" s="1029"/>
      <c r="AL571" s="1029"/>
      <c r="AM571" s="1029"/>
      <c r="AN571" s="1002"/>
      <c r="AO571" s="1152"/>
      <c r="AP571" s="1152"/>
      <c r="AQ571" s="1137"/>
      <c r="AR571" s="1004"/>
    </row>
    <row r="572" spans="1:46" s="945" customFormat="1" ht="11.85" customHeight="1">
      <c r="A572" s="1029"/>
      <c r="B572" s="1120"/>
      <c r="C572" s="3152"/>
      <c r="D572" s="3152"/>
      <c r="E572" s="3152"/>
      <c r="F572" s="3152"/>
      <c r="G572" s="3152"/>
      <c r="H572" s="3152"/>
      <c r="I572" s="3152"/>
      <c r="J572" s="3152"/>
      <c r="K572" s="3152"/>
      <c r="L572" s="3152"/>
      <c r="M572" s="3152"/>
      <c r="N572" s="3152"/>
      <c r="O572" s="3152"/>
      <c r="P572" s="3152"/>
      <c r="Q572" s="3152"/>
      <c r="R572" s="3152"/>
      <c r="S572" s="3152"/>
      <c r="T572" s="3152"/>
      <c r="U572" s="3152"/>
      <c r="V572" s="3152"/>
      <c r="W572" s="3152"/>
      <c r="X572" s="3152"/>
      <c r="Y572" s="3152"/>
      <c r="Z572" s="3152"/>
      <c r="AA572" s="3152"/>
      <c r="AB572" s="3152"/>
      <c r="AC572" s="3152"/>
      <c r="AD572" s="3152"/>
      <c r="AE572" s="3152"/>
      <c r="AF572" s="3152"/>
      <c r="AG572" s="3152"/>
      <c r="AH572" s="3152"/>
      <c r="AI572" s="3152"/>
      <c r="AJ572" s="3152"/>
      <c r="AK572" s="1029"/>
      <c r="AL572" s="1029"/>
      <c r="AM572" s="1029"/>
      <c r="AN572" s="1002"/>
      <c r="AO572" s="1153" t="s">
        <v>117</v>
      </c>
      <c r="AP572" s="1154">
        <f>IF(C596="Yes",5,0)</f>
        <v>0</v>
      </c>
      <c r="AQ572" s="1004"/>
      <c r="AR572" s="1004"/>
      <c r="AS572" s="934" t="s">
        <v>1753</v>
      </c>
    </row>
    <row r="573" spans="1:46" s="945" customFormat="1" ht="12.75" customHeight="1">
      <c r="A573" s="1029"/>
      <c r="B573" s="1120"/>
      <c r="C573" s="3152"/>
      <c r="D573" s="3152"/>
      <c r="E573" s="3152"/>
      <c r="F573" s="3152"/>
      <c r="G573" s="3152"/>
      <c r="H573" s="3152"/>
      <c r="I573" s="3152"/>
      <c r="J573" s="3152"/>
      <c r="K573" s="3152"/>
      <c r="L573" s="3152"/>
      <c r="M573" s="3152"/>
      <c r="N573" s="3152"/>
      <c r="O573" s="3152"/>
      <c r="P573" s="3152"/>
      <c r="Q573" s="3152"/>
      <c r="R573" s="3152"/>
      <c r="S573" s="3152"/>
      <c r="T573" s="3152"/>
      <c r="U573" s="3152"/>
      <c r="V573" s="3152"/>
      <c r="W573" s="3152"/>
      <c r="X573" s="3152"/>
      <c r="Y573" s="3152"/>
      <c r="Z573" s="3152"/>
      <c r="AA573" s="3152"/>
      <c r="AB573" s="3152"/>
      <c r="AC573" s="3152"/>
      <c r="AD573" s="3152"/>
      <c r="AE573" s="3152"/>
      <c r="AF573" s="3152"/>
      <c r="AG573" s="3152"/>
      <c r="AH573" s="3152"/>
      <c r="AI573" s="3152"/>
      <c r="AJ573" s="3152"/>
      <c r="AK573" s="1029"/>
      <c r="AL573" s="1029"/>
      <c r="AM573" s="1029"/>
      <c r="AN573" s="1002"/>
      <c r="AO573" s="1153" t="s">
        <v>118</v>
      </c>
      <c r="AP573" s="1154">
        <f>IF(C604="Yes",5,0)</f>
        <v>0</v>
      </c>
      <c r="AQ573" s="1004"/>
      <c r="AR573" s="1004"/>
      <c r="AS573" s="3149">
        <f>IF(AQ581=0,AQ590,AQ581)</f>
        <v>12</v>
      </c>
      <c r="AT573" s="3149"/>
    </row>
    <row r="574" spans="1:46" s="945" customFormat="1" ht="12.75" customHeight="1">
      <c r="A574" s="1029"/>
      <c r="B574" s="1120"/>
      <c r="C574" s="3152"/>
      <c r="D574" s="3152"/>
      <c r="E574" s="3152"/>
      <c r="F574" s="3152"/>
      <c r="G574" s="3152"/>
      <c r="H574" s="3152"/>
      <c r="I574" s="3152"/>
      <c r="J574" s="3152"/>
      <c r="K574" s="3152"/>
      <c r="L574" s="3152"/>
      <c r="M574" s="3152"/>
      <c r="N574" s="3152"/>
      <c r="O574" s="3152"/>
      <c r="P574" s="3152"/>
      <c r="Q574" s="3152"/>
      <c r="R574" s="3152"/>
      <c r="S574" s="3152"/>
      <c r="T574" s="3152"/>
      <c r="U574" s="3152"/>
      <c r="V574" s="3152"/>
      <c r="W574" s="3152"/>
      <c r="X574" s="3152"/>
      <c r="Y574" s="3152"/>
      <c r="Z574" s="3152"/>
      <c r="AA574" s="3152"/>
      <c r="AB574" s="3152"/>
      <c r="AC574" s="3152"/>
      <c r="AD574" s="3152"/>
      <c r="AE574" s="3152"/>
      <c r="AF574" s="3152"/>
      <c r="AG574" s="3152"/>
      <c r="AH574" s="3152"/>
      <c r="AI574" s="3152"/>
      <c r="AJ574" s="3152"/>
      <c r="AK574" s="1029"/>
      <c r="AL574" s="1029"/>
      <c r="AM574" s="1029"/>
      <c r="AN574" s="1002"/>
      <c r="AO574" s="1153" t="s">
        <v>124</v>
      </c>
      <c r="AP574" s="1154">
        <f>IF(C612="Yes",7,0)</f>
        <v>7</v>
      </c>
      <c r="AS574" s="934" t="s">
        <v>1754</v>
      </c>
    </row>
    <row r="575" spans="1:46" s="945" customFormat="1" ht="12.75" customHeight="1">
      <c r="A575" s="1029"/>
      <c r="B575" s="1120"/>
      <c r="C575" s="3152"/>
      <c r="D575" s="3152"/>
      <c r="E575" s="3152"/>
      <c r="F575" s="3152"/>
      <c r="G575" s="3152"/>
      <c r="H575" s="3152"/>
      <c r="I575" s="3152"/>
      <c r="J575" s="3152"/>
      <c r="K575" s="3152"/>
      <c r="L575" s="3152"/>
      <c r="M575" s="3152"/>
      <c r="N575" s="3152"/>
      <c r="O575" s="3152"/>
      <c r="P575" s="3152"/>
      <c r="Q575" s="3152"/>
      <c r="R575" s="3152"/>
      <c r="S575" s="3152"/>
      <c r="T575" s="3152"/>
      <c r="U575" s="3152"/>
      <c r="V575" s="3152"/>
      <c r="W575" s="3152"/>
      <c r="X575" s="3152"/>
      <c r="Y575" s="3152"/>
      <c r="Z575" s="3152"/>
      <c r="AA575" s="3152"/>
      <c r="AB575" s="3152"/>
      <c r="AC575" s="3152"/>
      <c r="AD575" s="3152"/>
      <c r="AE575" s="3152"/>
      <c r="AF575" s="3152"/>
      <c r="AG575" s="3152"/>
      <c r="AH575" s="3152"/>
      <c r="AI575" s="3152"/>
      <c r="AJ575" s="3152"/>
      <c r="AK575" s="1029"/>
      <c r="AL575" s="1029"/>
      <c r="AM575" s="1029"/>
      <c r="AN575" s="1002"/>
      <c r="AO575" s="1002"/>
      <c r="AP575" s="1154">
        <f>IF(C614="Yes",5,0)</f>
        <v>0</v>
      </c>
      <c r="AS575" s="3149">
        <f>IF(AND(AQ581&gt;0,AQ590&gt;0),(AQ581+AQ590)/2,0)</f>
        <v>0</v>
      </c>
      <c r="AT575" s="3149"/>
    </row>
    <row r="576" spans="1:46" s="945" customFormat="1" ht="12.75" customHeight="1">
      <c r="A576" s="1029"/>
      <c r="B576" s="1120"/>
      <c r="C576" s="3152"/>
      <c r="D576" s="3152"/>
      <c r="E576" s="3152"/>
      <c r="F576" s="3152"/>
      <c r="G576" s="3152"/>
      <c r="H576" s="3152"/>
      <c r="I576" s="3152"/>
      <c r="J576" s="3152"/>
      <c r="K576" s="3152"/>
      <c r="L576" s="3152"/>
      <c r="M576" s="3152"/>
      <c r="N576" s="3152"/>
      <c r="O576" s="3152"/>
      <c r="P576" s="3152"/>
      <c r="Q576" s="3152"/>
      <c r="R576" s="3152"/>
      <c r="S576" s="3152"/>
      <c r="T576" s="3152"/>
      <c r="U576" s="3152"/>
      <c r="V576" s="3152"/>
      <c r="W576" s="3152"/>
      <c r="X576" s="3152"/>
      <c r="Y576" s="3152"/>
      <c r="Z576" s="3152"/>
      <c r="AA576" s="3152"/>
      <c r="AB576" s="3152"/>
      <c r="AC576" s="3152"/>
      <c r="AD576" s="3152"/>
      <c r="AE576" s="3152"/>
      <c r="AF576" s="3152"/>
      <c r="AG576" s="3152"/>
      <c r="AH576" s="3152"/>
      <c r="AI576" s="3152"/>
      <c r="AJ576" s="3152"/>
      <c r="AK576" s="1029"/>
      <c r="AL576" s="1029"/>
      <c r="AM576" s="1029"/>
      <c r="AN576" s="1002"/>
      <c r="AO576" s="1153" t="s">
        <v>616</v>
      </c>
      <c r="AP576" s="1154">
        <f>IF(C622="Yes",5,0)</f>
        <v>0</v>
      </c>
      <c r="AQ576" s="1004"/>
      <c r="AR576" s="1004"/>
    </row>
    <row r="577" spans="1:81" s="945" customFormat="1" ht="12.75" customHeight="1">
      <c r="A577" s="1029"/>
      <c r="B577" s="1120"/>
      <c r="C577" s="3150" t="s">
        <v>1755</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9"/>
      <c r="AL577" s="1029"/>
      <c r="AM577" s="1029"/>
      <c r="AN577" s="1002"/>
      <c r="AO577" s="1002"/>
      <c r="AP577" s="1154">
        <f>IF(C624="Yes",3,0)</f>
        <v>0</v>
      </c>
    </row>
    <row r="578" spans="1:81" s="945" customFormat="1" ht="12.75" customHeight="1">
      <c r="A578" s="1029"/>
      <c r="B578" s="1120"/>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9"/>
      <c r="AL578" s="1029"/>
      <c r="AM578" s="1029"/>
      <c r="AN578" s="1002"/>
      <c r="AO578" s="1153" t="s">
        <v>823</v>
      </c>
      <c r="AP578" s="1154">
        <f>IF(C627="Yes",5,0)</f>
        <v>0</v>
      </c>
    </row>
    <row r="579" spans="1:81" s="945" customFormat="1" ht="12.75" customHeight="1">
      <c r="A579" s="1029"/>
      <c r="B579" s="1120"/>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9"/>
      <c r="AL579" s="1029"/>
      <c r="AM579" s="1029"/>
      <c r="AN579" s="1002"/>
      <c r="AO579" s="1153" t="s">
        <v>619</v>
      </c>
      <c r="AP579" s="1154">
        <f>IF(C636="Yes",5,0)</f>
        <v>5</v>
      </c>
    </row>
    <row r="580" spans="1:81" s="945" customFormat="1" ht="11.85" customHeight="1">
      <c r="A580" s="1029"/>
      <c r="B580" s="1120"/>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9"/>
      <c r="AL580" s="1029"/>
      <c r="AM580" s="1029"/>
      <c r="AN580" s="1002"/>
      <c r="AO580" s="1155"/>
      <c r="AP580" s="1156">
        <f>IF(C638="Yes",3,0)</f>
        <v>0</v>
      </c>
    </row>
    <row r="581" spans="1:81" s="945" customFormat="1" ht="12.4" customHeight="1">
      <c r="A581" s="1029"/>
      <c r="B581" s="1120"/>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9"/>
      <c r="AL581" s="1029"/>
      <c r="AM581" s="1029"/>
      <c r="AN581" s="1002"/>
      <c r="AO581" s="1157" t="s">
        <v>233</v>
      </c>
      <c r="AP581" s="1158">
        <f>SUM(AP572:AP580)</f>
        <v>12</v>
      </c>
      <c r="AQ581" s="3151">
        <f>IF(AP581&gt;0,AP581,0)</f>
        <v>12</v>
      </c>
      <c r="AR581" s="3151"/>
    </row>
    <row r="582" spans="1:81" s="945" customFormat="1" ht="12.75" customHeight="1">
      <c r="A582" s="1029"/>
      <c r="B582" s="1120"/>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3152" t="s">
        <v>1756</v>
      </c>
      <c r="D584" s="3152"/>
      <c r="E584" s="3152"/>
      <c r="F584" s="3152"/>
      <c r="G584" s="3152"/>
      <c r="H584" s="3152"/>
      <c r="I584" s="3152"/>
      <c r="J584" s="3152"/>
      <c r="K584" s="3152"/>
      <c r="L584" s="3152"/>
      <c r="M584" s="3152"/>
      <c r="N584" s="3152"/>
      <c r="O584" s="3152"/>
      <c r="P584" s="3152"/>
      <c r="Q584" s="3152"/>
      <c r="R584" s="3152"/>
      <c r="S584" s="3152"/>
      <c r="T584" s="3152"/>
      <c r="U584" s="3152"/>
      <c r="V584" s="3152"/>
      <c r="W584" s="3152"/>
      <c r="X584" s="3152"/>
      <c r="Y584" s="3152"/>
      <c r="Z584" s="3152"/>
      <c r="AA584" s="3152"/>
      <c r="AB584" s="3152"/>
      <c r="AC584" s="3152"/>
      <c r="AD584" s="3152"/>
      <c r="AE584" s="3152"/>
      <c r="AF584" s="3152"/>
      <c r="AG584" s="3152"/>
      <c r="AH584" s="3152"/>
      <c r="AI584" s="3152"/>
      <c r="AJ584" s="3152"/>
      <c r="AK584" s="1029"/>
      <c r="AL584" s="1029"/>
      <c r="AM584" s="1029"/>
      <c r="AN584" s="1002"/>
      <c r="AO584" s="1153" t="s">
        <v>488</v>
      </c>
      <c r="AP584" s="1154">
        <f>IF(C657="Yes",5,0)</f>
        <v>0</v>
      </c>
    </row>
    <row r="585" spans="1:81" s="945" customFormat="1" ht="12.75" customHeight="1">
      <c r="A585" s="1029"/>
      <c r="B585" s="1120"/>
      <c r="C585" s="3152"/>
      <c r="D585" s="3152"/>
      <c r="E585" s="3152"/>
      <c r="F585" s="3152"/>
      <c r="G585" s="3152"/>
      <c r="H585" s="3152"/>
      <c r="I585" s="3152"/>
      <c r="J585" s="3152"/>
      <c r="K585" s="3152"/>
      <c r="L585" s="3152"/>
      <c r="M585" s="3152"/>
      <c r="N585" s="3152"/>
      <c r="O585" s="3152"/>
      <c r="P585" s="3152"/>
      <c r="Q585" s="3152"/>
      <c r="R585" s="3152"/>
      <c r="S585" s="3152"/>
      <c r="T585" s="3152"/>
      <c r="U585" s="3152"/>
      <c r="V585" s="3152"/>
      <c r="W585" s="3152"/>
      <c r="X585" s="3152"/>
      <c r="Y585" s="3152"/>
      <c r="Z585" s="3152"/>
      <c r="AA585" s="3152"/>
      <c r="AB585" s="3152"/>
      <c r="AC585" s="3152"/>
      <c r="AD585" s="3152"/>
      <c r="AE585" s="3152"/>
      <c r="AF585" s="3152"/>
      <c r="AG585" s="3152"/>
      <c r="AH585" s="3152"/>
      <c r="AI585" s="3152"/>
      <c r="AJ585" s="3152"/>
      <c r="AK585" s="1029"/>
      <c r="AL585" s="1029"/>
      <c r="AM585" s="1029"/>
      <c r="AN585" s="1002"/>
      <c r="AO585" s="1153" t="s">
        <v>494</v>
      </c>
      <c r="AP585" s="1154">
        <f>IF(C664="Yes",5,0)</f>
        <v>0</v>
      </c>
    </row>
    <row r="586" spans="1:81" s="945" customFormat="1" ht="68.099999999999994" customHeight="1">
      <c r="A586" s="1029"/>
      <c r="B586" s="1120"/>
      <c r="C586" s="3152"/>
      <c r="D586" s="3152"/>
      <c r="E586" s="3152"/>
      <c r="F586" s="3152"/>
      <c r="G586" s="3152"/>
      <c r="H586" s="3152"/>
      <c r="I586" s="3152"/>
      <c r="J586" s="3152"/>
      <c r="K586" s="3152"/>
      <c r="L586" s="3152"/>
      <c r="M586" s="3152"/>
      <c r="N586" s="3152"/>
      <c r="O586" s="3152"/>
      <c r="P586" s="3152"/>
      <c r="Q586" s="3152"/>
      <c r="R586" s="3152"/>
      <c r="S586" s="3152"/>
      <c r="T586" s="3152"/>
      <c r="U586" s="3152"/>
      <c r="V586" s="3152"/>
      <c r="W586" s="3152"/>
      <c r="X586" s="3152"/>
      <c r="Y586" s="3152"/>
      <c r="Z586" s="3152"/>
      <c r="AA586" s="3152"/>
      <c r="AB586" s="3152"/>
      <c r="AC586" s="3152"/>
      <c r="AD586" s="3152"/>
      <c r="AE586" s="3152"/>
      <c r="AF586" s="3152"/>
      <c r="AG586" s="3152"/>
      <c r="AH586" s="3152"/>
      <c r="AI586" s="3152"/>
      <c r="AJ586" s="3152"/>
      <c r="AK586" s="1029"/>
      <c r="AL586" s="1029"/>
      <c r="AM586" s="1029"/>
      <c r="AN586" s="1002"/>
      <c r="AO586" s="1153" t="s">
        <v>681</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62">
        <f>'Service Amenities Budget'!J10</f>
        <v>336</v>
      </c>
      <c r="V588" s="3262"/>
      <c r="W588" s="3262"/>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63">
        <f>'Service Amenities Budget'!J9</f>
        <v>0</v>
      </c>
      <c r="V589" s="3263"/>
      <c r="W589" s="326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151">
        <f>IF(AP590&gt;0,AP590,0)</f>
        <v>0</v>
      </c>
      <c r="AR590" s="3151"/>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56" t="s">
        <v>1761</v>
      </c>
      <c r="G592" s="3156"/>
      <c r="H592" s="3156"/>
      <c r="I592" s="3156"/>
      <c r="J592" s="3156"/>
      <c r="K592" s="3156"/>
      <c r="L592" s="3156"/>
      <c r="M592" s="3156"/>
      <c r="N592" s="3156"/>
      <c r="O592" s="3156"/>
      <c r="P592" s="3156"/>
      <c r="Q592" s="3156"/>
      <c r="R592" s="3156"/>
      <c r="S592" s="3156"/>
      <c r="T592" s="3156"/>
      <c r="U592" s="3156"/>
      <c r="V592" s="3156"/>
      <c r="W592" s="3156"/>
      <c r="X592" s="3156"/>
      <c r="Y592" s="3156"/>
      <c r="Z592" s="3156"/>
      <c r="AA592" s="3156"/>
      <c r="AB592" s="3156"/>
      <c r="AC592" s="3156"/>
      <c r="AD592" s="3156"/>
      <c r="AE592" s="3156"/>
      <c r="AF592" s="315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57"/>
      <c r="G593" s="3157"/>
      <c r="H593" s="3157"/>
      <c r="I593" s="3157"/>
      <c r="J593" s="3157"/>
      <c r="K593" s="3157"/>
      <c r="L593" s="3157"/>
      <c r="M593" s="3157"/>
      <c r="N593" s="3157"/>
      <c r="O593" s="3157"/>
      <c r="P593" s="3157"/>
      <c r="Q593" s="3157"/>
      <c r="R593" s="3157"/>
      <c r="S593" s="3157"/>
      <c r="T593" s="3157"/>
      <c r="U593" s="3157"/>
      <c r="V593" s="3157"/>
      <c r="W593" s="3157"/>
      <c r="X593" s="3157"/>
      <c r="Y593" s="3157"/>
      <c r="Z593" s="3157"/>
      <c r="AA593" s="3157"/>
      <c r="AB593" s="3157"/>
      <c r="AC593" s="3157"/>
      <c r="AD593" s="3157"/>
      <c r="AE593" s="3157"/>
      <c r="AF593" s="315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57"/>
      <c r="G594" s="3157"/>
      <c r="H594" s="3157"/>
      <c r="I594" s="3157"/>
      <c r="J594" s="3157"/>
      <c r="K594" s="3157"/>
      <c r="L594" s="3157"/>
      <c r="M594" s="3157"/>
      <c r="N594" s="3157"/>
      <c r="O594" s="3157"/>
      <c r="P594" s="3157"/>
      <c r="Q594" s="3157"/>
      <c r="R594" s="3157"/>
      <c r="S594" s="3157"/>
      <c r="T594" s="3157"/>
      <c r="U594" s="3157"/>
      <c r="V594" s="3157"/>
      <c r="W594" s="3157"/>
      <c r="X594" s="3157"/>
      <c r="Y594" s="3157"/>
      <c r="Z594" s="3157"/>
      <c r="AA594" s="3157"/>
      <c r="AB594" s="3157"/>
      <c r="AC594" s="3157"/>
      <c r="AD594" s="3157"/>
      <c r="AE594" s="3157"/>
      <c r="AF594" s="315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57"/>
      <c r="G595" s="3157"/>
      <c r="H595" s="3157"/>
      <c r="I595" s="3157"/>
      <c r="J595" s="3157"/>
      <c r="K595" s="3157"/>
      <c r="L595" s="3157"/>
      <c r="M595" s="3157"/>
      <c r="N595" s="3157"/>
      <c r="O595" s="3157"/>
      <c r="P595" s="3157"/>
      <c r="Q595" s="3157"/>
      <c r="R595" s="3157"/>
      <c r="S595" s="3157"/>
      <c r="T595" s="3157"/>
      <c r="U595" s="3157"/>
      <c r="V595" s="3157"/>
      <c r="W595" s="3157"/>
      <c r="X595" s="3157"/>
      <c r="Y595" s="3157"/>
      <c r="Z595" s="3157"/>
      <c r="AA595" s="3157"/>
      <c r="AB595" s="3157"/>
      <c r="AC595" s="3157"/>
      <c r="AD595" s="3157"/>
      <c r="AE595" s="3157"/>
      <c r="AF595" s="315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53" t="s">
        <v>626</v>
      </c>
      <c r="D596" s="3095"/>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54" t="s">
        <v>1763</v>
      </c>
      <c r="AG596" s="3154"/>
      <c r="AH596" s="3154"/>
      <c r="AI596" s="3154"/>
      <c r="AJ596" s="3154"/>
      <c r="AK596" s="3154"/>
      <c r="AL596" s="315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56" t="s">
        <v>1764</v>
      </c>
      <c r="G599" s="3156"/>
      <c r="H599" s="3156"/>
      <c r="I599" s="3156"/>
      <c r="J599" s="3156"/>
      <c r="K599" s="3156"/>
      <c r="L599" s="3156"/>
      <c r="M599" s="3156"/>
      <c r="N599" s="3156"/>
      <c r="O599" s="3156"/>
      <c r="P599" s="3156"/>
      <c r="Q599" s="3156"/>
      <c r="R599" s="3156"/>
      <c r="S599" s="3156"/>
      <c r="T599" s="3156"/>
      <c r="U599" s="3156"/>
      <c r="V599" s="3156"/>
      <c r="W599" s="3156"/>
      <c r="X599" s="3156"/>
      <c r="Y599" s="3156"/>
      <c r="Z599" s="3156"/>
      <c r="AA599" s="3156"/>
      <c r="AB599" s="3156"/>
      <c r="AC599" s="3156"/>
      <c r="AD599" s="3156"/>
      <c r="AE599" s="3156"/>
      <c r="AF599" s="315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57"/>
      <c r="G600" s="3157"/>
      <c r="H600" s="3157"/>
      <c r="I600" s="3157"/>
      <c r="J600" s="3157"/>
      <c r="K600" s="3157"/>
      <c r="L600" s="3157"/>
      <c r="M600" s="3157"/>
      <c r="N600" s="3157"/>
      <c r="O600" s="3157"/>
      <c r="P600" s="3157"/>
      <c r="Q600" s="3157"/>
      <c r="R600" s="3157"/>
      <c r="S600" s="3157"/>
      <c r="T600" s="3157"/>
      <c r="U600" s="3157"/>
      <c r="V600" s="3157"/>
      <c r="W600" s="3157"/>
      <c r="X600" s="3157"/>
      <c r="Y600" s="3157"/>
      <c r="Z600" s="3157"/>
      <c r="AA600" s="3157"/>
      <c r="AB600" s="3157"/>
      <c r="AC600" s="3157"/>
      <c r="AD600" s="3157"/>
      <c r="AE600" s="3157"/>
      <c r="AF600" s="315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57"/>
      <c r="G601" s="3157"/>
      <c r="H601" s="3157"/>
      <c r="I601" s="3157"/>
      <c r="J601" s="3157"/>
      <c r="K601" s="3157"/>
      <c r="L601" s="3157"/>
      <c r="M601" s="3157"/>
      <c r="N601" s="3157"/>
      <c r="O601" s="3157"/>
      <c r="P601" s="3157"/>
      <c r="Q601" s="3157"/>
      <c r="R601" s="3157"/>
      <c r="S601" s="3157"/>
      <c r="T601" s="3157"/>
      <c r="U601" s="3157"/>
      <c r="V601" s="3157"/>
      <c r="W601" s="3157"/>
      <c r="X601" s="3157"/>
      <c r="Y601" s="3157"/>
      <c r="Z601" s="3157"/>
      <c r="AA601" s="3157"/>
      <c r="AB601" s="3157"/>
      <c r="AC601" s="3157"/>
      <c r="AD601" s="3157"/>
      <c r="AE601" s="3157"/>
      <c r="AF601" s="315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57"/>
      <c r="G602" s="3157"/>
      <c r="H602" s="3157"/>
      <c r="I602" s="3157"/>
      <c r="J602" s="3157"/>
      <c r="K602" s="3157"/>
      <c r="L602" s="3157"/>
      <c r="M602" s="3157"/>
      <c r="N602" s="3157"/>
      <c r="O602" s="3157"/>
      <c r="P602" s="3157"/>
      <c r="Q602" s="3157"/>
      <c r="R602" s="3157"/>
      <c r="S602" s="3157"/>
      <c r="T602" s="3157"/>
      <c r="U602" s="3157"/>
      <c r="V602" s="3157"/>
      <c r="W602" s="3157"/>
      <c r="X602" s="3157"/>
      <c r="Y602" s="3157"/>
      <c r="Z602" s="3157"/>
      <c r="AA602" s="3157"/>
      <c r="AB602" s="3157"/>
      <c r="AC602" s="3157"/>
      <c r="AD602" s="3157"/>
      <c r="AE602" s="3157"/>
      <c r="AF602" s="315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57"/>
      <c r="G603" s="3157"/>
      <c r="H603" s="3157"/>
      <c r="I603" s="3157"/>
      <c r="J603" s="3157"/>
      <c r="K603" s="3157"/>
      <c r="L603" s="3157"/>
      <c r="M603" s="3157"/>
      <c r="N603" s="3157"/>
      <c r="O603" s="3157"/>
      <c r="P603" s="3157"/>
      <c r="Q603" s="3157"/>
      <c r="R603" s="3157"/>
      <c r="S603" s="3157"/>
      <c r="T603" s="3157"/>
      <c r="U603" s="3157"/>
      <c r="V603" s="3157"/>
      <c r="W603" s="3157"/>
      <c r="X603" s="3157"/>
      <c r="Y603" s="3157"/>
      <c r="Z603" s="3157"/>
      <c r="AA603" s="3157"/>
      <c r="AB603" s="3157"/>
      <c r="AC603" s="3157"/>
      <c r="AD603" s="3157"/>
      <c r="AE603" s="3157"/>
      <c r="AF603" s="315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53" t="s">
        <v>626</v>
      </c>
      <c r="D604" s="3095"/>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54" t="s">
        <v>1763</v>
      </c>
      <c r="AG604" s="3154"/>
      <c r="AH604" s="3154"/>
      <c r="AI604" s="3154"/>
      <c r="AJ604" s="3154"/>
      <c r="AK604" s="3154"/>
      <c r="AL604" s="315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56" t="s">
        <v>1766</v>
      </c>
      <c r="G607" s="3156"/>
      <c r="H607" s="3156"/>
      <c r="I607" s="3156"/>
      <c r="J607" s="3156"/>
      <c r="K607" s="3156"/>
      <c r="L607" s="3156"/>
      <c r="M607" s="3156"/>
      <c r="N607" s="3156"/>
      <c r="O607" s="3156"/>
      <c r="P607" s="3156"/>
      <c r="Q607" s="3156"/>
      <c r="R607" s="3156"/>
      <c r="S607" s="3156"/>
      <c r="T607" s="3156"/>
      <c r="U607" s="3156"/>
      <c r="V607" s="3156"/>
      <c r="W607" s="3156"/>
      <c r="X607" s="3156"/>
      <c r="Y607" s="3156"/>
      <c r="Z607" s="3156"/>
      <c r="AA607" s="3156"/>
      <c r="AB607" s="3156"/>
      <c r="AC607" s="3156"/>
      <c r="AD607" s="3156"/>
      <c r="AE607" s="3156"/>
      <c r="AF607" s="315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57"/>
      <c r="G608" s="3157"/>
      <c r="H608" s="3157"/>
      <c r="I608" s="3157"/>
      <c r="J608" s="3157"/>
      <c r="K608" s="3157"/>
      <c r="L608" s="3157"/>
      <c r="M608" s="3157"/>
      <c r="N608" s="3157"/>
      <c r="O608" s="3157"/>
      <c r="P608" s="3157"/>
      <c r="Q608" s="3157"/>
      <c r="R608" s="3157"/>
      <c r="S608" s="3157"/>
      <c r="T608" s="3157"/>
      <c r="U608" s="3157"/>
      <c r="V608" s="3157"/>
      <c r="W608" s="3157"/>
      <c r="X608" s="3157"/>
      <c r="Y608" s="3157"/>
      <c r="Z608" s="3157"/>
      <c r="AA608" s="3157"/>
      <c r="AB608" s="3157"/>
      <c r="AC608" s="3157"/>
      <c r="AD608" s="3157"/>
      <c r="AE608" s="3157"/>
      <c r="AF608" s="315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57"/>
      <c r="G609" s="3157"/>
      <c r="H609" s="3157"/>
      <c r="I609" s="3157"/>
      <c r="J609" s="3157"/>
      <c r="K609" s="3157"/>
      <c r="L609" s="3157"/>
      <c r="M609" s="3157"/>
      <c r="N609" s="3157"/>
      <c r="O609" s="3157"/>
      <c r="P609" s="3157"/>
      <c r="Q609" s="3157"/>
      <c r="R609" s="3157"/>
      <c r="S609" s="3157"/>
      <c r="T609" s="3157"/>
      <c r="U609" s="3157"/>
      <c r="V609" s="3157"/>
      <c r="W609" s="3157"/>
      <c r="X609" s="3157"/>
      <c r="Y609" s="3157"/>
      <c r="Z609" s="3157"/>
      <c r="AA609" s="3157"/>
      <c r="AB609" s="3157"/>
      <c r="AC609" s="3157"/>
      <c r="AD609" s="3157"/>
      <c r="AE609" s="3157"/>
      <c r="AF609" s="315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57"/>
      <c r="G610" s="3157"/>
      <c r="H610" s="3157"/>
      <c r="I610" s="3157"/>
      <c r="J610" s="3157"/>
      <c r="K610" s="3157"/>
      <c r="L610" s="3157"/>
      <c r="M610" s="3157"/>
      <c r="N610" s="3157"/>
      <c r="O610" s="3157"/>
      <c r="P610" s="3157"/>
      <c r="Q610" s="3157"/>
      <c r="R610" s="3157"/>
      <c r="S610" s="3157"/>
      <c r="T610" s="3157"/>
      <c r="U610" s="3157"/>
      <c r="V610" s="3157"/>
      <c r="W610" s="3157"/>
      <c r="X610" s="3157"/>
      <c r="Y610" s="3157"/>
      <c r="Z610" s="3157"/>
      <c r="AA610" s="3157"/>
      <c r="AB610" s="3157"/>
      <c r="AC610" s="3157"/>
      <c r="AD610" s="3157"/>
      <c r="AE610" s="3157"/>
      <c r="AF610" s="315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57"/>
      <c r="G611" s="3157"/>
      <c r="H611" s="3157"/>
      <c r="I611" s="3157"/>
      <c r="J611" s="3157"/>
      <c r="K611" s="3157"/>
      <c r="L611" s="3157"/>
      <c r="M611" s="3157"/>
      <c r="N611" s="3157"/>
      <c r="O611" s="3157"/>
      <c r="P611" s="3157"/>
      <c r="Q611" s="3157"/>
      <c r="R611" s="3157"/>
      <c r="S611" s="3157"/>
      <c r="T611" s="3157"/>
      <c r="U611" s="3157"/>
      <c r="V611" s="3157"/>
      <c r="W611" s="3157"/>
      <c r="X611" s="3157"/>
      <c r="Y611" s="3157"/>
      <c r="Z611" s="3157"/>
      <c r="AA611" s="3157"/>
      <c r="AB611" s="3157"/>
      <c r="AC611" s="3157"/>
      <c r="AD611" s="3157"/>
      <c r="AE611" s="3157"/>
      <c r="AF611" s="315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53" t="s">
        <v>578</v>
      </c>
      <c r="D612" s="3095"/>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54" t="s">
        <v>1768</v>
      </c>
      <c r="AG612" s="3154"/>
      <c r="AH612" s="3154"/>
      <c r="AI612" s="3154"/>
      <c r="AJ612" s="3154"/>
      <c r="AK612" s="3154"/>
      <c r="AL612" s="315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53" t="s">
        <v>626</v>
      </c>
      <c r="D614" s="3095"/>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54" t="s">
        <v>1763</v>
      </c>
      <c r="AG614" s="3154"/>
      <c r="AH614" s="3154"/>
      <c r="AI614" s="3154"/>
      <c r="AJ614" s="3154"/>
      <c r="AK614" s="3154"/>
      <c r="AL614" s="315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156" t="s">
        <v>1772</v>
      </c>
      <c r="G618" s="3156"/>
      <c r="H618" s="3156"/>
      <c r="I618" s="3156"/>
      <c r="J618" s="3156"/>
      <c r="K618" s="3156"/>
      <c r="L618" s="3156"/>
      <c r="M618" s="3156"/>
      <c r="N618" s="3156"/>
      <c r="O618" s="3156"/>
      <c r="P618" s="3156"/>
      <c r="Q618" s="3156"/>
      <c r="R618" s="3156"/>
      <c r="S618" s="3156"/>
      <c r="T618" s="3156"/>
      <c r="U618" s="3156"/>
      <c r="V618" s="3156"/>
      <c r="W618" s="3156"/>
      <c r="X618" s="3156"/>
      <c r="Y618" s="3156"/>
      <c r="Z618" s="3156"/>
      <c r="AA618" s="3156"/>
      <c r="AB618" s="3156"/>
      <c r="AC618" s="3156"/>
      <c r="AD618" s="3156"/>
      <c r="AE618" s="3156"/>
      <c r="AF618" s="315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57"/>
      <c r="G619" s="3157"/>
      <c r="H619" s="3157"/>
      <c r="I619" s="3157"/>
      <c r="J619" s="3157"/>
      <c r="K619" s="3157"/>
      <c r="L619" s="3157"/>
      <c r="M619" s="3157"/>
      <c r="N619" s="3157"/>
      <c r="O619" s="3157"/>
      <c r="P619" s="3157"/>
      <c r="Q619" s="3157"/>
      <c r="R619" s="3157"/>
      <c r="S619" s="3157"/>
      <c r="T619" s="3157"/>
      <c r="U619" s="3157"/>
      <c r="V619" s="3157"/>
      <c r="W619" s="3157"/>
      <c r="X619" s="3157"/>
      <c r="Y619" s="3157"/>
      <c r="Z619" s="3157"/>
      <c r="AA619" s="3157"/>
      <c r="AB619" s="3157"/>
      <c r="AC619" s="3157"/>
      <c r="AD619" s="3157"/>
      <c r="AE619" s="3157"/>
      <c r="AF619" s="315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57"/>
      <c r="G620" s="3157"/>
      <c r="H620" s="3157"/>
      <c r="I620" s="3157"/>
      <c r="J620" s="3157"/>
      <c r="K620" s="3157"/>
      <c r="L620" s="3157"/>
      <c r="M620" s="3157"/>
      <c r="N620" s="3157"/>
      <c r="O620" s="3157"/>
      <c r="P620" s="3157"/>
      <c r="Q620" s="3157"/>
      <c r="R620" s="3157"/>
      <c r="S620" s="3157"/>
      <c r="T620" s="3157"/>
      <c r="U620" s="3157"/>
      <c r="V620" s="3157"/>
      <c r="W620" s="3157"/>
      <c r="X620" s="3157"/>
      <c r="Y620" s="3157"/>
      <c r="Z620" s="3157"/>
      <c r="AA620" s="3157"/>
      <c r="AB620" s="3157"/>
      <c r="AC620" s="3157"/>
      <c r="AD620" s="3157"/>
      <c r="AE620" s="3157"/>
      <c r="AF620" s="315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57"/>
      <c r="G621" s="3157"/>
      <c r="H621" s="3157"/>
      <c r="I621" s="3157"/>
      <c r="J621" s="3157"/>
      <c r="K621" s="3157"/>
      <c r="L621" s="3157"/>
      <c r="M621" s="3157"/>
      <c r="N621" s="3157"/>
      <c r="O621" s="3157"/>
      <c r="P621" s="3157"/>
      <c r="Q621" s="3157"/>
      <c r="R621" s="3157"/>
      <c r="S621" s="3157"/>
      <c r="T621" s="3157"/>
      <c r="U621" s="3157"/>
      <c r="V621" s="3157"/>
      <c r="W621" s="3157"/>
      <c r="X621" s="3157"/>
      <c r="Y621" s="3157"/>
      <c r="Z621" s="3157"/>
      <c r="AA621" s="3157"/>
      <c r="AB621" s="3157"/>
      <c r="AC621" s="3157"/>
      <c r="AD621" s="3157"/>
      <c r="AE621" s="3157"/>
      <c r="AF621" s="315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53" t="s">
        <v>626</v>
      </c>
      <c r="D622" s="3095"/>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54" t="s">
        <v>1763</v>
      </c>
      <c r="AG622" s="3154"/>
      <c r="AH622" s="3154"/>
      <c r="AI622" s="3154"/>
      <c r="AJ622" s="3154"/>
      <c r="AK622" s="3154"/>
      <c r="AL622" s="315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53" t="s">
        <v>626</v>
      </c>
      <c r="D624" s="3095"/>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54" t="s">
        <v>1775</v>
      </c>
      <c r="AG624" s="3154"/>
      <c r="AH624" s="3154"/>
      <c r="AI624" s="3154"/>
      <c r="AJ624" s="3154"/>
      <c r="AK624" s="3154"/>
      <c r="AL624" s="315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53" t="s">
        <v>626</v>
      </c>
      <c r="D627" s="3095"/>
      <c r="E627" s="1176" t="s">
        <v>1776</v>
      </c>
      <c r="F627" s="3156" t="s">
        <v>1777</v>
      </c>
      <c r="G627" s="3156"/>
      <c r="H627" s="3156"/>
      <c r="I627" s="3156"/>
      <c r="J627" s="3156"/>
      <c r="K627" s="3156"/>
      <c r="L627" s="3156"/>
      <c r="M627" s="3156"/>
      <c r="N627" s="3156"/>
      <c r="O627" s="3156"/>
      <c r="P627" s="3156"/>
      <c r="Q627" s="3156"/>
      <c r="R627" s="3156"/>
      <c r="S627" s="3156"/>
      <c r="T627" s="3156"/>
      <c r="U627" s="3156"/>
      <c r="V627" s="3156"/>
      <c r="W627" s="3156"/>
      <c r="X627" s="3156"/>
      <c r="Y627" s="3156"/>
      <c r="Z627" s="3156"/>
      <c r="AA627" s="3156"/>
      <c r="AB627" s="3156"/>
      <c r="AC627" s="3156"/>
      <c r="AD627" s="3156"/>
      <c r="AE627" s="315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57"/>
      <c r="G628" s="3157"/>
      <c r="H628" s="3157"/>
      <c r="I628" s="3157"/>
      <c r="J628" s="3157"/>
      <c r="K628" s="3157"/>
      <c r="L628" s="3157"/>
      <c r="M628" s="3157"/>
      <c r="N628" s="3157"/>
      <c r="O628" s="3157"/>
      <c r="P628" s="3157"/>
      <c r="Q628" s="3157"/>
      <c r="R628" s="3157"/>
      <c r="S628" s="3157"/>
      <c r="T628" s="3157"/>
      <c r="U628" s="3157"/>
      <c r="V628" s="3157"/>
      <c r="W628" s="3157"/>
      <c r="X628" s="3157"/>
      <c r="Y628" s="3157"/>
      <c r="Z628" s="3157"/>
      <c r="AA628" s="3157"/>
      <c r="AB628" s="3157"/>
      <c r="AC628" s="3157"/>
      <c r="AD628" s="3157"/>
      <c r="AE628" s="3157"/>
      <c r="AF628" s="3158" t="s">
        <v>1763</v>
      </c>
      <c r="AG628" s="3158"/>
      <c r="AH628" s="3158"/>
      <c r="AI628" s="3158"/>
      <c r="AJ628" s="3158"/>
      <c r="AK628" s="3158"/>
      <c r="AL628" s="3159"/>
      <c r="AM628" s="1136"/>
      <c r="AN628" s="1002"/>
      <c r="BS628" s="1136"/>
      <c r="BT628" s="1136"/>
      <c r="BY628" s="1136"/>
      <c r="BZ628" s="1136"/>
      <c r="CA628" s="1136"/>
      <c r="CB628" s="1136"/>
      <c r="CC628" s="1136"/>
    </row>
    <row r="629" spans="1:81" s="945" customFormat="1" ht="12.75" customHeight="1">
      <c r="A629" s="929"/>
      <c r="B629" s="51"/>
      <c r="C629" s="1194"/>
      <c r="D629" s="112"/>
      <c r="E629" s="1148"/>
      <c r="F629" s="3157"/>
      <c r="G629" s="3157"/>
      <c r="H629" s="3157"/>
      <c r="I629" s="3157"/>
      <c r="J629" s="3157"/>
      <c r="K629" s="3157"/>
      <c r="L629" s="3157"/>
      <c r="M629" s="3157"/>
      <c r="N629" s="3157"/>
      <c r="O629" s="3157"/>
      <c r="P629" s="3157"/>
      <c r="Q629" s="3157"/>
      <c r="R629" s="3157"/>
      <c r="S629" s="3157"/>
      <c r="T629" s="3157"/>
      <c r="U629" s="3157"/>
      <c r="V629" s="3157"/>
      <c r="W629" s="3157"/>
      <c r="X629" s="3157"/>
      <c r="Y629" s="3157"/>
      <c r="Z629" s="3157"/>
      <c r="AA629" s="3157"/>
      <c r="AB629" s="3157"/>
      <c r="AC629" s="3157"/>
      <c r="AD629" s="3157"/>
      <c r="AE629" s="315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60"/>
      <c r="G630" s="3160"/>
      <c r="H630" s="3160"/>
      <c r="I630" s="3160"/>
      <c r="J630" s="3160"/>
      <c r="K630" s="3160"/>
      <c r="L630" s="3160"/>
      <c r="M630" s="3160"/>
      <c r="N630" s="3160"/>
      <c r="O630" s="3160"/>
      <c r="P630" s="3160"/>
      <c r="Q630" s="3160"/>
      <c r="R630" s="3160"/>
      <c r="S630" s="3160"/>
      <c r="T630" s="3160"/>
      <c r="U630" s="3160"/>
      <c r="V630" s="3160"/>
      <c r="W630" s="3160"/>
      <c r="X630" s="3160"/>
      <c r="Y630" s="3160"/>
      <c r="Z630" s="3160"/>
      <c r="AA630" s="3160"/>
      <c r="AB630" s="3160"/>
      <c r="AC630" s="3160"/>
      <c r="AD630" s="3160"/>
      <c r="AE630" s="316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61" t="s">
        <v>1779</v>
      </c>
      <c r="G632" s="3161"/>
      <c r="H632" s="3161"/>
      <c r="I632" s="3161"/>
      <c r="J632" s="3161"/>
      <c r="K632" s="3161"/>
      <c r="L632" s="3161"/>
      <c r="M632" s="3161"/>
      <c r="N632" s="3161"/>
      <c r="O632" s="3161"/>
      <c r="P632" s="3161"/>
      <c r="Q632" s="3161"/>
      <c r="R632" s="3161"/>
      <c r="S632" s="3161"/>
      <c r="T632" s="3161"/>
      <c r="U632" s="3161"/>
      <c r="V632" s="3161"/>
      <c r="W632" s="3161"/>
      <c r="X632" s="3161"/>
      <c r="Y632" s="3161"/>
      <c r="Z632" s="3161"/>
      <c r="AA632" s="3161"/>
      <c r="AB632" s="3161"/>
      <c r="AC632" s="3161"/>
      <c r="AD632" s="3161"/>
      <c r="AE632" s="3161"/>
      <c r="AF632" s="1213"/>
      <c r="AG632" s="1213"/>
      <c r="AH632" s="1213"/>
      <c r="AI632" s="1213"/>
      <c r="AJ632" s="1213"/>
      <c r="AK632" s="1213"/>
      <c r="AL632" s="1214"/>
      <c r="AM632" s="1136"/>
    </row>
    <row r="633" spans="1:81">
      <c r="A633" s="929"/>
      <c r="C633" s="1194"/>
      <c r="D633" s="112"/>
      <c r="E633" s="1148"/>
      <c r="F633" s="3162"/>
      <c r="G633" s="3162"/>
      <c r="H633" s="3162"/>
      <c r="I633" s="3162"/>
      <c r="J633" s="3162"/>
      <c r="K633" s="3162"/>
      <c r="L633" s="3162"/>
      <c r="M633" s="3162"/>
      <c r="N633" s="3162"/>
      <c r="O633" s="3162"/>
      <c r="P633" s="3162"/>
      <c r="Q633" s="3162"/>
      <c r="R633" s="3162"/>
      <c r="S633" s="3162"/>
      <c r="T633" s="3162"/>
      <c r="U633" s="3162"/>
      <c r="V633" s="3162"/>
      <c r="W633" s="3162"/>
      <c r="X633" s="3162"/>
      <c r="Y633" s="3162"/>
      <c r="Z633" s="3162"/>
      <c r="AA633" s="3162"/>
      <c r="AB633" s="3162"/>
      <c r="AC633" s="3162"/>
      <c r="AD633" s="3162"/>
      <c r="AE633" s="3162"/>
      <c r="AF633" s="1215"/>
      <c r="AG633" s="993"/>
      <c r="AH633" s="1027"/>
      <c r="AI633" s="1027"/>
      <c r="AJ633" s="1027"/>
      <c r="AK633" s="1027"/>
      <c r="AL633" s="1195"/>
      <c r="AM633" s="1136"/>
    </row>
    <row r="634" spans="1:81" s="945" customFormat="1" ht="12.75" customHeight="1">
      <c r="A634" s="929"/>
      <c r="B634" s="51"/>
      <c r="C634" s="1194"/>
      <c r="D634" s="112"/>
      <c r="E634" s="1148"/>
      <c r="F634" s="3162"/>
      <c r="G634" s="3162"/>
      <c r="H634" s="3162"/>
      <c r="I634" s="3162"/>
      <c r="J634" s="3162"/>
      <c r="K634" s="3162"/>
      <c r="L634" s="3162"/>
      <c r="M634" s="3162"/>
      <c r="N634" s="3162"/>
      <c r="O634" s="3162"/>
      <c r="P634" s="3162"/>
      <c r="Q634" s="3162"/>
      <c r="R634" s="3162"/>
      <c r="S634" s="3162"/>
      <c r="T634" s="3162"/>
      <c r="U634" s="3162"/>
      <c r="V634" s="3162"/>
      <c r="W634" s="3162"/>
      <c r="X634" s="3162"/>
      <c r="Y634" s="3162"/>
      <c r="Z634" s="3162"/>
      <c r="AA634" s="3162"/>
      <c r="AB634" s="3162"/>
      <c r="AC634" s="3162"/>
      <c r="AD634" s="3162"/>
      <c r="AE634" s="3162"/>
      <c r="AF634" s="1027"/>
      <c r="AG634" s="1027"/>
      <c r="AH634" s="1027"/>
      <c r="AI634" s="1027"/>
      <c r="AJ634" s="1027"/>
      <c r="AK634" s="1027"/>
      <c r="AL634" s="1195"/>
      <c r="AM634" s="1136"/>
      <c r="AN634" s="1002"/>
    </row>
    <row r="635" spans="1:81" s="945" customFormat="1" ht="12.75" customHeight="1">
      <c r="A635" s="929"/>
      <c r="B635" s="51"/>
      <c r="C635" s="1203"/>
      <c r="D635" s="1027"/>
      <c r="E635" s="1027"/>
      <c r="F635" s="3162"/>
      <c r="G635" s="3162"/>
      <c r="H635" s="3162"/>
      <c r="I635" s="3162"/>
      <c r="J635" s="3162"/>
      <c r="K635" s="3162"/>
      <c r="L635" s="3162"/>
      <c r="M635" s="3162"/>
      <c r="N635" s="3162"/>
      <c r="O635" s="3162"/>
      <c r="P635" s="3162"/>
      <c r="Q635" s="3162"/>
      <c r="R635" s="3162"/>
      <c r="S635" s="3162"/>
      <c r="T635" s="3162"/>
      <c r="U635" s="3162"/>
      <c r="V635" s="3162"/>
      <c r="W635" s="3162"/>
      <c r="X635" s="3162"/>
      <c r="Y635" s="3162"/>
      <c r="Z635" s="3162"/>
      <c r="AA635" s="3162"/>
      <c r="AB635" s="3162"/>
      <c r="AC635" s="3162"/>
      <c r="AD635" s="3162"/>
      <c r="AE635" s="3162"/>
      <c r="AF635" s="1027"/>
      <c r="AG635" s="1027"/>
      <c r="AH635" s="1027"/>
      <c r="AI635" s="1027"/>
      <c r="AJ635" s="1027"/>
      <c r="AK635" s="1027"/>
      <c r="AL635" s="1195"/>
      <c r="AM635" s="1136"/>
      <c r="AN635" s="1002"/>
    </row>
    <row r="636" spans="1:81" s="945" customFormat="1" ht="12.75" customHeight="1">
      <c r="A636" s="929"/>
      <c r="B636" s="51"/>
      <c r="C636" s="3153" t="s">
        <v>578</v>
      </c>
      <c r="D636" s="3095"/>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58" t="s">
        <v>1763</v>
      </c>
      <c r="AG636" s="3158"/>
      <c r="AH636" s="3158"/>
      <c r="AI636" s="3158"/>
      <c r="AJ636" s="3158"/>
      <c r="AK636" s="3158"/>
      <c r="AL636" s="315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53" t="s">
        <v>626</v>
      </c>
      <c r="D638" s="3095"/>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58" t="s">
        <v>1775</v>
      </c>
      <c r="AG638" s="3158"/>
      <c r="AH638" s="3158"/>
      <c r="AI638" s="3158"/>
      <c r="AJ638" s="3158"/>
      <c r="AK638" s="3158"/>
      <c r="AL638" s="315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156" t="s">
        <v>1784</v>
      </c>
      <c r="G642" s="3156"/>
      <c r="H642" s="3156"/>
      <c r="I642" s="3156"/>
      <c r="J642" s="3156"/>
      <c r="K642" s="3156"/>
      <c r="L642" s="3156"/>
      <c r="M642" s="3156"/>
      <c r="N642" s="3156"/>
      <c r="O642" s="3156"/>
      <c r="P642" s="3156"/>
      <c r="Q642" s="3156"/>
      <c r="R642" s="3156"/>
      <c r="S642" s="3156"/>
      <c r="T642" s="3156"/>
      <c r="U642" s="3156"/>
      <c r="V642" s="3156"/>
      <c r="W642" s="3156"/>
      <c r="X642" s="3156"/>
      <c r="Y642" s="3156"/>
      <c r="Z642" s="3156"/>
      <c r="AA642" s="3156"/>
      <c r="AB642" s="3156"/>
      <c r="AC642" s="3156"/>
      <c r="AD642" s="3156"/>
      <c r="AE642" s="315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57"/>
      <c r="G643" s="3157"/>
      <c r="H643" s="3157"/>
      <c r="I643" s="3157"/>
      <c r="J643" s="3157"/>
      <c r="K643" s="3157"/>
      <c r="L643" s="3157"/>
      <c r="M643" s="3157"/>
      <c r="N643" s="3157"/>
      <c r="O643" s="3157"/>
      <c r="P643" s="3157"/>
      <c r="Q643" s="3157"/>
      <c r="R643" s="3157"/>
      <c r="S643" s="3157"/>
      <c r="T643" s="3157"/>
      <c r="U643" s="3157"/>
      <c r="V643" s="3157"/>
      <c r="W643" s="3157"/>
      <c r="X643" s="3157"/>
      <c r="Y643" s="3157"/>
      <c r="Z643" s="3157"/>
      <c r="AA643" s="3157"/>
      <c r="AB643" s="3157"/>
      <c r="AC643" s="3157"/>
      <c r="AD643" s="3157"/>
      <c r="AE643" s="3157"/>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57"/>
      <c r="G644" s="3157"/>
      <c r="H644" s="3157"/>
      <c r="I644" s="3157"/>
      <c r="J644" s="3157"/>
      <c r="K644" s="3157"/>
      <c r="L644" s="3157"/>
      <c r="M644" s="3157"/>
      <c r="N644" s="3157"/>
      <c r="O644" s="3157"/>
      <c r="P644" s="3157"/>
      <c r="Q644" s="3157"/>
      <c r="R644" s="3157"/>
      <c r="S644" s="3157"/>
      <c r="T644" s="3157"/>
      <c r="U644" s="3157"/>
      <c r="V644" s="3157"/>
      <c r="W644" s="3157"/>
      <c r="X644" s="3157"/>
      <c r="Y644" s="3157"/>
      <c r="Z644" s="3157"/>
      <c r="AA644" s="3157"/>
      <c r="AB644" s="3157"/>
      <c r="AC644" s="3157"/>
      <c r="AD644" s="3157"/>
      <c r="AE644" s="3157"/>
      <c r="AF644" s="1027"/>
      <c r="AG644" s="1027"/>
      <c r="AH644" s="1027"/>
      <c r="AI644" s="1027"/>
      <c r="AJ644" s="1027"/>
      <c r="AK644" s="1027"/>
      <c r="AL644" s="1195"/>
      <c r="AM644" s="1136"/>
      <c r="AN644" s="1002"/>
      <c r="AO644" s="1027"/>
      <c r="AP644" s="1027"/>
    </row>
    <row r="645" spans="1:60" s="945" customFormat="1" ht="12.75" customHeight="1">
      <c r="A645" s="929"/>
      <c r="B645" s="51"/>
      <c r="C645" s="3153" t="s">
        <v>626</v>
      </c>
      <c r="D645" s="3095"/>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58" t="s">
        <v>1763</v>
      </c>
      <c r="AG645" s="3158"/>
      <c r="AH645" s="3158"/>
      <c r="AI645" s="3158"/>
      <c r="AJ645" s="3158"/>
      <c r="AK645" s="3158"/>
      <c r="AL645" s="315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156" t="s">
        <v>1787</v>
      </c>
      <c r="G648" s="3156"/>
      <c r="H648" s="3156"/>
      <c r="I648" s="3156"/>
      <c r="J648" s="3156"/>
      <c r="K648" s="3156"/>
      <c r="L648" s="3156"/>
      <c r="M648" s="3156"/>
      <c r="N648" s="3156"/>
      <c r="O648" s="3156"/>
      <c r="P648" s="3156"/>
      <c r="Q648" s="3156"/>
      <c r="R648" s="3156"/>
      <c r="S648" s="3156"/>
      <c r="T648" s="3156"/>
      <c r="U648" s="3156"/>
      <c r="V648" s="3156"/>
      <c r="W648" s="3156"/>
      <c r="X648" s="3156"/>
      <c r="Y648" s="3156"/>
      <c r="Z648" s="3156"/>
      <c r="AA648" s="3156"/>
      <c r="AB648" s="3156"/>
      <c r="AC648" s="3156"/>
      <c r="AD648" s="3156"/>
      <c r="AE648" s="315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57"/>
      <c r="G649" s="3157"/>
      <c r="H649" s="3157"/>
      <c r="I649" s="3157"/>
      <c r="J649" s="3157"/>
      <c r="K649" s="3157"/>
      <c r="L649" s="3157"/>
      <c r="M649" s="3157"/>
      <c r="N649" s="3157"/>
      <c r="O649" s="3157"/>
      <c r="P649" s="3157"/>
      <c r="Q649" s="3157"/>
      <c r="R649" s="3157"/>
      <c r="S649" s="3157"/>
      <c r="T649" s="3157"/>
      <c r="U649" s="3157"/>
      <c r="V649" s="3157"/>
      <c r="W649" s="3157"/>
      <c r="X649" s="3157"/>
      <c r="Y649" s="3157"/>
      <c r="Z649" s="3157"/>
      <c r="AA649" s="3157"/>
      <c r="AB649" s="3157"/>
      <c r="AC649" s="3157"/>
      <c r="AD649" s="3157"/>
      <c r="AE649" s="315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57"/>
      <c r="G650" s="3157"/>
      <c r="H650" s="3157"/>
      <c r="I650" s="3157"/>
      <c r="J650" s="3157"/>
      <c r="K650" s="3157"/>
      <c r="L650" s="3157"/>
      <c r="M650" s="3157"/>
      <c r="N650" s="3157"/>
      <c r="O650" s="3157"/>
      <c r="P650" s="3157"/>
      <c r="Q650" s="3157"/>
      <c r="R650" s="3157"/>
      <c r="S650" s="3157"/>
      <c r="T650" s="3157"/>
      <c r="U650" s="3157"/>
      <c r="V650" s="3157"/>
      <c r="W650" s="3157"/>
      <c r="X650" s="3157"/>
      <c r="Y650" s="3157"/>
      <c r="Z650" s="3157"/>
      <c r="AA650" s="3157"/>
      <c r="AB650" s="3157"/>
      <c r="AC650" s="3157"/>
      <c r="AD650" s="3157"/>
      <c r="AE650" s="315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57"/>
      <c r="G651" s="3157"/>
      <c r="H651" s="3157"/>
      <c r="I651" s="3157"/>
      <c r="J651" s="3157"/>
      <c r="K651" s="3157"/>
      <c r="L651" s="3157"/>
      <c r="M651" s="3157"/>
      <c r="N651" s="3157"/>
      <c r="O651" s="3157"/>
      <c r="P651" s="3157"/>
      <c r="Q651" s="3157"/>
      <c r="R651" s="3157"/>
      <c r="S651" s="3157"/>
      <c r="T651" s="3157"/>
      <c r="U651" s="3157"/>
      <c r="V651" s="3157"/>
      <c r="W651" s="3157"/>
      <c r="X651" s="3157"/>
      <c r="Y651" s="3157"/>
      <c r="Z651" s="3157"/>
      <c r="AA651" s="3157"/>
      <c r="AB651" s="3157"/>
      <c r="AC651" s="3157"/>
      <c r="AD651" s="3157"/>
      <c r="AE651" s="315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57"/>
      <c r="G652" s="3157"/>
      <c r="H652" s="3157"/>
      <c r="I652" s="3157"/>
      <c r="J652" s="3157"/>
      <c r="K652" s="3157"/>
      <c r="L652" s="3157"/>
      <c r="M652" s="3157"/>
      <c r="N652" s="3157"/>
      <c r="O652" s="3157"/>
      <c r="P652" s="3157"/>
      <c r="Q652" s="3157"/>
      <c r="R652" s="3157"/>
      <c r="S652" s="3157"/>
      <c r="T652" s="3157"/>
      <c r="U652" s="3157"/>
      <c r="V652" s="3157"/>
      <c r="W652" s="3157"/>
      <c r="X652" s="3157"/>
      <c r="Y652" s="3157"/>
      <c r="Z652" s="3157"/>
      <c r="AA652" s="3157"/>
      <c r="AB652" s="3157"/>
      <c r="AC652" s="3157"/>
      <c r="AD652" s="3157"/>
      <c r="AE652" s="315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57"/>
      <c r="G653" s="3157"/>
      <c r="H653" s="3157"/>
      <c r="I653" s="3157"/>
      <c r="J653" s="3157"/>
      <c r="K653" s="3157"/>
      <c r="L653" s="3157"/>
      <c r="M653" s="3157"/>
      <c r="N653" s="3157"/>
      <c r="O653" s="3157"/>
      <c r="P653" s="3157"/>
      <c r="Q653" s="3157"/>
      <c r="R653" s="3157"/>
      <c r="S653" s="3157"/>
      <c r="T653" s="3157"/>
      <c r="U653" s="3157"/>
      <c r="V653" s="3157"/>
      <c r="W653" s="3157"/>
      <c r="X653" s="3157"/>
      <c r="Y653" s="3157"/>
      <c r="Z653" s="3157"/>
      <c r="AA653" s="3157"/>
      <c r="AB653" s="3157"/>
      <c r="AC653" s="3157"/>
      <c r="AD653" s="3157"/>
      <c r="AE653" s="3157"/>
      <c r="AF653" s="1226"/>
      <c r="AG653" s="1226"/>
      <c r="AH653" s="1226"/>
      <c r="AI653" s="1226"/>
      <c r="AJ653" s="1226"/>
      <c r="AK653" s="1226"/>
      <c r="AL653" s="1227"/>
      <c r="AM653" s="1136"/>
      <c r="AN653" s="1002"/>
    </row>
    <row r="654" spans="1:60" s="945" customFormat="1" ht="12.75" customHeight="1">
      <c r="A654" s="929"/>
      <c r="B654" s="51"/>
      <c r="C654" s="1228"/>
      <c r="D654" s="1193"/>
      <c r="E654" s="1180"/>
      <c r="F654" s="3157"/>
      <c r="G654" s="3157"/>
      <c r="H654" s="3157"/>
      <c r="I654" s="3157"/>
      <c r="J654" s="3157"/>
      <c r="K654" s="3157"/>
      <c r="L654" s="3157"/>
      <c r="M654" s="3157"/>
      <c r="N654" s="3157"/>
      <c r="O654" s="3157"/>
      <c r="P654" s="3157"/>
      <c r="Q654" s="3157"/>
      <c r="R654" s="3157"/>
      <c r="S654" s="3157"/>
      <c r="T654" s="3157"/>
      <c r="U654" s="3157"/>
      <c r="V654" s="3157"/>
      <c r="W654" s="3157"/>
      <c r="X654" s="3157"/>
      <c r="Y654" s="3157"/>
      <c r="Z654" s="3157"/>
      <c r="AA654" s="3157"/>
      <c r="AB654" s="3157"/>
      <c r="AC654" s="3157"/>
      <c r="AD654" s="3157"/>
      <c r="AE654" s="3157"/>
      <c r="AF654" s="1226"/>
      <c r="AG654" s="1226"/>
      <c r="AH654" s="1226"/>
      <c r="AI654" s="1226"/>
      <c r="AJ654" s="1226"/>
      <c r="AK654" s="1226"/>
      <c r="AL654" s="1227"/>
      <c r="AM654" s="1136"/>
      <c r="AN654" s="1002"/>
    </row>
    <row r="655" spans="1:60" s="945" customFormat="1" ht="12.75" customHeight="1">
      <c r="A655" s="929"/>
      <c r="B655" s="51"/>
      <c r="C655" s="1228"/>
      <c r="D655" s="1193"/>
      <c r="E655" s="1180"/>
      <c r="F655" s="3157"/>
      <c r="G655" s="3157"/>
      <c r="H655" s="3157"/>
      <c r="I655" s="3157"/>
      <c r="J655" s="3157"/>
      <c r="K655" s="3157"/>
      <c r="L655" s="3157"/>
      <c r="M655" s="3157"/>
      <c r="N655" s="3157"/>
      <c r="O655" s="3157"/>
      <c r="P655" s="3157"/>
      <c r="Q655" s="3157"/>
      <c r="R655" s="3157"/>
      <c r="S655" s="3157"/>
      <c r="T655" s="3157"/>
      <c r="U655" s="3157"/>
      <c r="V655" s="3157"/>
      <c r="W655" s="3157"/>
      <c r="X655" s="3157"/>
      <c r="Y655" s="3157"/>
      <c r="Z655" s="3157"/>
      <c r="AA655" s="3157"/>
      <c r="AB655" s="3157"/>
      <c r="AC655" s="3157"/>
      <c r="AD655" s="3157"/>
      <c r="AE655" s="3157"/>
      <c r="AF655" s="1226"/>
      <c r="AG655" s="1226"/>
      <c r="AH655" s="1226"/>
      <c r="AI655" s="1226"/>
      <c r="AJ655" s="1226"/>
      <c r="AK655" s="1226"/>
      <c r="AL655" s="1227"/>
      <c r="AM655" s="1136"/>
      <c r="AN655" s="1002"/>
    </row>
    <row r="656" spans="1:60" s="945" customFormat="1" ht="17.25" customHeight="1">
      <c r="A656" s="929"/>
      <c r="B656" s="51"/>
      <c r="C656" s="1228"/>
      <c r="D656" s="1193"/>
      <c r="E656" s="1180"/>
      <c r="F656" s="3157"/>
      <c r="G656" s="3157"/>
      <c r="H656" s="3157"/>
      <c r="I656" s="3157"/>
      <c r="J656" s="3157"/>
      <c r="K656" s="3157"/>
      <c r="L656" s="3157"/>
      <c r="M656" s="3157"/>
      <c r="N656" s="3157"/>
      <c r="O656" s="3157"/>
      <c r="P656" s="3157"/>
      <c r="Q656" s="3157"/>
      <c r="R656" s="3157"/>
      <c r="S656" s="3157"/>
      <c r="T656" s="3157"/>
      <c r="U656" s="3157"/>
      <c r="V656" s="3157"/>
      <c r="W656" s="3157"/>
      <c r="X656" s="3157"/>
      <c r="Y656" s="3157"/>
      <c r="Z656" s="3157"/>
      <c r="AA656" s="3157"/>
      <c r="AB656" s="3157"/>
      <c r="AC656" s="3157"/>
      <c r="AD656" s="3157"/>
      <c r="AE656" s="3157"/>
      <c r="AF656" s="1027"/>
      <c r="AG656" s="1027"/>
      <c r="AH656" s="1027"/>
      <c r="AI656" s="1027"/>
      <c r="AJ656" s="1027"/>
      <c r="AK656" s="1027"/>
      <c r="AL656" s="1195"/>
      <c r="AM656" s="1136"/>
      <c r="AN656" s="1002"/>
    </row>
    <row r="657" spans="1:54" s="945" customFormat="1" ht="12.75" customHeight="1">
      <c r="A657" s="929"/>
      <c r="B657" s="51"/>
      <c r="C657" s="3153" t="s">
        <v>626</v>
      </c>
      <c r="D657" s="3095"/>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58" t="s">
        <v>1763</v>
      </c>
      <c r="AG657" s="3158"/>
      <c r="AH657" s="3158"/>
      <c r="AI657" s="3158"/>
      <c r="AJ657" s="3158"/>
      <c r="AK657" s="3158"/>
      <c r="AL657" s="315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156" t="s">
        <v>1790</v>
      </c>
      <c r="G660" s="3156"/>
      <c r="H660" s="3156"/>
      <c r="I660" s="3156"/>
      <c r="J660" s="3156"/>
      <c r="K660" s="3156"/>
      <c r="L660" s="3156"/>
      <c r="M660" s="3156"/>
      <c r="N660" s="3156"/>
      <c r="O660" s="3156"/>
      <c r="P660" s="3156"/>
      <c r="Q660" s="3156"/>
      <c r="R660" s="3156"/>
      <c r="S660" s="3156"/>
      <c r="T660" s="3156"/>
      <c r="U660" s="3156"/>
      <c r="V660" s="3156"/>
      <c r="W660" s="3156"/>
      <c r="X660" s="3156"/>
      <c r="Y660" s="3156"/>
      <c r="Z660" s="3156"/>
      <c r="AA660" s="3156"/>
      <c r="AB660" s="3156"/>
      <c r="AC660" s="3156"/>
      <c r="AD660" s="3156"/>
      <c r="AE660" s="3156"/>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57"/>
      <c r="G661" s="3157"/>
      <c r="H661" s="3157"/>
      <c r="I661" s="3157"/>
      <c r="J661" s="3157"/>
      <c r="K661" s="3157"/>
      <c r="L661" s="3157"/>
      <c r="M661" s="3157"/>
      <c r="N661" s="3157"/>
      <c r="O661" s="3157"/>
      <c r="P661" s="3157"/>
      <c r="Q661" s="3157"/>
      <c r="R661" s="3157"/>
      <c r="S661" s="3157"/>
      <c r="T661" s="3157"/>
      <c r="U661" s="3157"/>
      <c r="V661" s="3157"/>
      <c r="W661" s="3157"/>
      <c r="X661" s="3157"/>
      <c r="Y661" s="3157"/>
      <c r="Z661" s="3157"/>
      <c r="AA661" s="3157"/>
      <c r="AB661" s="3157"/>
      <c r="AC661" s="3157"/>
      <c r="AD661" s="3157"/>
      <c r="AE661" s="3157"/>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157"/>
      <c r="G662" s="3157"/>
      <c r="H662" s="3157"/>
      <c r="I662" s="3157"/>
      <c r="J662" s="3157"/>
      <c r="K662" s="3157"/>
      <c r="L662" s="3157"/>
      <c r="M662" s="3157"/>
      <c r="N662" s="3157"/>
      <c r="O662" s="3157"/>
      <c r="P662" s="3157"/>
      <c r="Q662" s="3157"/>
      <c r="R662" s="3157"/>
      <c r="S662" s="3157"/>
      <c r="T662" s="3157"/>
      <c r="U662" s="3157"/>
      <c r="V662" s="3157"/>
      <c r="W662" s="3157"/>
      <c r="X662" s="3157"/>
      <c r="Y662" s="3157"/>
      <c r="Z662" s="3157"/>
      <c r="AA662" s="3157"/>
      <c r="AB662" s="3157"/>
      <c r="AC662" s="3157"/>
      <c r="AD662" s="3157"/>
      <c r="AE662" s="3157"/>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157"/>
      <c r="G663" s="3157"/>
      <c r="H663" s="3157"/>
      <c r="I663" s="3157"/>
      <c r="J663" s="3157"/>
      <c r="K663" s="3157"/>
      <c r="L663" s="3157"/>
      <c r="M663" s="3157"/>
      <c r="N663" s="3157"/>
      <c r="O663" s="3157"/>
      <c r="P663" s="3157"/>
      <c r="Q663" s="3157"/>
      <c r="R663" s="3157"/>
      <c r="S663" s="3157"/>
      <c r="T663" s="3157"/>
      <c r="U663" s="3157"/>
      <c r="V663" s="3157"/>
      <c r="W663" s="3157"/>
      <c r="X663" s="3157"/>
      <c r="Y663" s="3157"/>
      <c r="Z663" s="3157"/>
      <c r="AA663" s="3157"/>
      <c r="AB663" s="3157"/>
      <c r="AC663" s="3157"/>
      <c r="AD663" s="3157"/>
      <c r="AE663" s="3157"/>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153" t="s">
        <v>626</v>
      </c>
      <c r="D664" s="3095"/>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58" t="s">
        <v>1763</v>
      </c>
      <c r="AG664" s="3158"/>
      <c r="AH664" s="3158"/>
      <c r="AI664" s="3158"/>
      <c r="AJ664" s="3158"/>
      <c r="AK664" s="3158"/>
      <c r="AL664" s="3159"/>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65" t="s">
        <v>626</v>
      </c>
      <c r="D668" s="3166"/>
      <c r="E668" s="1176" t="s">
        <v>1799</v>
      </c>
      <c r="F668" s="3156" t="s">
        <v>1800</v>
      </c>
      <c r="G668" s="3156"/>
      <c r="H668" s="3156"/>
      <c r="I668" s="3156"/>
      <c r="J668" s="3156"/>
      <c r="K668" s="3156"/>
      <c r="L668" s="3156"/>
      <c r="M668" s="3156"/>
      <c r="N668" s="3156"/>
      <c r="O668" s="3156"/>
      <c r="P668" s="3156"/>
      <c r="Q668" s="3156"/>
      <c r="R668" s="3156"/>
      <c r="S668" s="3156"/>
      <c r="T668" s="3156"/>
      <c r="U668" s="3156"/>
      <c r="V668" s="3156"/>
      <c r="W668" s="3156"/>
      <c r="X668" s="3156"/>
      <c r="Y668" s="3156"/>
      <c r="Z668" s="3156"/>
      <c r="AA668" s="3156"/>
      <c r="AB668" s="3156"/>
      <c r="AC668" s="3156"/>
      <c r="AD668" s="3156"/>
      <c r="AE668" s="3156"/>
      <c r="AF668" s="3163" t="s">
        <v>1763</v>
      </c>
      <c r="AG668" s="3163"/>
      <c r="AH668" s="3163"/>
      <c r="AI668" s="3163"/>
      <c r="AJ668" s="3163"/>
      <c r="AK668" s="3163"/>
      <c r="AL668" s="3164"/>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57"/>
      <c r="G669" s="3157"/>
      <c r="H669" s="3157"/>
      <c r="I669" s="3157"/>
      <c r="J669" s="3157"/>
      <c r="K669" s="3157"/>
      <c r="L669" s="3157"/>
      <c r="M669" s="3157"/>
      <c r="N669" s="3157"/>
      <c r="O669" s="3157"/>
      <c r="P669" s="3157"/>
      <c r="Q669" s="3157"/>
      <c r="R669" s="3157"/>
      <c r="S669" s="3157"/>
      <c r="T669" s="3157"/>
      <c r="U669" s="3157"/>
      <c r="V669" s="3157"/>
      <c r="W669" s="3157"/>
      <c r="X669" s="3157"/>
      <c r="Y669" s="3157"/>
      <c r="Z669" s="3157"/>
      <c r="AA669" s="3157"/>
      <c r="AB669" s="3157"/>
      <c r="AC669" s="3157"/>
      <c r="AD669" s="3157"/>
      <c r="AE669" s="3157"/>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60"/>
      <c r="G670" s="3160"/>
      <c r="H670" s="3160"/>
      <c r="I670" s="3160"/>
      <c r="J670" s="3160"/>
      <c r="K670" s="3160"/>
      <c r="L670" s="3160"/>
      <c r="M670" s="3160"/>
      <c r="N670" s="3160"/>
      <c r="O670" s="3160"/>
      <c r="P670" s="3160"/>
      <c r="Q670" s="3160"/>
      <c r="R670" s="3160"/>
      <c r="S670" s="3160"/>
      <c r="T670" s="3160"/>
      <c r="U670" s="3160"/>
      <c r="V670" s="3160"/>
      <c r="W670" s="3160"/>
      <c r="X670" s="3160"/>
      <c r="Y670" s="3160"/>
      <c r="Z670" s="3160"/>
      <c r="AA670" s="3160"/>
      <c r="AB670" s="3160"/>
      <c r="AC670" s="3160"/>
      <c r="AD670" s="3160"/>
      <c r="AE670" s="3160"/>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153" t="s">
        <v>626</v>
      </c>
      <c r="D672" s="3095"/>
      <c r="E672" s="1176" t="s">
        <v>1805</v>
      </c>
      <c r="F672" s="3156" t="s">
        <v>1806</v>
      </c>
      <c r="G672" s="3156"/>
      <c r="H672" s="3156"/>
      <c r="I672" s="3156"/>
      <c r="J672" s="3156"/>
      <c r="K672" s="3156"/>
      <c r="L672" s="3156"/>
      <c r="M672" s="3156"/>
      <c r="N672" s="3156"/>
      <c r="O672" s="3156"/>
      <c r="P672" s="3156"/>
      <c r="Q672" s="3156"/>
      <c r="R672" s="3156"/>
      <c r="S672" s="3156"/>
      <c r="T672" s="3156"/>
      <c r="U672" s="3156"/>
      <c r="V672" s="3156"/>
      <c r="W672" s="3156"/>
      <c r="X672" s="3156"/>
      <c r="Y672" s="3156"/>
      <c r="Z672" s="3156"/>
      <c r="AA672" s="3156"/>
      <c r="AB672" s="3156"/>
      <c r="AC672" s="3156"/>
      <c r="AD672" s="3156"/>
      <c r="AE672" s="3156"/>
      <c r="AF672" s="3163" t="s">
        <v>1763</v>
      </c>
      <c r="AG672" s="3163"/>
      <c r="AH672" s="3163"/>
      <c r="AI672" s="3163"/>
      <c r="AJ672" s="3163"/>
      <c r="AK672" s="3163"/>
      <c r="AL672" s="3164"/>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157"/>
      <c r="G673" s="3157"/>
      <c r="H673" s="3157"/>
      <c r="I673" s="3157"/>
      <c r="J673" s="3157"/>
      <c r="K673" s="3157"/>
      <c r="L673" s="3157"/>
      <c r="M673" s="3157"/>
      <c r="N673" s="3157"/>
      <c r="O673" s="3157"/>
      <c r="P673" s="3157"/>
      <c r="Q673" s="3157"/>
      <c r="R673" s="3157"/>
      <c r="S673" s="3157"/>
      <c r="T673" s="3157"/>
      <c r="U673" s="3157"/>
      <c r="V673" s="3157"/>
      <c r="W673" s="3157"/>
      <c r="X673" s="3157"/>
      <c r="Y673" s="3157"/>
      <c r="Z673" s="3157"/>
      <c r="AA673" s="3157"/>
      <c r="AB673" s="3157"/>
      <c r="AC673" s="3157"/>
      <c r="AD673" s="3157"/>
      <c r="AE673" s="315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57"/>
      <c r="G674" s="3157"/>
      <c r="H674" s="3157"/>
      <c r="I674" s="3157"/>
      <c r="J674" s="3157"/>
      <c r="K674" s="3157"/>
      <c r="L674" s="3157"/>
      <c r="M674" s="3157"/>
      <c r="N674" s="3157"/>
      <c r="O674" s="3157"/>
      <c r="P674" s="3157"/>
      <c r="Q674" s="3157"/>
      <c r="R674" s="3157"/>
      <c r="S674" s="3157"/>
      <c r="T674" s="3157"/>
      <c r="U674" s="3157"/>
      <c r="V674" s="3157"/>
      <c r="W674" s="3157"/>
      <c r="X674" s="3157"/>
      <c r="Y674" s="3157"/>
      <c r="Z674" s="3157"/>
      <c r="AA674" s="3157"/>
      <c r="AB674" s="3157"/>
      <c r="AC674" s="3157"/>
      <c r="AD674" s="3157"/>
      <c r="AE674" s="3157"/>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60"/>
      <c r="G675" s="3160"/>
      <c r="H675" s="3160"/>
      <c r="I675" s="3160"/>
      <c r="J675" s="3160"/>
      <c r="K675" s="3160"/>
      <c r="L675" s="3160"/>
      <c r="M675" s="3160"/>
      <c r="N675" s="3160"/>
      <c r="O675" s="3160"/>
      <c r="P675" s="3160"/>
      <c r="Q675" s="3160"/>
      <c r="R675" s="3160"/>
      <c r="S675" s="3160"/>
      <c r="T675" s="3160"/>
      <c r="U675" s="3160"/>
      <c r="V675" s="3160"/>
      <c r="W675" s="3160"/>
      <c r="X675" s="3160"/>
      <c r="Y675" s="3160"/>
      <c r="Z675" s="3160"/>
      <c r="AA675" s="3160"/>
      <c r="AB675" s="3160"/>
      <c r="AC675" s="3160"/>
      <c r="AD675" s="3160"/>
      <c r="AE675" s="316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61" t="s">
        <v>1809</v>
      </c>
      <c r="G677" s="3161"/>
      <c r="H677" s="3161"/>
      <c r="I677" s="3161"/>
      <c r="J677" s="3161"/>
      <c r="K677" s="3161"/>
      <c r="L677" s="3161"/>
      <c r="M677" s="3161"/>
      <c r="N677" s="3161"/>
      <c r="O677" s="3161"/>
      <c r="P677" s="3161"/>
      <c r="Q677" s="3161"/>
      <c r="R677" s="3161"/>
      <c r="S677" s="3161"/>
      <c r="T677" s="3161"/>
      <c r="U677" s="3161"/>
      <c r="V677" s="3161"/>
      <c r="W677" s="3161"/>
      <c r="X677" s="3161"/>
      <c r="Y677" s="3161"/>
      <c r="Z677" s="3161"/>
      <c r="AA677" s="3161"/>
      <c r="AB677" s="3161"/>
      <c r="AC677" s="3161"/>
      <c r="AD677" s="3161"/>
      <c r="AE677" s="3161"/>
      <c r="AF677" s="3161"/>
      <c r="AG677" s="1210"/>
      <c r="AH677" s="1175"/>
      <c r="AI677" s="1175"/>
      <c r="AJ677" s="1175"/>
      <c r="AK677" s="1175"/>
      <c r="AL677" s="1211"/>
      <c r="AM677" s="1136"/>
      <c r="AN677" s="1002"/>
    </row>
    <row r="678" spans="1:54" s="945" customFormat="1" ht="12.75" customHeight="1">
      <c r="A678" s="929"/>
      <c r="B678" s="51"/>
      <c r="C678" s="1194"/>
      <c r="D678" s="112"/>
      <c r="E678" s="1148"/>
      <c r="F678" s="3162"/>
      <c r="G678" s="3162"/>
      <c r="H678" s="3162"/>
      <c r="I678" s="3162"/>
      <c r="J678" s="3162"/>
      <c r="K678" s="3162"/>
      <c r="L678" s="3162"/>
      <c r="M678" s="3162"/>
      <c r="N678" s="3162"/>
      <c r="O678" s="3162"/>
      <c r="P678" s="3162"/>
      <c r="Q678" s="3162"/>
      <c r="R678" s="3162"/>
      <c r="S678" s="3162"/>
      <c r="T678" s="3162"/>
      <c r="U678" s="3162"/>
      <c r="V678" s="3162"/>
      <c r="W678" s="3162"/>
      <c r="X678" s="3162"/>
      <c r="Y678" s="3162"/>
      <c r="Z678" s="3162"/>
      <c r="AA678" s="3162"/>
      <c r="AB678" s="3162"/>
      <c r="AC678" s="3162"/>
      <c r="AD678" s="3162"/>
      <c r="AE678" s="3162"/>
      <c r="AF678" s="3162"/>
      <c r="AG678" s="1027"/>
      <c r="AH678" s="1027"/>
      <c r="AI678" s="1027"/>
      <c r="AJ678" s="1027"/>
      <c r="AK678" s="1027"/>
      <c r="AL678" s="1195"/>
      <c r="AM678" s="1136"/>
      <c r="AN678" s="1002"/>
    </row>
    <row r="679" spans="1:54" s="945" customFormat="1" ht="12.75" customHeight="1">
      <c r="A679" s="929"/>
      <c r="B679" s="51"/>
      <c r="C679" s="1203"/>
      <c r="D679" s="1027"/>
      <c r="E679" s="1027"/>
      <c r="F679" s="3162"/>
      <c r="G679" s="3162"/>
      <c r="H679" s="3162"/>
      <c r="I679" s="3162"/>
      <c r="J679" s="3162"/>
      <c r="K679" s="3162"/>
      <c r="L679" s="3162"/>
      <c r="M679" s="3162"/>
      <c r="N679" s="3162"/>
      <c r="O679" s="3162"/>
      <c r="P679" s="3162"/>
      <c r="Q679" s="3162"/>
      <c r="R679" s="3162"/>
      <c r="S679" s="3162"/>
      <c r="T679" s="3162"/>
      <c r="U679" s="3162"/>
      <c r="V679" s="3162"/>
      <c r="W679" s="3162"/>
      <c r="X679" s="3162"/>
      <c r="Y679" s="3162"/>
      <c r="Z679" s="3162"/>
      <c r="AA679" s="3162"/>
      <c r="AB679" s="3162"/>
      <c r="AC679" s="3162"/>
      <c r="AD679" s="3162"/>
      <c r="AE679" s="3162"/>
      <c r="AF679" s="3162"/>
      <c r="AG679" s="1027"/>
      <c r="AH679" s="1027"/>
      <c r="AI679" s="1027"/>
      <c r="AJ679" s="1027"/>
      <c r="AK679" s="1027"/>
      <c r="AL679" s="1195"/>
      <c r="AM679" s="1136"/>
      <c r="AN679" s="1002"/>
    </row>
    <row r="680" spans="1:54" s="945" customFormat="1" ht="12.75" customHeight="1">
      <c r="A680" s="929"/>
      <c r="B680" s="51"/>
      <c r="C680" s="1203"/>
      <c r="D680" s="1027"/>
      <c r="E680" s="1027"/>
      <c r="F680" s="3162"/>
      <c r="G680" s="3162"/>
      <c r="H680" s="3162"/>
      <c r="I680" s="3162"/>
      <c r="J680" s="3162"/>
      <c r="K680" s="3162"/>
      <c r="L680" s="3162"/>
      <c r="M680" s="3162"/>
      <c r="N680" s="3162"/>
      <c r="O680" s="3162"/>
      <c r="P680" s="3162"/>
      <c r="Q680" s="3162"/>
      <c r="R680" s="3162"/>
      <c r="S680" s="3162"/>
      <c r="T680" s="3162"/>
      <c r="U680" s="3162"/>
      <c r="V680" s="3162"/>
      <c r="W680" s="3162"/>
      <c r="X680" s="3162"/>
      <c r="Y680" s="3162"/>
      <c r="Z680" s="3162"/>
      <c r="AA680" s="3162"/>
      <c r="AB680" s="3162"/>
      <c r="AC680" s="3162"/>
      <c r="AD680" s="3162"/>
      <c r="AE680" s="3162"/>
      <c r="AF680" s="3162"/>
      <c r="AG680" s="1027"/>
      <c r="AH680" s="1027"/>
      <c r="AI680" s="1027"/>
      <c r="AJ680" s="1027"/>
      <c r="AK680" s="1027"/>
      <c r="AL680" s="1195"/>
      <c r="AM680" s="1136"/>
      <c r="AN680" s="1002"/>
    </row>
    <row r="681" spans="1:54" s="945" customFormat="1" ht="12.75" customHeight="1">
      <c r="A681" s="929"/>
      <c r="B681" s="51"/>
      <c r="C681" s="3153" t="s">
        <v>626</v>
      </c>
      <c r="D681" s="3095"/>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54" t="s">
        <v>1763</v>
      </c>
      <c r="AG681" s="3154"/>
      <c r="AH681" s="3154"/>
      <c r="AI681" s="3154"/>
      <c r="AJ681" s="3154"/>
      <c r="AK681" s="3154"/>
      <c r="AL681" s="315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103">
        <f>IF(AS575=0,AS573,AS575)</f>
        <v>12</v>
      </c>
      <c r="AL684" s="3104"/>
      <c r="AM684" s="310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9" t="s">
        <v>1813</v>
      </c>
      <c r="AF687" s="3169"/>
      <c r="AG687" s="3169"/>
      <c r="AH687" s="3169"/>
      <c r="AI687" s="3169"/>
      <c r="AJ687" s="3169"/>
      <c r="AK687" s="3169"/>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70" t="s">
        <v>626</v>
      </c>
      <c r="D693" s="3171"/>
      <c r="E693" s="1250" t="s">
        <v>540</v>
      </c>
      <c r="F693" s="3172" t="s">
        <v>1819</v>
      </c>
      <c r="G693" s="3172"/>
      <c r="H693" s="3172"/>
      <c r="I693" s="3172"/>
      <c r="J693" s="3172"/>
      <c r="K693" s="3172"/>
      <c r="L693" s="3172"/>
      <c r="M693" s="3172"/>
      <c r="N693" s="3172"/>
      <c r="O693" s="3172"/>
      <c r="P693" s="3172"/>
      <c r="Q693" s="3172"/>
      <c r="R693" s="3172"/>
      <c r="S693" s="3172"/>
      <c r="T693" s="3172"/>
      <c r="U693" s="3172"/>
      <c r="V693" s="3172"/>
      <c r="W693" s="3172"/>
      <c r="X693" s="3172"/>
      <c r="Y693" s="3172"/>
      <c r="Z693" s="3172"/>
      <c r="AA693" s="3172"/>
      <c r="AB693" s="3172"/>
      <c r="AC693" s="3172"/>
      <c r="AD693" s="3172"/>
      <c r="AE693" s="3172"/>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73"/>
      <c r="G694" s="3173"/>
      <c r="H694" s="3173"/>
      <c r="I694" s="3173"/>
      <c r="J694" s="3173"/>
      <c r="K694" s="3173"/>
      <c r="L694" s="3173"/>
      <c r="M694" s="3173"/>
      <c r="N694" s="3173"/>
      <c r="O694" s="3173"/>
      <c r="P694" s="3173"/>
      <c r="Q694" s="3173"/>
      <c r="R694" s="3173"/>
      <c r="S694" s="3173"/>
      <c r="T694" s="3173"/>
      <c r="U694" s="3173"/>
      <c r="V694" s="3173"/>
      <c r="W694" s="3173"/>
      <c r="X694" s="3173"/>
      <c r="Y694" s="3173"/>
      <c r="Z694" s="3173"/>
      <c r="AA694" s="3173"/>
      <c r="AB694" s="3173"/>
      <c r="AC694" s="3173"/>
      <c r="AD694" s="3173"/>
      <c r="AE694" s="3173"/>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74" t="s">
        <v>626</v>
      </c>
      <c r="G695" s="3174"/>
      <c r="H695" s="3174"/>
      <c r="I695" s="3174"/>
      <c r="J695" s="3174"/>
      <c r="K695" s="3174"/>
      <c r="L695" s="3174"/>
      <c r="M695" s="3174"/>
      <c r="N695" s="3174"/>
      <c r="O695" s="3174"/>
      <c r="P695" s="3174"/>
      <c r="Q695" s="3174"/>
      <c r="R695" s="3174"/>
      <c r="S695" s="3174"/>
      <c r="T695" s="3174"/>
      <c r="U695" s="3174"/>
      <c r="V695" s="3174"/>
      <c r="W695" s="3174"/>
      <c r="X695" s="3174"/>
      <c r="Y695" s="3174"/>
      <c r="Z695" s="3174"/>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75" t="s">
        <v>578</v>
      </c>
      <c r="D697" s="3176"/>
      <c r="E697" s="1250" t="s">
        <v>800</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68" t="s">
        <v>626</v>
      </c>
      <c r="W700" s="3168"/>
      <c r="X700" s="3168"/>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68" t="s">
        <v>626</v>
      </c>
      <c r="W702" s="3168"/>
      <c r="X702" s="3168"/>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68" t="s">
        <v>626</v>
      </c>
      <c r="W707" s="3168"/>
      <c r="X707" s="3168"/>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67"/>
      <c r="E710" s="3167"/>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68" t="s">
        <v>626</v>
      </c>
      <c r="W711" s="3168"/>
      <c r="X711" s="3168"/>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68" t="s">
        <v>626</v>
      </c>
      <c r="W713" s="3168"/>
      <c r="X713" s="3168"/>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70" t="s">
        <v>626</v>
      </c>
      <c r="D716" s="3171"/>
      <c r="E716" s="1250" t="s">
        <v>540</v>
      </c>
      <c r="F716" s="3172" t="s">
        <v>1819</v>
      </c>
      <c r="G716" s="3172"/>
      <c r="H716" s="3172"/>
      <c r="I716" s="3172"/>
      <c r="J716" s="3172"/>
      <c r="K716" s="3172"/>
      <c r="L716" s="3172"/>
      <c r="M716" s="3172"/>
      <c r="N716" s="3172"/>
      <c r="O716" s="3172"/>
      <c r="P716" s="3172"/>
      <c r="Q716" s="3172"/>
      <c r="R716" s="3172"/>
      <c r="S716" s="3172"/>
      <c r="T716" s="3172"/>
      <c r="U716" s="3172"/>
      <c r="V716" s="3172"/>
      <c r="W716" s="3172"/>
      <c r="X716" s="3172"/>
      <c r="Y716" s="3172"/>
      <c r="Z716" s="3172"/>
      <c r="AA716" s="3172"/>
      <c r="AB716" s="3172"/>
      <c r="AC716" s="3172"/>
      <c r="AD716" s="3172"/>
      <c r="AE716" s="317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73"/>
      <c r="G717" s="3173"/>
      <c r="H717" s="3173"/>
      <c r="I717" s="3173"/>
      <c r="J717" s="3173"/>
      <c r="K717" s="3173"/>
      <c r="L717" s="3173"/>
      <c r="M717" s="3173"/>
      <c r="N717" s="3173"/>
      <c r="O717" s="3173"/>
      <c r="P717" s="3173"/>
      <c r="Q717" s="3173"/>
      <c r="R717" s="3173"/>
      <c r="S717" s="3173"/>
      <c r="T717" s="3173"/>
      <c r="U717" s="3173"/>
      <c r="V717" s="3173"/>
      <c r="W717" s="3173"/>
      <c r="X717" s="3173"/>
      <c r="Y717" s="3173"/>
      <c r="Z717" s="3173"/>
      <c r="AA717" s="3173"/>
      <c r="AB717" s="3173"/>
      <c r="AC717" s="3173"/>
      <c r="AD717" s="3173"/>
      <c r="AE717" s="317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83" t="s">
        <v>626</v>
      </c>
      <c r="G718" s="3183"/>
      <c r="H718" s="3183"/>
      <c r="I718" s="3183"/>
      <c r="J718" s="3183"/>
      <c r="K718" s="3183"/>
      <c r="L718" s="3183"/>
      <c r="M718" s="3183"/>
      <c r="N718" s="3183"/>
      <c r="O718" s="3183"/>
      <c r="P718" s="3183"/>
      <c r="Q718" s="3183"/>
      <c r="R718" s="3183"/>
      <c r="S718" s="3183"/>
      <c r="T718" s="3183"/>
      <c r="U718" s="3183"/>
      <c r="V718" s="3183"/>
      <c r="W718" s="3183"/>
      <c r="X718" s="3183"/>
      <c r="Y718" s="3183"/>
      <c r="Z718" s="3183"/>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70" t="s">
        <v>626</v>
      </c>
      <c r="D720" s="3171"/>
      <c r="E720" s="1250" t="s">
        <v>800</v>
      </c>
      <c r="F720" s="3184" t="s">
        <v>1841</v>
      </c>
      <c r="G720" s="3184"/>
      <c r="H720" s="3184"/>
      <c r="I720" s="3184"/>
      <c r="J720" s="3184"/>
      <c r="K720" s="3184"/>
      <c r="L720" s="3184"/>
      <c r="M720" s="3184"/>
      <c r="N720" s="3184"/>
      <c r="O720" s="3184"/>
      <c r="P720" s="3184"/>
      <c r="Q720" s="3184"/>
      <c r="R720" s="3184"/>
      <c r="S720" s="3184"/>
      <c r="T720" s="3184"/>
      <c r="U720" s="3184"/>
      <c r="V720" s="3184"/>
      <c r="W720" s="3184"/>
      <c r="X720" s="3184"/>
      <c r="Y720" s="3184"/>
      <c r="Z720" s="3184"/>
      <c r="AA720" s="3184"/>
      <c r="AB720" s="3184"/>
      <c r="AC720" s="3184"/>
      <c r="AD720" s="3184"/>
      <c r="AE720" s="318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85"/>
      <c r="G721" s="3185"/>
      <c r="H721" s="3185"/>
      <c r="I721" s="3185"/>
      <c r="J721" s="3185"/>
      <c r="K721" s="3185"/>
      <c r="L721" s="3185"/>
      <c r="M721" s="3185"/>
      <c r="N721" s="3185"/>
      <c r="O721" s="3185"/>
      <c r="P721" s="3185"/>
      <c r="Q721" s="3185"/>
      <c r="R721" s="3185"/>
      <c r="S721" s="3185"/>
      <c r="T721" s="3185"/>
      <c r="U721" s="3185"/>
      <c r="V721" s="3185"/>
      <c r="W721" s="3185"/>
      <c r="X721" s="3185"/>
      <c r="Y721" s="3185"/>
      <c r="Z721" s="3185"/>
      <c r="AA721" s="3185"/>
      <c r="AB721" s="3185"/>
      <c r="AC721" s="3185"/>
      <c r="AD721" s="3185"/>
      <c r="AE721" s="318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86" t="s">
        <v>626</v>
      </c>
      <c r="G723" s="3186"/>
      <c r="H723" s="318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70" t="s">
        <v>626</v>
      </c>
      <c r="D725" s="3171"/>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77"/>
      <c r="D727" s="3167"/>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78" t="s">
        <v>626</v>
      </c>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3178"/>
      <c r="AD728" s="3178"/>
      <c r="AE728" s="3178"/>
      <c r="AF728" s="3178"/>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9" t="s">
        <v>626</v>
      </c>
      <c r="D730" s="3180"/>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9" t="s">
        <v>626</v>
      </c>
      <c r="D734" s="3180"/>
      <c r="E734" s="1027"/>
      <c r="F734" s="1292" t="s">
        <v>1849</v>
      </c>
      <c r="G734" s="3181" t="s">
        <v>1850</v>
      </c>
      <c r="H734" s="3181"/>
      <c r="I734" s="3181"/>
      <c r="J734" s="3181"/>
      <c r="K734" s="3181"/>
      <c r="L734" s="3181"/>
      <c r="M734" s="3181"/>
      <c r="N734" s="3181"/>
      <c r="O734" s="3181"/>
      <c r="P734" s="3181"/>
      <c r="Q734" s="3181"/>
      <c r="R734" s="3181"/>
      <c r="S734" s="3181"/>
      <c r="T734" s="3181"/>
      <c r="U734" s="3181"/>
      <c r="V734" s="3181"/>
      <c r="W734" s="3181"/>
      <c r="X734" s="3181"/>
      <c r="Y734" s="3181"/>
      <c r="Z734" s="3181"/>
      <c r="AA734" s="3181"/>
      <c r="AB734" s="3181"/>
      <c r="AC734" s="3181"/>
      <c r="AD734" s="3181"/>
      <c r="AE734" s="3181"/>
      <c r="AF734" s="3181"/>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82"/>
      <c r="H735" s="3182"/>
      <c r="I735" s="3182"/>
      <c r="J735" s="3182"/>
      <c r="K735" s="3182"/>
      <c r="L735" s="3182"/>
      <c r="M735" s="3182"/>
      <c r="N735" s="3182"/>
      <c r="O735" s="3182"/>
      <c r="P735" s="3182"/>
      <c r="Q735" s="3182"/>
      <c r="R735" s="3182"/>
      <c r="S735" s="3182"/>
      <c r="T735" s="3182"/>
      <c r="U735" s="3182"/>
      <c r="V735" s="3182"/>
      <c r="W735" s="3182"/>
      <c r="X735" s="3182"/>
      <c r="Y735" s="3182"/>
      <c r="Z735" s="3182"/>
      <c r="AA735" s="3182"/>
      <c r="AB735" s="3182"/>
      <c r="AC735" s="3182"/>
      <c r="AD735" s="3182"/>
      <c r="AE735" s="3182"/>
      <c r="AF735" s="3182"/>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94" t="s">
        <v>626</v>
      </c>
      <c r="D738" s="3195"/>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96" t="s">
        <v>626</v>
      </c>
      <c r="G739" s="3196"/>
      <c r="H739" s="3196"/>
      <c r="I739" s="3196"/>
      <c r="J739" s="3196"/>
      <c r="K739" s="3196"/>
      <c r="L739" s="3196"/>
      <c r="M739" s="3196"/>
      <c r="N739" s="3196"/>
      <c r="O739" s="3196"/>
      <c r="P739" s="3196"/>
      <c r="Q739" s="3196"/>
      <c r="R739" s="3196"/>
      <c r="S739" s="3196"/>
      <c r="T739" s="3196"/>
      <c r="U739" s="3196"/>
      <c r="V739" s="3196"/>
      <c r="W739" s="3196"/>
      <c r="X739" s="3196"/>
      <c r="Y739" s="3196"/>
      <c r="Z739" s="3196"/>
      <c r="AA739" s="3196"/>
      <c r="AB739" s="3196"/>
      <c r="AC739" s="3196"/>
      <c r="AD739" s="3196"/>
      <c r="AE739" s="3196"/>
      <c r="AF739" s="319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97"/>
      <c r="G740" s="3197"/>
      <c r="H740" s="3197"/>
      <c r="I740" s="3197"/>
      <c r="J740" s="3197"/>
      <c r="K740" s="3197"/>
      <c r="L740" s="3197"/>
      <c r="M740" s="3197"/>
      <c r="N740" s="3197"/>
      <c r="O740" s="3197"/>
      <c r="P740" s="3197"/>
      <c r="Q740" s="3197"/>
      <c r="R740" s="3197"/>
      <c r="S740" s="3197"/>
      <c r="T740" s="3197"/>
      <c r="U740" s="3197"/>
      <c r="V740" s="3197"/>
      <c r="W740" s="3197"/>
      <c r="X740" s="3197"/>
      <c r="Y740" s="3197"/>
      <c r="Z740" s="3197"/>
      <c r="AA740" s="3197"/>
      <c r="AB740" s="3197"/>
      <c r="AC740" s="3197"/>
      <c r="AD740" s="3197"/>
      <c r="AE740" s="3197"/>
      <c r="AF740" s="319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103">
        <f>SUM(AG694:AG739)</f>
        <v>0</v>
      </c>
      <c r="AL750" s="3104"/>
      <c r="AM750" s="310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7" t="s">
        <v>1864</v>
      </c>
      <c r="AF753" s="3087"/>
      <c r="AG753" s="3087"/>
      <c r="AH753" s="3087"/>
      <c r="AI753" s="3087"/>
      <c r="AJ753" s="3087"/>
      <c r="AK753" s="3087"/>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95" t="s">
        <v>578</v>
      </c>
      <c r="D756" s="3095"/>
      <c r="E756" s="946"/>
      <c r="F756" s="3198" t="s">
        <v>1865</v>
      </c>
      <c r="G756" s="3199"/>
      <c r="H756" s="3199"/>
      <c r="I756" s="3199"/>
      <c r="J756" s="3199"/>
      <c r="K756" s="3199"/>
      <c r="L756" s="3199"/>
      <c r="M756" s="3199"/>
      <c r="N756" s="3199"/>
      <c r="O756" s="3199"/>
      <c r="P756" s="3199"/>
      <c r="Q756" s="3199"/>
      <c r="R756" s="3199"/>
      <c r="S756" s="3199"/>
      <c r="T756" s="3199"/>
      <c r="U756" s="3199"/>
      <c r="V756" s="3199"/>
      <c r="W756" s="3199"/>
      <c r="X756" s="3199"/>
      <c r="Y756" s="3199"/>
      <c r="Z756" s="3199"/>
      <c r="AA756" s="3199"/>
      <c r="AB756" s="3199"/>
      <c r="AC756" s="3199"/>
      <c r="AD756" s="3199"/>
      <c r="AE756" s="3199"/>
      <c r="AF756" s="3199"/>
      <c r="AG756" s="3199"/>
      <c r="AH756" s="3199"/>
      <c r="AI756" s="3199"/>
      <c r="AJ756" s="3199"/>
      <c r="AK756" s="3199"/>
      <c r="AL756" s="3200"/>
      <c r="AM756" s="1007"/>
      <c r="AN756" s="1002"/>
    </row>
    <row r="757" spans="1:49" s="945" customFormat="1" ht="12.75" customHeight="1">
      <c r="A757" s="1014"/>
      <c r="B757" s="1014"/>
      <c r="C757" s="946"/>
      <c r="D757" s="946"/>
      <c r="E757" s="946"/>
      <c r="F757" s="3201"/>
      <c r="G757" s="3202"/>
      <c r="H757" s="3202"/>
      <c r="I757" s="3202"/>
      <c r="J757" s="3202"/>
      <c r="K757" s="3202"/>
      <c r="L757" s="3202"/>
      <c r="M757" s="3202"/>
      <c r="N757" s="3202"/>
      <c r="O757" s="3202"/>
      <c r="P757" s="3202"/>
      <c r="Q757" s="3202"/>
      <c r="R757" s="3202"/>
      <c r="S757" s="3202"/>
      <c r="T757" s="3202"/>
      <c r="U757" s="3202"/>
      <c r="V757" s="3202"/>
      <c r="W757" s="3202"/>
      <c r="X757" s="3202"/>
      <c r="Y757" s="3202"/>
      <c r="Z757" s="3202"/>
      <c r="AA757" s="3202"/>
      <c r="AB757" s="3202"/>
      <c r="AC757" s="3202"/>
      <c r="AD757" s="3202"/>
      <c r="AE757" s="3202"/>
      <c r="AF757" s="3202"/>
      <c r="AG757" s="3202"/>
      <c r="AH757" s="3202"/>
      <c r="AI757" s="3202"/>
      <c r="AJ757" s="3202"/>
      <c r="AK757" s="3202"/>
      <c r="AL757" s="3203"/>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95" t="s">
        <v>626</v>
      </c>
      <c r="D759" s="3095"/>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87" t="s">
        <v>1867</v>
      </c>
      <c r="G760" s="3188"/>
      <c r="H760" s="3188"/>
      <c r="I760" s="3188"/>
      <c r="J760" s="3188"/>
      <c r="K760" s="3188"/>
      <c r="L760" s="3188"/>
      <c r="M760" s="3188"/>
      <c r="N760" s="3188"/>
      <c r="O760" s="3188"/>
      <c r="P760" s="3188"/>
      <c r="Q760" s="3188"/>
      <c r="R760" s="3188"/>
      <c r="S760" s="3188"/>
      <c r="T760" s="3188"/>
      <c r="U760" s="3188"/>
      <c r="V760" s="3188"/>
      <c r="W760" s="3188"/>
      <c r="X760" s="3188"/>
      <c r="Y760" s="3188"/>
      <c r="Z760" s="3188"/>
      <c r="AA760" s="3188"/>
      <c r="AB760" s="3188"/>
      <c r="AC760" s="3188"/>
      <c r="AD760" s="3188"/>
      <c r="AE760" s="3188"/>
      <c r="AF760" s="3188"/>
      <c r="AG760" s="3188"/>
      <c r="AH760" s="3188"/>
      <c r="AI760" s="3188"/>
      <c r="AJ760" s="3188"/>
      <c r="AK760" s="3188"/>
      <c r="AL760" s="3189"/>
      <c r="AM760" s="1007"/>
      <c r="AN760" s="1002"/>
      <c r="AS760" s="1485"/>
      <c r="AT760" s="1485"/>
      <c r="AU760" s="1485"/>
      <c r="AV760" s="1485"/>
      <c r="AW760" s="1485"/>
    </row>
    <row r="761" spans="1:49" s="945" customFormat="1" ht="12.75" customHeight="1">
      <c r="A761" s="1028"/>
      <c r="B761" s="1307"/>
      <c r="C761" s="1307"/>
      <c r="D761" s="1307"/>
      <c r="E761" s="1307"/>
      <c r="F761" s="3187"/>
      <c r="G761" s="3188"/>
      <c r="H761" s="3188"/>
      <c r="I761" s="3188"/>
      <c r="J761" s="3188"/>
      <c r="K761" s="3188"/>
      <c r="L761" s="3188"/>
      <c r="M761" s="3188"/>
      <c r="N761" s="3188"/>
      <c r="O761" s="3188"/>
      <c r="P761" s="3188"/>
      <c r="Q761" s="3188"/>
      <c r="R761" s="3188"/>
      <c r="S761" s="3188"/>
      <c r="T761" s="3188"/>
      <c r="U761" s="3188"/>
      <c r="V761" s="3188"/>
      <c r="W761" s="3188"/>
      <c r="X761" s="3188"/>
      <c r="Y761" s="3188"/>
      <c r="Z761" s="3188"/>
      <c r="AA761" s="3188"/>
      <c r="AB761" s="3188"/>
      <c r="AC761" s="3188"/>
      <c r="AD761" s="3188"/>
      <c r="AE761" s="3188"/>
      <c r="AF761" s="3188"/>
      <c r="AG761" s="3188"/>
      <c r="AH761" s="3188"/>
      <c r="AI761" s="3188"/>
      <c r="AJ761" s="3188"/>
      <c r="AK761" s="3188"/>
      <c r="AL761" s="3189"/>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87" t="s">
        <v>1869</v>
      </c>
      <c r="G763" s="3188"/>
      <c r="H763" s="3188"/>
      <c r="I763" s="3188"/>
      <c r="J763" s="3188"/>
      <c r="K763" s="3188"/>
      <c r="L763" s="3188"/>
      <c r="M763" s="3188"/>
      <c r="N763" s="3188"/>
      <c r="O763" s="3188"/>
      <c r="P763" s="3188"/>
      <c r="Q763" s="3188"/>
      <c r="R763" s="3188"/>
      <c r="S763" s="3188"/>
      <c r="T763" s="3188"/>
      <c r="U763" s="3188"/>
      <c r="V763" s="3188"/>
      <c r="W763" s="3188"/>
      <c r="X763" s="3188"/>
      <c r="Y763" s="3188"/>
      <c r="Z763" s="3188"/>
      <c r="AA763" s="3188"/>
      <c r="AB763" s="3188"/>
      <c r="AC763" s="3188"/>
      <c r="AD763" s="3188"/>
      <c r="AE763" s="3188"/>
      <c r="AF763" s="3188"/>
      <c r="AG763" s="3188"/>
      <c r="AH763" s="3188"/>
      <c r="AI763" s="3188"/>
      <c r="AJ763" s="3188"/>
      <c r="AK763" s="3188"/>
      <c r="AL763" s="1316"/>
      <c r="AM763" s="1007"/>
      <c r="AN763" s="1002"/>
      <c r="AT763" s="1091"/>
      <c r="AU763" s="1091"/>
      <c r="AV763" s="1091"/>
    </row>
    <row r="764" spans="1:49" s="945" customFormat="1" ht="12.75" customHeight="1">
      <c r="A764" s="1028"/>
      <c r="B764" s="1307"/>
      <c r="C764" s="1307"/>
      <c r="D764" s="1307"/>
      <c r="E764" s="1307"/>
      <c r="F764" s="3190"/>
      <c r="G764" s="3191"/>
      <c r="H764" s="3191"/>
      <c r="I764" s="3191"/>
      <c r="J764" s="3191"/>
      <c r="K764" s="3191"/>
      <c r="L764" s="3191"/>
      <c r="M764" s="3191"/>
      <c r="N764" s="3191"/>
      <c r="O764" s="3191"/>
      <c r="P764" s="3191"/>
      <c r="Q764" s="3191"/>
      <c r="R764" s="3191"/>
      <c r="S764" s="3191"/>
      <c r="T764" s="3191"/>
      <c r="U764" s="3191"/>
      <c r="V764" s="3191"/>
      <c r="W764" s="3191"/>
      <c r="X764" s="3191"/>
      <c r="Y764" s="3191"/>
      <c r="Z764" s="3191"/>
      <c r="AA764" s="3191"/>
      <c r="AB764" s="3191"/>
      <c r="AC764" s="3191"/>
      <c r="AD764" s="3191"/>
      <c r="AE764" s="3191"/>
      <c r="AF764" s="3191"/>
      <c r="AG764" s="3191"/>
      <c r="AH764" s="3191"/>
      <c r="AI764" s="3191"/>
      <c r="AJ764" s="3191"/>
      <c r="AK764" s="319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9">
        <f>Application!AJ975</f>
        <v>74181344</v>
      </c>
      <c r="AQ765" s="3259"/>
      <c r="AR765" s="3259"/>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06">
        <f>'Sources and Uses Budget'!S107+'Sources and Uses Budget'!T107</f>
        <v>57750781</v>
      </c>
      <c r="AG766" s="3106"/>
      <c r="AH766" s="3106"/>
      <c r="AI766" s="3106"/>
      <c r="AJ766" s="3106"/>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92">
        <f>AP774</f>
        <v>96435747.200000003</v>
      </c>
      <c r="AG767" s="3192"/>
      <c r="AH767" s="3192"/>
      <c r="AI767" s="3192"/>
      <c r="AJ767" s="3192"/>
      <c r="AK767" s="1007"/>
      <c r="AL767" s="1007"/>
      <c r="AM767" s="1007"/>
      <c r="AN767" s="1002"/>
      <c r="AP767" s="3259">
        <f>Application!AJ1024</f>
        <v>7418134.4000000004</v>
      </c>
      <c r="AQ767" s="3259"/>
      <c r="AR767" s="325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93">
        <f>ROUNDDOWN(IF(C759="YES",((1-(AF766/AF767))*2),(1-(AF766/AF767))),2)</f>
        <v>0.4</v>
      </c>
      <c r="AG768" s="3193"/>
      <c r="AH768" s="3193"/>
      <c r="AI768" s="3193"/>
      <c r="AJ768" s="3193"/>
      <c r="AK768" s="1007"/>
      <c r="AL768" s="1007"/>
      <c r="AM768" s="1007"/>
      <c r="AN768" s="1002"/>
      <c r="AP768" s="3274">
        <f>Application!AJ1028</f>
        <v>14836268.800000001</v>
      </c>
      <c r="AQ768" s="3274"/>
      <c r="AR768" s="327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60">
        <f>IF(((AP767+AP768)/AP765)&gt;0.8,0.8,((AP767+AP768)/AP765))</f>
        <v>0.30000000000000004</v>
      </c>
      <c r="AQ769" s="3260"/>
      <c r="AR769" s="3260"/>
    </row>
    <row r="770" spans="1:44" s="945" customFormat="1" ht="12.75" customHeight="1">
      <c r="A770" s="1050"/>
      <c r="B770" s="3211" t="s">
        <v>1872</v>
      </c>
      <c r="C770" s="3212"/>
      <c r="D770" s="3212"/>
      <c r="E770" s="3212"/>
      <c r="F770" s="3212"/>
      <c r="G770" s="3212"/>
      <c r="H770" s="3212"/>
      <c r="I770" s="3212"/>
      <c r="J770" s="3212"/>
      <c r="K770" s="3212"/>
      <c r="L770" s="3212"/>
      <c r="M770" s="3212"/>
      <c r="N770" s="3212"/>
      <c r="O770" s="3212"/>
      <c r="P770" s="3212"/>
      <c r="Q770" s="3212"/>
      <c r="R770" s="3212"/>
      <c r="S770" s="3212"/>
      <c r="T770" s="3212"/>
      <c r="U770" s="3212"/>
      <c r="V770" s="3212"/>
      <c r="W770" s="3212"/>
      <c r="X770" s="3212"/>
      <c r="Y770" s="3212"/>
      <c r="Z770" s="3212"/>
      <c r="AA770" s="3212"/>
      <c r="AB770" s="3212"/>
      <c r="AC770" s="3212"/>
      <c r="AD770" s="3212"/>
      <c r="AE770" s="3212"/>
      <c r="AF770" s="3212"/>
      <c r="AG770" s="3212"/>
      <c r="AH770" s="3212"/>
      <c r="AI770" s="3212"/>
      <c r="AJ770" s="3213"/>
      <c r="AK770" s="1007"/>
      <c r="AL770" s="1007"/>
      <c r="AM770" s="1007"/>
      <c r="AN770" s="1002"/>
    </row>
    <row r="771" spans="1:44" s="945" customFormat="1" ht="12.75" customHeight="1">
      <c r="A771" s="1050"/>
      <c r="B771" s="3214"/>
      <c r="C771" s="3215"/>
      <c r="D771" s="3215"/>
      <c r="E771" s="3215"/>
      <c r="F771" s="3215"/>
      <c r="G771" s="3215"/>
      <c r="H771" s="3215"/>
      <c r="I771" s="3215"/>
      <c r="J771" s="3215"/>
      <c r="K771" s="3215"/>
      <c r="L771" s="3215"/>
      <c r="M771" s="3215"/>
      <c r="N771" s="3215"/>
      <c r="O771" s="3215"/>
      <c r="P771" s="3215"/>
      <c r="Q771" s="3215"/>
      <c r="R771" s="3215"/>
      <c r="S771" s="3215"/>
      <c r="T771" s="3215"/>
      <c r="U771" s="3215"/>
      <c r="V771" s="3215"/>
      <c r="W771" s="3215"/>
      <c r="X771" s="3215"/>
      <c r="Y771" s="3215"/>
      <c r="Z771" s="3215"/>
      <c r="AA771" s="3215"/>
      <c r="AB771" s="3215"/>
      <c r="AC771" s="3215"/>
      <c r="AD771" s="3215"/>
      <c r="AE771" s="3215"/>
      <c r="AF771" s="3215"/>
      <c r="AG771" s="3215"/>
      <c r="AH771" s="3215"/>
      <c r="AI771" s="3215"/>
      <c r="AJ771" s="3216"/>
      <c r="AK771" s="1007"/>
      <c r="AL771" s="1007"/>
      <c r="AM771" s="1007"/>
      <c r="AN771" s="1002"/>
      <c r="AP771" s="3259">
        <f>AP772-AP767-AP768</f>
        <v>74181344</v>
      </c>
      <c r="AQ771" s="3261"/>
      <c r="AR771" s="3261"/>
    </row>
    <row r="772" spans="1:44" s="945" customFormat="1" ht="12.75" customHeight="1">
      <c r="A772" s="1050"/>
      <c r="B772" s="3217"/>
      <c r="C772" s="3218"/>
      <c r="D772" s="3218"/>
      <c r="E772" s="3218"/>
      <c r="F772" s="3218"/>
      <c r="G772" s="3218"/>
      <c r="H772" s="3218"/>
      <c r="I772" s="3218"/>
      <c r="J772" s="3218"/>
      <c r="K772" s="3218"/>
      <c r="L772" s="3218"/>
      <c r="M772" s="3218"/>
      <c r="N772" s="3218"/>
      <c r="O772" s="3218"/>
      <c r="P772" s="3218"/>
      <c r="Q772" s="3218"/>
      <c r="R772" s="3218"/>
      <c r="S772" s="3218"/>
      <c r="T772" s="3218"/>
      <c r="U772" s="3218"/>
      <c r="V772" s="3218"/>
      <c r="W772" s="3218"/>
      <c r="X772" s="3218"/>
      <c r="Y772" s="3218"/>
      <c r="Z772" s="3218"/>
      <c r="AA772" s="3218"/>
      <c r="AB772" s="3218"/>
      <c r="AC772" s="3218"/>
      <c r="AD772" s="3218"/>
      <c r="AE772" s="3218"/>
      <c r="AF772" s="3218"/>
      <c r="AG772" s="3218"/>
      <c r="AH772" s="3218"/>
      <c r="AI772" s="3218"/>
      <c r="AJ772" s="3219"/>
      <c r="AK772" s="1007"/>
      <c r="AL772" s="1007"/>
      <c r="AM772" s="1007"/>
      <c r="AN772" s="1002"/>
      <c r="AP772" s="3259">
        <f>Application!AJ1032</f>
        <v>96435747.200000003</v>
      </c>
      <c r="AQ772" s="3259"/>
      <c r="AR772" s="325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220">
        <f>IF(AF768=0,0,IF((AF768*100)&gt;12,12,(AF768*100)))</f>
        <v>12</v>
      </c>
      <c r="AL774" s="3220"/>
      <c r="AM774" s="3221"/>
      <c r="AN774" s="1002"/>
      <c r="AP774" s="3266">
        <f>AP771+(AP765*AP769)</f>
        <v>96435747.200000003</v>
      </c>
      <c r="AQ774" s="3267"/>
      <c r="AR774" s="326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22" t="s">
        <v>1874</v>
      </c>
      <c r="B777" s="3223"/>
      <c r="C777" s="3223"/>
      <c r="D777" s="3223"/>
      <c r="E777" s="3223"/>
      <c r="F777" s="3223"/>
      <c r="G777" s="3223"/>
      <c r="H777" s="3223"/>
      <c r="I777" s="3223"/>
      <c r="J777" s="3223"/>
      <c r="K777" s="3223"/>
      <c r="L777" s="3223"/>
      <c r="M777" s="3223"/>
      <c r="N777" s="3223"/>
      <c r="O777" s="3223"/>
      <c r="P777" s="3223"/>
      <c r="Q777" s="3223"/>
      <c r="R777" s="3223"/>
      <c r="S777" s="3223"/>
      <c r="T777" s="3223"/>
      <c r="U777" s="3223"/>
      <c r="V777" s="3223"/>
      <c r="W777" s="3223"/>
      <c r="X777" s="3223"/>
      <c r="Y777" s="3223"/>
      <c r="Z777" s="3223"/>
      <c r="AA777" s="3223"/>
      <c r="AB777" s="3223"/>
      <c r="AC777" s="3223"/>
      <c r="AD777" s="3223"/>
      <c r="AE777" s="3223"/>
      <c r="AF777" s="3223"/>
      <c r="AG777" s="3223"/>
      <c r="AH777" s="3223"/>
      <c r="AI777" s="3223"/>
      <c r="AJ777" s="3223"/>
      <c r="AK777" s="3223"/>
      <c r="AL777" s="3223"/>
      <c r="AM777" s="3223"/>
    </row>
    <row r="778" spans="1:44">
      <c r="A778" s="3224"/>
      <c r="B778" s="3224"/>
      <c r="C778" s="3224"/>
      <c r="D778" s="3224"/>
      <c r="E778" s="3224"/>
      <c r="F778" s="3224"/>
      <c r="G778" s="3224"/>
      <c r="H778" s="3224"/>
      <c r="I778" s="3224"/>
      <c r="J778" s="3224"/>
      <c r="K778" s="3224"/>
      <c r="L778" s="3224"/>
      <c r="M778" s="3224"/>
      <c r="N778" s="3224"/>
      <c r="O778" s="3224"/>
      <c r="P778" s="3224"/>
      <c r="Q778" s="3224"/>
      <c r="R778" s="3224"/>
      <c r="S778" s="3224"/>
      <c r="T778" s="3224"/>
      <c r="U778" s="3224"/>
      <c r="V778" s="3224"/>
      <c r="W778" s="3224"/>
      <c r="X778" s="3224"/>
      <c r="Y778" s="3224"/>
      <c r="Z778" s="3224"/>
      <c r="AA778" s="3224"/>
      <c r="AB778" s="3224"/>
      <c r="AC778" s="3224"/>
      <c r="AD778" s="3224"/>
      <c r="AE778" s="3224"/>
      <c r="AF778" s="3224"/>
      <c r="AG778" s="3224"/>
      <c r="AH778" s="3224"/>
      <c r="AI778" s="3224"/>
      <c r="AJ778" s="3224"/>
      <c r="AK778" s="3224"/>
      <c r="AL778" s="3224"/>
      <c r="AM778" s="3224"/>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69"/>
      <c r="B780" s="3169"/>
      <c r="C780" s="3169"/>
      <c r="D780" s="3169"/>
      <c r="E780" s="3169"/>
      <c r="F780" s="3169"/>
      <c r="G780" s="3169"/>
      <c r="H780" s="3169"/>
      <c r="I780" s="3169"/>
      <c r="J780" s="3169"/>
      <c r="K780" s="3169"/>
      <c r="L780" s="3169"/>
      <c r="M780" s="3169"/>
      <c r="N780" s="3169"/>
      <c r="O780" s="3169"/>
      <c r="P780" s="3169"/>
      <c r="Q780" s="3169"/>
      <c r="R780" s="3169"/>
      <c r="S780" s="3169"/>
      <c r="T780" s="3169"/>
      <c r="U780" s="3169"/>
      <c r="V780" s="3169"/>
      <c r="W780" s="3169"/>
      <c r="X780" s="3169"/>
      <c r="Y780" s="3169"/>
      <c r="Z780" s="3169"/>
      <c r="AA780" s="3169"/>
      <c r="AB780" s="3169"/>
      <c r="AC780" s="3169"/>
      <c r="AD780" s="3169"/>
      <c r="AE780" s="3169"/>
      <c r="AF780" s="3169"/>
      <c r="AG780" s="3169"/>
      <c r="AH780" s="3169"/>
      <c r="AI780" s="3169"/>
      <c r="AJ780" s="3169"/>
      <c r="AK780" s="3169"/>
      <c r="AL780" s="3169"/>
      <c r="AM780" s="3169"/>
      <c r="AO780" s="1229"/>
      <c r="AP780" s="1322"/>
      <c r="AQ780" s="1321"/>
    </row>
    <row r="781" spans="1:44">
      <c r="A781" s="3169"/>
      <c r="B781" s="3169"/>
      <c r="C781" s="3169"/>
      <c r="D781" s="3169"/>
      <c r="E781" s="3169"/>
      <c r="F781" s="3169"/>
      <c r="G781" s="3169"/>
      <c r="H781" s="3169"/>
      <c r="I781" s="3169"/>
      <c r="J781" s="3169"/>
      <c r="K781" s="3169"/>
      <c r="L781" s="3169"/>
      <c r="M781" s="3169"/>
      <c r="N781" s="3169"/>
      <c r="O781" s="3169"/>
      <c r="P781" s="3169"/>
      <c r="Q781" s="3169"/>
      <c r="R781" s="3169"/>
      <c r="S781" s="3169"/>
      <c r="T781" s="3169"/>
      <c r="U781" s="3169"/>
      <c r="V781" s="3169"/>
      <c r="W781" s="3169"/>
      <c r="X781" s="3169"/>
      <c r="Y781" s="3169"/>
      <c r="Z781" s="3169"/>
      <c r="AA781" s="3169"/>
      <c r="AB781" s="3169"/>
      <c r="AC781" s="3169"/>
      <c r="AD781" s="3169"/>
      <c r="AE781" s="3169"/>
      <c r="AF781" s="3169"/>
      <c r="AG781" s="3169"/>
      <c r="AH781" s="3169"/>
      <c r="AI781" s="3169"/>
      <c r="AJ781" s="3169"/>
      <c r="AK781" s="3169"/>
      <c r="AL781" s="3169"/>
      <c r="AM781" s="316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25" t="s">
        <v>1875</v>
      </c>
      <c r="U782" s="3226"/>
      <c r="V782" s="3226"/>
      <c r="W782" s="3226"/>
      <c r="X782" s="3226"/>
      <c r="Y782" s="3227"/>
      <c r="Z782" s="3225" t="s">
        <v>1876</v>
      </c>
      <c r="AA782" s="3226"/>
      <c r="AB782" s="3226"/>
      <c r="AC782" s="3226"/>
      <c r="AD782" s="3226"/>
      <c r="AE782" s="3227"/>
      <c r="AF782" s="3225" t="s">
        <v>1877</v>
      </c>
      <c r="AG782" s="3226"/>
      <c r="AH782" s="3226"/>
      <c r="AI782" s="3226"/>
      <c r="AJ782" s="3226"/>
      <c r="AK782" s="322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28"/>
      <c r="U783" s="3229"/>
      <c r="V783" s="3229"/>
      <c r="W783" s="3229"/>
      <c r="X783" s="3229"/>
      <c r="Y783" s="3230"/>
      <c r="Z783" s="3228"/>
      <c r="AA783" s="3229"/>
      <c r="AB783" s="3229"/>
      <c r="AC783" s="3229"/>
      <c r="AD783" s="3229"/>
      <c r="AE783" s="3230"/>
      <c r="AF783" s="3228"/>
      <c r="AG783" s="3229"/>
      <c r="AH783" s="3229"/>
      <c r="AI783" s="3229"/>
      <c r="AJ783" s="3229"/>
      <c r="AK783" s="3230"/>
      <c r="AL783" s="1324"/>
      <c r="AM783" s="1218"/>
      <c r="AO783" s="1322"/>
      <c r="AP783" s="1321"/>
      <c r="AQ783" s="1321"/>
    </row>
    <row r="784" spans="1:44">
      <c r="A784" s="1325" t="s">
        <v>800</v>
      </c>
      <c r="B784" s="3204" t="s">
        <v>1574</v>
      </c>
      <c r="C784" s="3204"/>
      <c r="D784" s="3204"/>
      <c r="E784" s="3204"/>
      <c r="F784" s="3204"/>
      <c r="G784" s="3204"/>
      <c r="H784" s="3204"/>
      <c r="I784" s="3204"/>
      <c r="J784" s="3204"/>
      <c r="K784" s="3204"/>
      <c r="L784" s="3204"/>
      <c r="M784" s="3204"/>
      <c r="N784" s="3204"/>
      <c r="O784" s="3204"/>
      <c r="P784" s="3204"/>
      <c r="Q784" s="3204"/>
      <c r="R784" s="3204"/>
      <c r="S784" s="3205"/>
      <c r="T784" s="3206">
        <f>AK51</f>
        <v>0</v>
      </c>
      <c r="U784" s="3207"/>
      <c r="V784" s="3207"/>
      <c r="W784" s="3207"/>
      <c r="X784" s="3207"/>
      <c r="Y784" s="3208"/>
      <c r="Z784" s="3209">
        <v>20</v>
      </c>
      <c r="AA784" s="3207"/>
      <c r="AB784" s="3207"/>
      <c r="AC784" s="3207"/>
      <c r="AD784" s="3207"/>
      <c r="AE784" s="3208"/>
      <c r="AF784" s="3210">
        <f>IF(T784&gt;Z784,Z784,T784)</f>
        <v>0</v>
      </c>
      <c r="AG784" s="3210"/>
      <c r="AH784" s="3210"/>
      <c r="AI784" s="3210"/>
      <c r="AJ784" s="3210"/>
      <c r="AK784" s="3210"/>
      <c r="AL784" s="1324"/>
      <c r="AM784" s="1218"/>
      <c r="AO784" s="1321"/>
      <c r="AP784" s="1321"/>
      <c r="AQ784" s="1321"/>
    </row>
    <row r="785" spans="1:81">
      <c r="A785" s="1325" t="s">
        <v>1843</v>
      </c>
      <c r="B785" s="3204" t="s">
        <v>1596</v>
      </c>
      <c r="C785" s="3204"/>
      <c r="D785" s="3204"/>
      <c r="E785" s="3204"/>
      <c r="F785" s="3204"/>
      <c r="G785" s="3204"/>
      <c r="H785" s="3204"/>
      <c r="I785" s="3204"/>
      <c r="J785" s="3204"/>
      <c r="K785" s="3204"/>
      <c r="L785" s="3204"/>
      <c r="M785" s="3204"/>
      <c r="N785" s="3204"/>
      <c r="O785" s="3204"/>
      <c r="P785" s="3204"/>
      <c r="Q785" s="3204"/>
      <c r="R785" s="3204"/>
      <c r="S785" s="3205"/>
      <c r="T785" s="3206">
        <f>AK72</f>
        <v>10</v>
      </c>
      <c r="U785" s="3207"/>
      <c r="V785" s="3207"/>
      <c r="W785" s="3207"/>
      <c r="X785" s="3207"/>
      <c r="Y785" s="3208"/>
      <c r="Z785" s="3209">
        <v>10</v>
      </c>
      <c r="AA785" s="3207"/>
      <c r="AB785" s="3207"/>
      <c r="AC785" s="3207"/>
      <c r="AD785" s="3207"/>
      <c r="AE785" s="3208"/>
      <c r="AF785" s="3210">
        <f>IF(T785&gt;Z785,Z785,T785)</f>
        <v>10</v>
      </c>
      <c r="AG785" s="3210"/>
      <c r="AH785" s="3210"/>
      <c r="AI785" s="3210"/>
      <c r="AJ785" s="3210"/>
      <c r="AK785" s="3210"/>
      <c r="AL785" s="1324"/>
      <c r="AM785" s="1218"/>
      <c r="AO785" s="1321"/>
      <c r="AP785" s="1321"/>
      <c r="AQ785" s="1321"/>
    </row>
    <row r="786" spans="1:81">
      <c r="A786" s="1325" t="s">
        <v>1852</v>
      </c>
      <c r="B786" s="3204" t="s">
        <v>1606</v>
      </c>
      <c r="C786" s="3204"/>
      <c r="D786" s="3204"/>
      <c r="E786" s="3204"/>
      <c r="F786" s="3204"/>
      <c r="G786" s="3204"/>
      <c r="H786" s="3204"/>
      <c r="I786" s="3204"/>
      <c r="J786" s="3204"/>
      <c r="K786" s="3204"/>
      <c r="L786" s="3204"/>
      <c r="M786" s="3204"/>
      <c r="N786" s="3204"/>
      <c r="O786" s="3204"/>
      <c r="P786" s="3204"/>
      <c r="Q786" s="3204"/>
      <c r="R786" s="3204"/>
      <c r="S786" s="3205"/>
      <c r="T786" s="3206">
        <f ca="1">AK97</f>
        <v>20</v>
      </c>
      <c r="U786" s="3207"/>
      <c r="V786" s="3207"/>
      <c r="W786" s="3207"/>
      <c r="X786" s="3207"/>
      <c r="Y786" s="3208"/>
      <c r="Z786" s="3209">
        <v>20</v>
      </c>
      <c r="AA786" s="3207"/>
      <c r="AB786" s="3207"/>
      <c r="AC786" s="3207"/>
      <c r="AD786" s="3207"/>
      <c r="AE786" s="3208"/>
      <c r="AF786" s="3210">
        <f ca="1">IF(T786&gt;Z786,Z786,T786)</f>
        <v>20</v>
      </c>
      <c r="AG786" s="3210"/>
      <c r="AH786" s="3210"/>
      <c r="AI786" s="3210"/>
      <c r="AJ786" s="3210"/>
      <c r="AK786" s="3210"/>
      <c r="AL786" s="1324"/>
      <c r="AM786" s="1218"/>
      <c r="AO786" s="1321"/>
      <c r="AP786" s="1321"/>
      <c r="AQ786" s="1321"/>
    </row>
    <row r="787" spans="1:81">
      <c r="A787" s="1325" t="s">
        <v>1878</v>
      </c>
      <c r="B787" s="3204" t="s">
        <v>1616</v>
      </c>
      <c r="C787" s="3204"/>
      <c r="D787" s="3204"/>
      <c r="E787" s="3204"/>
      <c r="F787" s="3204"/>
      <c r="G787" s="3204"/>
      <c r="H787" s="3204"/>
      <c r="I787" s="3204"/>
      <c r="J787" s="3204"/>
      <c r="K787" s="3204"/>
      <c r="L787" s="3204"/>
      <c r="M787" s="3204"/>
      <c r="N787" s="3204"/>
      <c r="O787" s="3204"/>
      <c r="P787" s="3204"/>
      <c r="Q787" s="3204"/>
      <c r="R787" s="3204"/>
      <c r="S787" s="3205"/>
      <c r="T787" s="3206">
        <f>AK131</f>
        <v>10</v>
      </c>
      <c r="U787" s="3207"/>
      <c r="V787" s="3207"/>
      <c r="W787" s="3207"/>
      <c r="X787" s="3207"/>
      <c r="Y787" s="3208"/>
      <c r="Z787" s="3209">
        <v>10</v>
      </c>
      <c r="AA787" s="3207"/>
      <c r="AB787" s="3207"/>
      <c r="AC787" s="3207"/>
      <c r="AD787" s="3207"/>
      <c r="AE787" s="3208"/>
      <c r="AF787" s="3210">
        <f>IF(T787&gt;Z787,Z787,T787)</f>
        <v>10</v>
      </c>
      <c r="AG787" s="3210"/>
      <c r="AH787" s="3210"/>
      <c r="AI787" s="3210"/>
      <c r="AJ787" s="3210"/>
      <c r="AK787" s="3210"/>
      <c r="AL787" s="1324"/>
      <c r="AM787" s="1218"/>
      <c r="AO787" s="1321"/>
      <c r="AP787" s="1321"/>
      <c r="AQ787" s="1321"/>
    </row>
    <row r="788" spans="1:81">
      <c r="A788" s="1327" t="s">
        <v>1879</v>
      </c>
      <c r="B788" s="3204" t="s">
        <v>1880</v>
      </c>
      <c r="C788" s="3204"/>
      <c r="D788" s="3204"/>
      <c r="E788" s="3204"/>
      <c r="F788" s="3204"/>
      <c r="G788" s="3204"/>
      <c r="H788" s="3204"/>
      <c r="I788" s="3204"/>
      <c r="J788" s="3204"/>
      <c r="K788" s="3204"/>
      <c r="L788" s="3204"/>
      <c r="M788" s="3204"/>
      <c r="N788" s="3204"/>
      <c r="O788" s="3204"/>
      <c r="P788" s="3204"/>
      <c r="Q788" s="3204"/>
      <c r="R788" s="3204"/>
      <c r="S788" s="3205"/>
      <c r="T788" s="3231">
        <f>SUM(T789:Y790)</f>
        <v>10</v>
      </c>
      <c r="U788" s="3231"/>
      <c r="V788" s="3231"/>
      <c r="W788" s="3231"/>
      <c r="X788" s="3231"/>
      <c r="Y788" s="3231"/>
      <c r="Z788" s="3210">
        <v>10</v>
      </c>
      <c r="AA788" s="3210"/>
      <c r="AB788" s="3210"/>
      <c r="AC788" s="3210"/>
      <c r="AD788" s="3210"/>
      <c r="AE788" s="3210"/>
      <c r="AF788" s="3210">
        <f>IF(T788&gt;Z788,Z788,T788)</f>
        <v>10</v>
      </c>
      <c r="AG788" s="3210"/>
      <c r="AH788" s="3210"/>
      <c r="AI788" s="3210"/>
      <c r="AJ788" s="3210"/>
      <c r="AK788" s="3210"/>
      <c r="AL788" s="1324"/>
      <c r="AM788" s="1218"/>
    </row>
    <row r="789" spans="1:81">
      <c r="A789" s="928"/>
      <c r="B789" s="1011"/>
      <c r="C789" s="3232" t="s">
        <v>1881</v>
      </c>
      <c r="D789" s="3232"/>
      <c r="E789" s="3232"/>
      <c r="F789" s="3232"/>
      <c r="G789" s="3232"/>
      <c r="H789" s="3232"/>
      <c r="I789" s="3232"/>
      <c r="J789" s="3232"/>
      <c r="K789" s="3232"/>
      <c r="L789" s="3232"/>
      <c r="M789" s="3232"/>
      <c r="N789" s="3232"/>
      <c r="O789" s="3232"/>
      <c r="P789" s="3232"/>
      <c r="Q789" s="3232"/>
      <c r="R789" s="3232"/>
      <c r="S789" s="3233"/>
      <c r="T789" s="3092">
        <f>AJ149</f>
        <v>7</v>
      </c>
      <c r="U789" s="3092"/>
      <c r="V789" s="3092"/>
      <c r="W789" s="3092"/>
      <c r="X789" s="3092"/>
      <c r="Y789" s="3092"/>
      <c r="Z789" s="3234">
        <v>7</v>
      </c>
      <c r="AA789" s="3234"/>
      <c r="AB789" s="3234"/>
      <c r="AC789" s="3234"/>
      <c r="AD789" s="3234"/>
      <c r="AE789" s="3234"/>
      <c r="AF789" s="3235"/>
      <c r="AG789" s="3235"/>
      <c r="AH789" s="3235"/>
      <c r="AI789" s="3235"/>
      <c r="AJ789" s="3235"/>
      <c r="AK789" s="3235"/>
      <c r="AL789" s="1324"/>
      <c r="AM789" s="1218"/>
    </row>
    <row r="790" spans="1:81">
      <c r="A790" s="1328"/>
      <c r="B790" s="1011"/>
      <c r="C790" s="3232" t="s">
        <v>1882</v>
      </c>
      <c r="D790" s="3232"/>
      <c r="E790" s="3232"/>
      <c r="F790" s="3232"/>
      <c r="G790" s="3232"/>
      <c r="H790" s="3232"/>
      <c r="I790" s="3232"/>
      <c r="J790" s="3232"/>
      <c r="K790" s="3232"/>
      <c r="L790" s="3232"/>
      <c r="M790" s="3232"/>
      <c r="N790" s="3232"/>
      <c r="O790" s="3232"/>
      <c r="P790" s="3232"/>
      <c r="Q790" s="3232"/>
      <c r="R790" s="3232"/>
      <c r="S790" s="3233"/>
      <c r="T790" s="3092">
        <f>AJ163</f>
        <v>3</v>
      </c>
      <c r="U790" s="3092"/>
      <c r="V790" s="3092"/>
      <c r="W790" s="3092"/>
      <c r="X790" s="3092"/>
      <c r="Y790" s="3092"/>
      <c r="Z790" s="3234">
        <v>3</v>
      </c>
      <c r="AA790" s="3234"/>
      <c r="AB790" s="3234"/>
      <c r="AC790" s="3234"/>
      <c r="AD790" s="3234"/>
      <c r="AE790" s="3234"/>
      <c r="AF790" s="3235"/>
      <c r="AG790" s="3235"/>
      <c r="AH790" s="3235"/>
      <c r="AI790" s="3235"/>
      <c r="AJ790" s="3235"/>
      <c r="AK790" s="3235"/>
      <c r="AL790" s="1324"/>
      <c r="AM790" s="1218"/>
      <c r="AO790" s="945"/>
    </row>
    <row r="791" spans="1:81">
      <c r="A791" s="1327" t="s">
        <v>1644</v>
      </c>
      <c r="B791" s="3204" t="s">
        <v>1883</v>
      </c>
      <c r="C791" s="3204"/>
      <c r="D791" s="3204"/>
      <c r="E791" s="3204"/>
      <c r="F791" s="3204"/>
      <c r="G791" s="3204"/>
      <c r="H791" s="3204"/>
      <c r="I791" s="3204"/>
      <c r="J791" s="3204"/>
      <c r="K791" s="3204"/>
      <c r="L791" s="3204"/>
      <c r="M791" s="3204"/>
      <c r="N791" s="3204"/>
      <c r="O791" s="3204"/>
      <c r="P791" s="3204"/>
      <c r="Q791" s="3204"/>
      <c r="R791" s="3204"/>
      <c r="S791" s="3205"/>
      <c r="T791" s="3231">
        <f>AK174</f>
        <v>10</v>
      </c>
      <c r="U791" s="3231"/>
      <c r="V791" s="3231"/>
      <c r="W791" s="3231"/>
      <c r="X791" s="3231"/>
      <c r="Y791" s="3231"/>
      <c r="Z791" s="3210">
        <v>10</v>
      </c>
      <c r="AA791" s="3210"/>
      <c r="AB791" s="3210"/>
      <c r="AC791" s="3210"/>
      <c r="AD791" s="3210"/>
      <c r="AE791" s="3210"/>
      <c r="AF791" s="3210">
        <f>IF(T791&gt;Z791,Z791,T791)</f>
        <v>10</v>
      </c>
      <c r="AG791" s="3210"/>
      <c r="AH791" s="3210"/>
      <c r="AI791" s="3210"/>
      <c r="AJ791" s="3210"/>
      <c r="AK791" s="3210"/>
      <c r="AL791" s="1324"/>
      <c r="AM791" s="1218"/>
    </row>
    <row r="792" spans="1:81">
      <c r="A792" s="1325" t="s">
        <v>1653</v>
      </c>
      <c r="B792" s="3204" t="s">
        <v>1654</v>
      </c>
      <c r="C792" s="3204"/>
      <c r="D792" s="3204"/>
      <c r="E792" s="3204"/>
      <c r="F792" s="3204"/>
      <c r="G792" s="3204"/>
      <c r="H792" s="3204"/>
      <c r="I792" s="3204"/>
      <c r="J792" s="3204"/>
      <c r="K792" s="3204"/>
      <c r="L792" s="3204"/>
      <c r="M792" s="3204"/>
      <c r="N792" s="3204"/>
      <c r="O792" s="3204"/>
      <c r="P792" s="3204"/>
      <c r="Q792" s="3204"/>
      <c r="R792" s="3204"/>
      <c r="S792" s="3205"/>
      <c r="T792" s="3231">
        <f>AK256</f>
        <v>8</v>
      </c>
      <c r="U792" s="3231"/>
      <c r="V792" s="3231"/>
      <c r="W792" s="3231"/>
      <c r="X792" s="3231"/>
      <c r="Y792" s="3231"/>
      <c r="Z792" s="3209">
        <v>8</v>
      </c>
      <c r="AA792" s="3207"/>
      <c r="AB792" s="3207"/>
      <c r="AC792" s="3207"/>
      <c r="AD792" s="3207"/>
      <c r="AE792" s="3208"/>
      <c r="AF792" s="3210">
        <f>IF(T792&gt;Z792,Z792,T792)</f>
        <v>8</v>
      </c>
      <c r="AG792" s="3210"/>
      <c r="AH792" s="3210"/>
      <c r="AI792" s="3210"/>
      <c r="AJ792" s="3210"/>
      <c r="AK792" s="3210"/>
      <c r="AL792" s="1324"/>
      <c r="AM792" s="1218"/>
    </row>
    <row r="793" spans="1:81" s="927" customFormat="1" hidden="1">
      <c r="A793" s="1327" t="s">
        <v>624</v>
      </c>
      <c r="B793" s="3204" t="s">
        <v>1884</v>
      </c>
      <c r="C793" s="3204"/>
      <c r="D793" s="3204"/>
      <c r="E793" s="3204"/>
      <c r="F793" s="3204"/>
      <c r="G793" s="3204"/>
      <c r="H793" s="3204"/>
      <c r="I793" s="3204"/>
      <c r="J793" s="3204"/>
      <c r="K793" s="3204"/>
      <c r="L793" s="3204"/>
      <c r="M793" s="3204"/>
      <c r="N793" s="3204"/>
      <c r="O793" s="3204"/>
      <c r="P793" s="3204"/>
      <c r="Q793" s="3204"/>
      <c r="R793" s="3204"/>
      <c r="S793" s="3205"/>
      <c r="T793" s="3231">
        <f>IF(AK750&gt;5,5,AK750)</f>
        <v>0</v>
      </c>
      <c r="U793" s="3231"/>
      <c r="V793" s="3231"/>
      <c r="W793" s="3231"/>
      <c r="X793" s="3231"/>
      <c r="Y793" s="3231"/>
      <c r="Z793" s="3210">
        <v>5</v>
      </c>
      <c r="AA793" s="3210"/>
      <c r="AB793" s="3210"/>
      <c r="AC793" s="3210"/>
      <c r="AD793" s="3210"/>
      <c r="AE793" s="3210"/>
      <c r="AF793" s="3210">
        <f>IF(T793&gt;Z793,5,T793)</f>
        <v>0</v>
      </c>
      <c r="AG793" s="3210"/>
      <c r="AH793" s="3210"/>
      <c r="AI793" s="3210"/>
      <c r="AJ793" s="3210"/>
      <c r="AK793" s="321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204" t="s">
        <v>1885</v>
      </c>
      <c r="C794" s="3204"/>
      <c r="D794" s="3204"/>
      <c r="E794" s="3204"/>
      <c r="F794" s="3204"/>
      <c r="G794" s="3204"/>
      <c r="H794" s="3204"/>
      <c r="I794" s="3204"/>
      <c r="J794" s="3204"/>
      <c r="K794" s="3204"/>
      <c r="L794" s="3204"/>
      <c r="M794" s="3204"/>
      <c r="N794" s="3204"/>
      <c r="O794" s="3204"/>
      <c r="P794" s="3204"/>
      <c r="Q794" s="3204"/>
      <c r="R794" s="3204"/>
      <c r="S794" s="3205"/>
      <c r="T794" s="3231">
        <f>AK267</f>
        <v>10</v>
      </c>
      <c r="U794" s="3231"/>
      <c r="V794" s="3231"/>
      <c r="W794" s="3231"/>
      <c r="X794" s="3231"/>
      <c r="Y794" s="3231"/>
      <c r="Z794" s="3210">
        <v>10</v>
      </c>
      <c r="AA794" s="3210"/>
      <c r="AB794" s="3210"/>
      <c r="AC794" s="3210"/>
      <c r="AD794" s="3210"/>
      <c r="AE794" s="3210"/>
      <c r="AF794" s="3238">
        <f>IF(T794&gt;Z794,Z794,T794)</f>
        <v>10</v>
      </c>
      <c r="AG794" s="3239"/>
      <c r="AH794" s="3239"/>
      <c r="AI794" s="3239"/>
      <c r="AJ794" s="3239"/>
      <c r="AK794" s="324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204" t="s">
        <v>1664</v>
      </c>
      <c r="C795" s="3204"/>
      <c r="D795" s="3204"/>
      <c r="E795" s="3204"/>
      <c r="F795" s="3204"/>
      <c r="G795" s="3204"/>
      <c r="H795" s="3204"/>
      <c r="I795" s="3204"/>
      <c r="J795" s="3204"/>
      <c r="K795" s="3204"/>
      <c r="L795" s="3204"/>
      <c r="M795" s="3204"/>
      <c r="N795" s="3204"/>
      <c r="O795" s="3204"/>
      <c r="P795" s="3204"/>
      <c r="Q795" s="3204"/>
      <c r="R795" s="3204"/>
      <c r="S795" s="3205"/>
      <c r="T795" s="3231">
        <f>AK553</f>
        <v>19</v>
      </c>
      <c r="U795" s="3231"/>
      <c r="V795" s="3231"/>
      <c r="W795" s="3231"/>
      <c r="X795" s="3231"/>
      <c r="Y795" s="3231"/>
      <c r="Z795" s="3238">
        <v>20</v>
      </c>
      <c r="AA795" s="3239"/>
      <c r="AB795" s="3239"/>
      <c r="AC795" s="3239"/>
      <c r="AD795" s="3239"/>
      <c r="AE795" s="3240"/>
      <c r="AF795" s="3238">
        <f>IF(T795&gt;Z795,Z795,T795)</f>
        <v>19</v>
      </c>
      <c r="AG795" s="3253"/>
      <c r="AH795" s="3253"/>
      <c r="AI795" s="3253"/>
      <c r="AJ795" s="3253"/>
      <c r="AK795" s="325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92">
        <f>AK320</f>
        <v>9</v>
      </c>
      <c r="U796" s="3092"/>
      <c r="V796" s="3092"/>
      <c r="W796" s="3092"/>
      <c r="X796" s="3092"/>
      <c r="Y796" s="3092"/>
      <c r="Z796" s="3103">
        <v>20</v>
      </c>
      <c r="AA796" s="3104"/>
      <c r="AB796" s="3104"/>
      <c r="AC796" s="3104"/>
      <c r="AD796" s="3104"/>
      <c r="AE796" s="3105"/>
      <c r="AF796" s="3235"/>
      <c r="AG796" s="3235"/>
      <c r="AH796" s="3235"/>
      <c r="AI796" s="3235"/>
      <c r="AJ796" s="3235"/>
      <c r="AK796" s="323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92">
        <f>AK551</f>
        <v>10</v>
      </c>
      <c r="U797" s="3092"/>
      <c r="V797" s="3092"/>
      <c r="W797" s="3092"/>
      <c r="X797" s="3092"/>
      <c r="Y797" s="3092"/>
      <c r="Z797" s="3103">
        <v>10</v>
      </c>
      <c r="AA797" s="3104"/>
      <c r="AB797" s="3104"/>
      <c r="AC797" s="3104"/>
      <c r="AD797" s="3104"/>
      <c r="AE797" s="3105"/>
      <c r="AF797" s="3235"/>
      <c r="AG797" s="3235"/>
      <c r="AH797" s="3235"/>
      <c r="AI797" s="3235"/>
      <c r="AJ797" s="3235"/>
      <c r="AK797" s="323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204" t="s">
        <v>910</v>
      </c>
      <c r="C798" s="3204"/>
      <c r="D798" s="3204"/>
      <c r="E798" s="3204"/>
      <c r="F798" s="3204"/>
      <c r="G798" s="3204"/>
      <c r="H798" s="3204"/>
      <c r="I798" s="3204"/>
      <c r="J798" s="3204"/>
      <c r="K798" s="3204"/>
      <c r="L798" s="3204"/>
      <c r="M798" s="3204"/>
      <c r="N798" s="3204"/>
      <c r="O798" s="3204"/>
      <c r="P798" s="3204"/>
      <c r="Q798" s="3204"/>
      <c r="R798" s="3204"/>
      <c r="S798" s="3205"/>
      <c r="T798" s="3231">
        <f>AK684</f>
        <v>12</v>
      </c>
      <c r="U798" s="3231"/>
      <c r="V798" s="3231"/>
      <c r="W798" s="3231"/>
      <c r="X798" s="3231"/>
      <c r="Y798" s="3231"/>
      <c r="Z798" s="3238">
        <v>10</v>
      </c>
      <c r="AA798" s="3239"/>
      <c r="AB798" s="3239"/>
      <c r="AC798" s="3239"/>
      <c r="AD798" s="3239"/>
      <c r="AE798" s="3240"/>
      <c r="AF798" s="3210">
        <f>IF(T798&gt;Z798,Z798,T798)</f>
        <v>10</v>
      </c>
      <c r="AG798" s="3210"/>
      <c r="AH798" s="3210"/>
      <c r="AI798" s="3210"/>
      <c r="AJ798" s="3210"/>
      <c r="AK798" s="321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204" t="s">
        <v>1863</v>
      </c>
      <c r="C799" s="3204"/>
      <c r="D799" s="3204"/>
      <c r="E799" s="3204"/>
      <c r="F799" s="3204"/>
      <c r="G799" s="3204"/>
      <c r="H799" s="3204"/>
      <c r="I799" s="3204"/>
      <c r="J799" s="3204"/>
      <c r="K799" s="3204"/>
      <c r="L799" s="3204"/>
      <c r="M799" s="3204"/>
      <c r="N799" s="3204"/>
      <c r="O799" s="3204"/>
      <c r="P799" s="3204"/>
      <c r="Q799" s="3204"/>
      <c r="R799" s="3204"/>
      <c r="S799" s="3205"/>
      <c r="T799" s="3231">
        <f>AK774</f>
        <v>12</v>
      </c>
      <c r="U799" s="3231"/>
      <c r="V799" s="3231"/>
      <c r="W799" s="3231"/>
      <c r="X799" s="3231"/>
      <c r="Y799" s="3231"/>
      <c r="Z799" s="3238">
        <v>12</v>
      </c>
      <c r="AA799" s="3239"/>
      <c r="AB799" s="3239"/>
      <c r="AC799" s="3239"/>
      <c r="AD799" s="3239"/>
      <c r="AE799" s="3240"/>
      <c r="AF799" s="3210">
        <f>IF(T799&gt;Z799,Z799,T799)</f>
        <v>12</v>
      </c>
      <c r="AG799" s="3210"/>
      <c r="AH799" s="3210"/>
      <c r="AI799" s="3210"/>
      <c r="AJ799" s="3210"/>
      <c r="AK799" s="321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36" t="s">
        <v>1888</v>
      </c>
      <c r="B800" s="3204"/>
      <c r="C800" s="3204"/>
      <c r="D800" s="3204"/>
      <c r="E800" s="3204"/>
      <c r="F800" s="3204"/>
      <c r="G800" s="3204"/>
      <c r="H800" s="3204"/>
      <c r="I800" s="3204"/>
      <c r="J800" s="3204"/>
      <c r="K800" s="3204"/>
      <c r="L800" s="3204"/>
      <c r="M800" s="3204"/>
      <c r="N800" s="3204"/>
      <c r="O800" s="3204"/>
      <c r="P800" s="3204"/>
      <c r="Q800" s="3204"/>
      <c r="R800" s="3204"/>
      <c r="S800" s="3205"/>
      <c r="T800" s="3237"/>
      <c r="U800" s="3237"/>
      <c r="V800" s="3237"/>
      <c r="W800" s="3237"/>
      <c r="X800" s="3237"/>
      <c r="Y800" s="3237"/>
      <c r="Z800" s="3234" t="s">
        <v>1889</v>
      </c>
      <c r="AA800" s="3234"/>
      <c r="AB800" s="3234"/>
      <c r="AC800" s="3234"/>
      <c r="AD800" s="3234"/>
      <c r="AE800" s="3234"/>
      <c r="AF800" s="3238">
        <f>IF(T800&gt;0,T800,0)</f>
        <v>0</v>
      </c>
      <c r="AG800" s="3239"/>
      <c r="AH800" s="3239"/>
      <c r="AI800" s="3239"/>
      <c r="AJ800" s="3239"/>
      <c r="AK800" s="324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41" t="s">
        <v>1890</v>
      </c>
      <c r="B801" s="3242"/>
      <c r="C801" s="3242"/>
      <c r="D801" s="3242"/>
      <c r="E801" s="3242"/>
      <c r="F801" s="3242"/>
      <c r="G801" s="3242"/>
      <c r="H801" s="3242"/>
      <c r="I801" s="3242"/>
      <c r="J801" s="3242"/>
      <c r="K801" s="3242"/>
      <c r="L801" s="3242"/>
      <c r="M801" s="3242"/>
      <c r="N801" s="3242"/>
      <c r="O801" s="3242"/>
      <c r="P801" s="3242"/>
      <c r="Q801" s="3242"/>
      <c r="R801" s="3242"/>
      <c r="S801" s="3242"/>
      <c r="T801" s="3242"/>
      <c r="U801" s="3242"/>
      <c r="V801" s="3242"/>
      <c r="W801" s="3242"/>
      <c r="X801" s="3242"/>
      <c r="Y801" s="3242"/>
      <c r="Z801" s="3242"/>
      <c r="AA801" s="3242"/>
      <c r="AB801" s="3242"/>
      <c r="AC801" s="3242"/>
      <c r="AD801" s="3242"/>
      <c r="AE801" s="3243"/>
      <c r="AF801" s="3247">
        <f ca="1">SUM(AF784:AK799)-AF800</f>
        <v>119</v>
      </c>
      <c r="AG801" s="3248"/>
      <c r="AH801" s="3248"/>
      <c r="AI801" s="3248"/>
      <c r="AJ801" s="3248"/>
      <c r="AK801" s="3249"/>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44"/>
      <c r="B802" s="3245"/>
      <c r="C802" s="3245"/>
      <c r="D802" s="3245"/>
      <c r="E802" s="3245"/>
      <c r="F802" s="3245"/>
      <c r="G802" s="3245"/>
      <c r="H802" s="3245"/>
      <c r="I802" s="3245"/>
      <c r="J802" s="3245"/>
      <c r="K802" s="3245"/>
      <c r="L802" s="3245"/>
      <c r="M802" s="3245"/>
      <c r="N802" s="3245"/>
      <c r="O802" s="3245"/>
      <c r="P802" s="3245"/>
      <c r="Q802" s="3245"/>
      <c r="R802" s="3245"/>
      <c r="S802" s="3245"/>
      <c r="T802" s="3245"/>
      <c r="U802" s="3245"/>
      <c r="V802" s="3245"/>
      <c r="W802" s="3245"/>
      <c r="X802" s="3245"/>
      <c r="Y802" s="3245"/>
      <c r="Z802" s="3245"/>
      <c r="AA802" s="3245"/>
      <c r="AB802" s="3245"/>
      <c r="AC802" s="3245"/>
      <c r="AD802" s="3245"/>
      <c r="AE802" s="3246"/>
      <c r="AF802" s="3250"/>
      <c r="AG802" s="3251"/>
      <c r="AH802" s="3251"/>
      <c r="AI802" s="3251"/>
      <c r="AJ802" s="3251"/>
      <c r="AK802" s="3252"/>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Brandon Dinon</cp:lastModifiedBy>
  <cp:lastPrinted>2021-01-29T19:04:14Z</cp:lastPrinted>
  <dcterms:created xsi:type="dcterms:W3CDTF">2007-12-27T18:26:28Z</dcterms:created>
  <dcterms:modified xsi:type="dcterms:W3CDTF">2021-02-02T23:28:55Z</dcterms:modified>
</cp:coreProperties>
</file>