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showInkAnnotation="0" codeName="ThisWorkbook" defaultThemeVersion="124226"/>
  <mc:AlternateContent xmlns:mc="http://schemas.openxmlformats.org/markup-compatibility/2006">
    <mc:Choice Requires="x15">
      <x15ac:absPath xmlns:x15ac="http://schemas.microsoft.com/office/spreadsheetml/2010/11/ac" url="C:\Users\jheaphey\Dropbox (Castellan)\HamAdv-CRP shared folder\CDLAC\Round II 5.13.2021\Shiloh Terrace_Windsor Residences\Tab 00 - E-Application\"/>
    </mc:Choice>
  </mc:AlternateContent>
  <xr:revisionPtr revIDLastSave="0" documentId="13_ncr:1_{4B3CC237-2816-4AB5-B0FA-BAAF4E983A97}" xr6:coauthVersionLast="46" xr6:coauthVersionMax="46" xr10:uidLastSave="{00000000-0000-0000-0000-000000000000}"/>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5" i="7" l="1"/>
  <c r="AG61" i="7"/>
  <c r="AG52" i="7"/>
  <c r="AE52" i="7"/>
  <c r="AC52" i="7"/>
  <c r="AA52" i="7"/>
  <c r="W52" i="7"/>
  <c r="U52" i="7"/>
  <c r="S52" i="7"/>
  <c r="Q52" i="7"/>
  <c r="Z53" i="23" l="1"/>
  <c r="Z52" i="23"/>
  <c r="E61" i="4"/>
  <c r="E60" i="4"/>
  <c r="E59" i="4"/>
  <c r="E58" i="4"/>
  <c r="E57" i="4"/>
  <c r="F30" i="4"/>
  <c r="E4" i="4"/>
  <c r="W847" i="3"/>
  <c r="O637" i="3"/>
  <c r="R637" i="3"/>
  <c r="O639" i="3"/>
  <c r="AG447" i="3"/>
  <c r="AG445" i="3"/>
  <c r="AG441" i="3"/>
  <c r="AG442" i="3" l="1"/>
  <c r="C95" i="4" l="1"/>
  <c r="C69" i="4"/>
  <c r="AM565" i="3"/>
  <c r="AA916" i="3" s="1"/>
  <c r="G53" i="7" l="1"/>
  <c r="I53" i="7" s="1"/>
  <c r="K53" i="7" s="1"/>
  <c r="M53" i="7" s="1"/>
  <c r="O53" i="7" s="1"/>
  <c r="Q53" i="7" s="1"/>
  <c r="S53" i="7" s="1"/>
  <c r="U53" i="7" s="1"/>
  <c r="W53" i="7" s="1"/>
  <c r="Y53" i="7" s="1"/>
  <c r="AA53" i="7" s="1"/>
  <c r="AC53" i="7" s="1"/>
  <c r="AE53" i="7" s="1"/>
  <c r="AG53" i="7" s="1"/>
  <c r="AB71" i="15"/>
  <c r="E99" i="4" l="1"/>
  <c r="AO638" i="3"/>
  <c r="AO650" i="3"/>
  <c r="AO637" i="3"/>
  <c r="E45" i="4" l="1"/>
  <c r="E32" i="4"/>
  <c r="AB50" i="15"/>
  <c r="E85" i="4" l="1"/>
  <c r="E94" i="4"/>
  <c r="E92" i="4"/>
  <c r="E91" i="4"/>
  <c r="E90" i="4"/>
  <c r="E89" i="4"/>
  <c r="E88" i="4"/>
  <c r="E86" i="4"/>
  <c r="E84" i="4"/>
  <c r="E83" i="4"/>
  <c r="E80" i="4"/>
  <c r="E79" i="4"/>
  <c r="E76" i="4"/>
  <c r="E75" i="4"/>
  <c r="E65" i="4"/>
  <c r="E56" i="4"/>
  <c r="E53" i="4"/>
  <c r="E52" i="4"/>
  <c r="E51" i="4"/>
  <c r="E50" i="4"/>
  <c r="E46" i="4"/>
  <c r="E95" i="4"/>
  <c r="C93" i="4"/>
  <c r="E93" i="4" s="1"/>
  <c r="E69" i="4"/>
  <c r="C61" i="4"/>
  <c r="E43" i="4"/>
  <c r="E40" i="4"/>
  <c r="E37" i="4"/>
  <c r="E35" i="4"/>
  <c r="E33" i="4"/>
  <c r="E31" i="4"/>
  <c r="E29" i="4"/>
  <c r="E27" i="4"/>
  <c r="E10" i="4"/>
  <c r="C4" i="4"/>
  <c r="AA915" i="3"/>
  <c r="AC884" i="3"/>
  <c r="E30" i="4" l="1"/>
  <c r="AK267" i="20"/>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Y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W28" i="7"/>
  <c r="G28" i="7"/>
  <c r="M28" i="7"/>
  <c r="AE28" i="7"/>
  <c r="AC28" i="7"/>
  <c r="AA28" i="7"/>
  <c r="S28" i="7"/>
  <c r="K28" i="7"/>
  <c r="O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S91" i="4" s="1"/>
  <c r="R84" i="4"/>
  <c r="S84" i="4" s="1"/>
  <c r="T25" i="15"/>
  <c r="AI7" i="15" s="1"/>
  <c r="AG440" i="3"/>
  <c r="AG443" i="3"/>
  <c r="B59" i="4"/>
  <c r="C80" i="11"/>
  <c r="C81" i="11"/>
  <c r="B80" i="11"/>
  <c r="B81" i="11"/>
  <c r="I96" i="13"/>
  <c r="J96" i="13"/>
  <c r="J81" i="13"/>
  <c r="I81" i="13"/>
  <c r="G81" i="13"/>
  <c r="D81" i="13"/>
  <c r="H80" i="13"/>
  <c r="B80" i="13"/>
  <c r="C80" i="13" s="1"/>
  <c r="R80" i="4"/>
  <c r="R79" i="4"/>
  <c r="S79" i="4"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87" i="13"/>
  <c r="E84" i="13"/>
  <c r="F84" i="13" s="1"/>
  <c r="E79" i="13"/>
  <c r="F79" i="13" s="1"/>
  <c r="E53" i="13"/>
  <c r="F53" i="13" s="1"/>
  <c r="E50" i="13"/>
  <c r="F50" i="13" s="1"/>
  <c r="E49" i="13"/>
  <c r="E48" i="13"/>
  <c r="E47" i="13"/>
  <c r="E46" i="13"/>
  <c r="F46" i="13" s="1"/>
  <c r="E45" i="13"/>
  <c r="F45" i="13" s="1"/>
  <c r="E41" i="13"/>
  <c r="E34" i="13"/>
  <c r="E27" i="13"/>
  <c r="E25" i="13"/>
  <c r="E23" i="13"/>
  <c r="E22" i="13"/>
  <c r="E21" i="13"/>
  <c r="E20" i="13"/>
  <c r="E19" i="13"/>
  <c r="E18" i="13"/>
  <c r="E17" i="13"/>
  <c r="E15" i="13"/>
  <c r="E14" i="13"/>
  <c r="E13" i="13"/>
  <c r="E10" i="13"/>
  <c r="F10" i="13" s="1"/>
  <c r="B99" i="13"/>
  <c r="C99"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C81" i="13" s="1"/>
  <c r="B76" i="13"/>
  <c r="C76" i="13" s="1"/>
  <c r="B75" i="13"/>
  <c r="C75" i="13" s="1"/>
  <c r="B74" i="13"/>
  <c r="B73" i="13"/>
  <c r="B72" i="13"/>
  <c r="B70" i="13"/>
  <c r="B65" i="13"/>
  <c r="C65" i="13" s="1"/>
  <c r="C70" i="13" s="1"/>
  <c r="B61" i="13"/>
  <c r="C61" i="13" s="1"/>
  <c r="B60" i="13"/>
  <c r="B59" i="13"/>
  <c r="B58" i="13"/>
  <c r="C58" i="13" s="1"/>
  <c r="B57" i="13"/>
  <c r="C57" i="13" s="1"/>
  <c r="C62" i="13" s="1"/>
  <c r="B56" i="13"/>
  <c r="C56" i="13" s="1"/>
  <c r="B53" i="13"/>
  <c r="C53" i="13" s="1"/>
  <c r="B52" i="13"/>
  <c r="C52" i="13" s="1"/>
  <c r="B51" i="13"/>
  <c r="C51" i="13" s="1"/>
  <c r="B50" i="13"/>
  <c r="C50" i="13" s="1"/>
  <c r="B49" i="13"/>
  <c r="B48" i="13"/>
  <c r="B47" i="13"/>
  <c r="B46" i="13"/>
  <c r="C46" i="13" s="1"/>
  <c r="B45" i="13"/>
  <c r="C45" i="13" s="1"/>
  <c r="B43" i="13"/>
  <c r="C43" i="13" s="1"/>
  <c r="C42" i="4"/>
  <c r="B42" i="13" s="1"/>
  <c r="B41" i="13"/>
  <c r="B40" i="13"/>
  <c r="C40" i="13" s="1"/>
  <c r="B37" i="13"/>
  <c r="C37" i="13" s="1"/>
  <c r="B35" i="13"/>
  <c r="C35" i="13" s="1"/>
  <c r="B34" i="13"/>
  <c r="B33" i="13"/>
  <c r="C33" i="13" s="1"/>
  <c r="B32" i="13"/>
  <c r="C32" i="13" s="1"/>
  <c r="B31" i="13"/>
  <c r="C31" i="13" s="1"/>
  <c r="B30" i="13"/>
  <c r="C30" i="13" s="1"/>
  <c r="B29" i="13"/>
  <c r="C29" i="13" s="1"/>
  <c r="B27" i="13"/>
  <c r="C27" i="13" s="1"/>
  <c r="B25" i="13"/>
  <c r="B23" i="13"/>
  <c r="B22" i="13"/>
  <c r="B21" i="13"/>
  <c r="B20" i="13"/>
  <c r="B19" i="13"/>
  <c r="B18" i="13"/>
  <c r="B17" i="13"/>
  <c r="B5" i="13"/>
  <c r="B6" i="13"/>
  <c r="B7" i="13"/>
  <c r="C8" i="4"/>
  <c r="B8" i="13" s="1"/>
  <c r="B9" i="13"/>
  <c r="B10" i="13"/>
  <c r="C10" i="13" s="1"/>
  <c r="B13" i="13"/>
  <c r="B14" i="13"/>
  <c r="B15" i="13"/>
  <c r="B4" i="13"/>
  <c r="C4" i="13" s="1"/>
  <c r="J104" i="13"/>
  <c r="I104" i="13"/>
  <c r="G104" i="13"/>
  <c r="D104" i="13"/>
  <c r="C104" i="13"/>
  <c r="G96" i="13"/>
  <c r="D96" i="13"/>
  <c r="D77" i="13"/>
  <c r="C77" i="13"/>
  <c r="J70" i="13"/>
  <c r="I70" i="13"/>
  <c r="G70" i="13"/>
  <c r="D70" i="13"/>
  <c r="D62" i="13"/>
  <c r="J54" i="13"/>
  <c r="I54" i="13"/>
  <c r="G54" i="13"/>
  <c r="D54" i="13"/>
  <c r="J42" i="13"/>
  <c r="I42" i="13"/>
  <c r="G42" i="13"/>
  <c r="F26" i="13"/>
  <c r="D42" i="13"/>
  <c r="C42" i="13"/>
  <c r="J38" i="13"/>
  <c r="I38" i="13"/>
  <c r="G38" i="13"/>
  <c r="D38" i="13"/>
  <c r="J26" i="13"/>
  <c r="I26" i="13"/>
  <c r="I11" i="13"/>
  <c r="G26" i="13"/>
  <c r="D26" i="13"/>
  <c r="C26" i="13"/>
  <c r="J11" i="13"/>
  <c r="D11" i="13"/>
  <c r="C11" i="13"/>
  <c r="C8" i="13"/>
  <c r="D8" i="13"/>
  <c r="T104" i="4"/>
  <c r="H104" i="13" s="1"/>
  <c r="R103" i="4"/>
  <c r="R102" i="4"/>
  <c r="R101" i="4"/>
  <c r="R99" i="4"/>
  <c r="S99" i="4" s="1"/>
  <c r="E99" i="13" s="1"/>
  <c r="F99" i="13" s="1"/>
  <c r="F104" i="13" s="1"/>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S70" i="4" s="1"/>
  <c r="E70" i="13" s="1"/>
  <c r="R61" i="4"/>
  <c r="R60" i="4"/>
  <c r="R59" i="4"/>
  <c r="R58" i="4"/>
  <c r="R57" i="4"/>
  <c r="R56" i="4"/>
  <c r="R53" i="4"/>
  <c r="R52" i="4"/>
  <c r="S52" i="4" s="1"/>
  <c r="E52" i="13" s="1"/>
  <c r="F52" i="13" s="1"/>
  <c r="R51" i="4"/>
  <c r="S51" i="4" s="1"/>
  <c r="E51" i="13" s="1"/>
  <c r="F51" i="13" s="1"/>
  <c r="R50" i="4"/>
  <c r="R49" i="4"/>
  <c r="R48" i="4"/>
  <c r="R47" i="4"/>
  <c r="R46" i="4"/>
  <c r="R45" i="4"/>
  <c r="R43" i="4"/>
  <c r="S43" i="4" s="1"/>
  <c r="E43" i="13" s="1"/>
  <c r="F43" i="13" s="1"/>
  <c r="R41" i="4"/>
  <c r="R40" i="4"/>
  <c r="S40" i="4" s="1"/>
  <c r="E40" i="13" s="1"/>
  <c r="F40" i="13" s="1"/>
  <c r="F42" i="13" s="1"/>
  <c r="R37" i="4"/>
  <c r="S37" i="4" s="1"/>
  <c r="E37" i="13" s="1"/>
  <c r="F37" i="13" s="1"/>
  <c r="R35" i="4"/>
  <c r="S35" i="4" s="1"/>
  <c r="E35" i="13" s="1"/>
  <c r="F35" i="13" s="1"/>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AM568" i="3" l="1"/>
  <c r="AM576" i="3" s="1"/>
  <c r="D30" i="11"/>
  <c r="S54" i="4"/>
  <c r="E54" i="13" s="1"/>
  <c r="C38" i="13"/>
  <c r="C96" i="13"/>
  <c r="F54" i="13"/>
  <c r="C54" i="13"/>
  <c r="S38" i="4"/>
  <c r="E38" i="13" s="1"/>
  <c r="R81" i="4"/>
  <c r="S80" i="4"/>
  <c r="F96" i="13"/>
  <c r="E65" i="13"/>
  <c r="F65" i="13" s="1"/>
  <c r="F70" i="13" s="1"/>
  <c r="N153" i="23"/>
  <c r="F38" i="13"/>
  <c r="F63" i="13" s="1"/>
  <c r="S96" i="4"/>
  <c r="E96" i="13" s="1"/>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S81" i="4"/>
  <c r="E81" i="13" s="1"/>
  <c r="E80" i="13"/>
  <c r="F80" i="13" s="1"/>
  <c r="F81" i="13" s="1"/>
  <c r="F97" i="13" s="1"/>
  <c r="F105" i="13" s="1"/>
  <c r="F107" i="1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C106" i="11"/>
  <c r="D106" i="11" s="1"/>
  <c r="AJ1028" i="3"/>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46" i="7"/>
  <c r="AE47" i="7"/>
  <c r="AC69" i="7" l="1"/>
  <c r="AC71" i="7" s="1"/>
  <c r="AE61" i="7"/>
  <c r="AE65" i="7"/>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<sst xmlns="http://schemas.openxmlformats.org/spreadsheetml/2006/main" count="5086" uniqueCount="2673">
  <si>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</si>
  <si>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</si>
  <si>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</si>
  <si>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</si>
  <si>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</si>
  <si>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</si>
  <si>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</si>
  <si>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</si>
  <si>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</si>
  <si>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</si>
  <si>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</si>
  <si>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</si>
  <si>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</si>
  <si>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</si>
  <si>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</si>
  <si>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</si>
  <si>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</si>
  <si>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</si>
  <si>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</si>
  <si>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</si>
  <si>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</si>
  <si>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</si>
  <si>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</si>
  <si>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</si>
  <si>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</si>
  <si>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</si>
  <si>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</si>
  <si>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</si>
  <si>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</si>
  <si>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</si>
  <si>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</si>
  <si>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</si>
  <si>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</si>
  <si>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</si>
  <si>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</si>
  <si>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</si>
  <si>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</si>
  <si>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</si>
  <si>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</si>
  <si>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</si>
  <si>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</si>
  <si>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</si>
  <si>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</si>
  <si>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</si>
  <si>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</si>
  <si>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</si>
  <si>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</si>
  <si>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</si>
  <si>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</si>
  <si>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</si>
  <si>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</si>
  <si>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</si>
  <si>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</si>
  <si>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</si>
  <si>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</si>
  <si>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</si>
  <si>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</si>
  <si>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</si>
  <si>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</si>
  <si>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</si>
  <si>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</si>
  <si>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</si>
  <si>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</si>
  <si>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</si>
  <si>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</si>
  <si>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</si>
  <si>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</si>
  <si>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</si>
  <si>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</si>
  <si>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</si>
  <si>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</si>
  <si>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</si>
  <si>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</si>
  <si>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</si>
  <si>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</si>
  <si>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</si>
  <si>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</si>
  <si>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</si>
  <si>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</si>
  <si>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</si>
  <si>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</si>
  <si>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</si>
  <si>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</si>
  <si>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</si>
  <si>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</si>
  <si>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</si>
  <si>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</si>
  <si>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</si>
  <si>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</si>
  <si>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</si>
  <si>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</si>
  <si>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</si>
  <si>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</si>
  <si>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</si>
  <si>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</si>
  <si>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</si>
  <si>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</si>
  <si>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</si>
  <si>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</si>
  <si>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</si>
  <si>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</si>
  <si>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</si>
  <si>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</si>
  <si>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</si>
  <si>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</si>
  <si>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</si>
  <si>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</si>
  <si>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</si>
  <si>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</si>
  <si>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</si>
  <si>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</si>
  <si>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</si>
  <si>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</si>
  <si>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</si>
  <si>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</si>
  <si>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</si>
  <si>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</si>
  <si>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</si>
  <si>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</si>
  <si>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</si>
  <si>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</si>
  <si>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</si>
  <si>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</si>
  <si>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</si>
  <si>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</si>
  <si>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</si>
  <si>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</si>
  <si>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</si>
  <si>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</si>
  <si>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</si>
  <si>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</si>
  <si>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</si>
  <si>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</si>
  <si>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</si>
  <si>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</si>
  <si>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</si>
  <si>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</si>
  <si>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</si>
  <si>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</si>
  <si>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</si>
  <si>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</si>
  <si>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</si>
  <si>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</si>
  <si>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</si>
  <si>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</si>
  <si>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</si>
  <si>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</si>
  <si>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</si>
  <si>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</si>
  <si>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</si>
  <si>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</si>
  <si>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</si>
  <si>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</si>
  <si>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</si>
  <si>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</si>
  <si>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</si>
  <si>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</si>
  <si>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</si>
  <si>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</si>
  <si>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</si>
  <si>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</si>
  <si>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</si>
  <si>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</si>
  <si>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</si>
  <si>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</si>
  <si>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</si>
  <si>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</si>
  <si>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</si>
  <si>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</si>
  <si>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</si>
  <si>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</si>
  <si>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</si>
  <si>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</si>
  <si>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</si>
  <si>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</si>
  <si>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</si>
  <si>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</si>
  <si>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</si>
  <si>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</si>
  <si>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</si>
  <si>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</si>
  <si>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</si>
  <si>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</si>
  <si>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</si>
  <si>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</si>
  <si>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</si>
  <si>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</si>
  <si>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</si>
  <si>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</si>
  <si>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</si>
  <si>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</si>
  <si>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</si>
  <si>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</si>
  <si>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</si>
  <si>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</si>
  <si>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</si>
  <si>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</si>
  <si>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</si>
  <si>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</si>
  <si>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</si>
  <si>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</si>
  <si>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</si>
  <si>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</si>
  <si>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</si>
  <si>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</si>
  <si>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</si>
  <si>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</si>
  <si>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</si>
  <si>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</si>
  <si>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</si>
  <si>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</si>
  <si>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</si>
  <si>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</si>
  <si>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</si>
  <si>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</si>
  <si>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</si>
  <si>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</si>
  <si>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</si>
  <si>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</si>
  <si>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</si>
  <si>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</si>
  <si>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</si>
  <si>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</si>
  <si>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</si>
  <si>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</si>
  <si>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</si>
  <si>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</si>
  <si>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</si>
  <si>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</si>
  <si>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</si>
  <si>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</si>
  <si>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</si>
  <si>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</si>
  <si>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</si>
  <si>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</si>
  <si>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</si>
  <si>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</si>
  <si>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</si>
  <si>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</si>
  <si>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</si>
  <si>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</si>
  <si>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</si>
  <si>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</si>
  <si>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</si>
  <si>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</si>
  <si>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</si>
  <si>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</si>
  <si>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</si>
  <si>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</si>
  <si>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</si>
  <si>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</si>
  <si>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</si>
  <si>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</si>
  <si>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</si>
  <si>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</si>
  <si>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</si>
  <si>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</si>
  <si>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</si>
  <si>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</si>
  <si>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</si>
  <si>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</si>
  <si>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</si>
  <si>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</si>
  <si>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</si>
  <si>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</si>
  <si>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</si>
  <si>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</si>
  <si>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</si>
  <si>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</si>
  <si>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</si>
  <si>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</si>
  <si>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</si>
  <si>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</si>
  <si>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</si>
  <si>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</si>
  <si>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</si>
  <si>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</si>
  <si>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</si>
  <si>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</si>
  <si>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</si>
  <si>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</si>
  <si>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</si>
  <si>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</si>
  <si>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</si>
  <si>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</si>
  <si>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</si>
  <si>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</si>
  <si>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</si>
  <si>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</si>
  <si>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</si>
  <si>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</si>
  <si>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</si>
  <si>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</si>
  <si>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</si>
  <si>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</si>
  <si>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</si>
  <si>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</si>
  <si>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</si>
  <si>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</si>
  <si>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</si>
  <si>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</si>
  <si>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</si>
  <si>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</si>
  <si>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</si>
  <si>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</si>
  <si>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</si>
  <si>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</si>
  <si>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</si>
  <si>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</si>
  <si>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</si>
  <si>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</si>
  <si>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</si>
  <si>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</si>
  <si>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</si>
  <si>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</si>
  <si>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</si>
  <si>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</si>
  <si>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</si>
  <si>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</si>
  <si>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</si>
  <si>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</si>
  <si>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</si>
  <si>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</si>
  <si>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</si>
  <si>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</si>
  <si>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</si>
  <si>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</si>
  <si>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</si>
  <si>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</si>
  <si>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</si>
  <si>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</si>
  <si>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</si>
  <si>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</si>
  <si>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</si>
  <si>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</si>
  <si>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</si>
  <si>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</si>
  <si>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</si>
  <si>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</si>
  <si>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</si>
  <si>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</si>
  <si>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</si>
  <si>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</si>
  <si>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</si>
  <si>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</si>
  <si>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</si>
  <si>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</si>
  <si>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</si>
  <si>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</si>
  <si>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</si>
  <si>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</si>
  <si>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</si>
  <si>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</si>
  <si>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</si>
  <si>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</si>
  <si>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</si>
  <si>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</si>
  <si>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</si>
  <si>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</si>
  <si>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</si>
  <si>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</si>
  <si>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</si>
  <si>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</si>
  <si>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</si>
  <si>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</si>
  <si>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</si>
  <si>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</si>
  <si>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</si>
  <si>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</si>
  <si>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</si>
  <si>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</si>
  <si>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</si>
  <si>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</si>
  <si>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</si>
  <si>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</si>
  <si>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</si>
  <si>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</si>
  <si>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</si>
  <si>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</si>
  <si>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</si>
  <si>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</si>
  <si>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</si>
  <si>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</si>
  <si>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</si>
  <si>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</si>
  <si>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</si>
  <si>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</si>
  <si>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</si>
  <si>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</si>
  <si>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</si>
  <si>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</si>
  <si>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</si>
  <si>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</si>
  <si>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</si>
  <si>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</si>
  <si>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</si>
  <si>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</si>
  <si>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</si>
  <si>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</si>
  <si>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</si>
  <si>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</si>
  <si>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</si>
  <si>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</si>
  <si>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</si>
  <si>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</si>
  <si>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</si>
  <si>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</si>
  <si>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</si>
  <si>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</si>
  <si>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</si>
  <si>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</si>
  <si>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</si>
  <si>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</si>
  <si>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</si>
  <si>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</si>
  <si>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</si>
  <si>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</si>
  <si>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</si>
  <si>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</si>
  <si>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</si>
  <si>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</si>
  <si>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</si>
  <si>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</si>
  <si>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</si>
  <si>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</si>
  <si>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</si>
  <si>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</si>
  <si>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</si>
  <si>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</si>
  <si>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</si>
  <si>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</si>
  <si>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</si>
  <si>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</si>
  <si>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</si>
  <si>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</si>
  <si>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</si>
  <si>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</si>
  <si>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</si>
  <si>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</si>
  <si>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</si>
  <si>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</si>
  <si>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</si>
  <si>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</si>
  <si>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</si>
  <si>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</si>
  <si>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</si>
  <si>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</si>
  <si>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</si>
  <si>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</si>
  <si>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</si>
  <si>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</si>
  <si>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</si>
  <si>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</si>
  <si>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</si>
  <si>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</si>
  <si>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</si>
  <si>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</si>
  <si>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</si>
  <si>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</si>
  <si>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</si>
  <si>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</si>
  <si>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</si>
  <si>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</si>
  <si>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</si>
  <si>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</si>
  <si>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</si>
  <si>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</si>
  <si>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</si>
  <si>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</si>
  <si>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</si>
  <si>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</si>
  <si>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</si>
  <si>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</si>
  <si>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</si>
  <si>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</si>
  <si>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</si>
  <si>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</si>
  <si>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</si>
  <si>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</si>
  <si>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</si>
  <si>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</si>
  <si>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</si>
  <si>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</si>
  <si>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</si>
  <si>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</si>
  <si>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</si>
  <si>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</si>
  <si>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</si>
  <si>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</si>
  <si>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</si>
  <si>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</si>
  <si>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</si>
  <si>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</si>
  <si>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</si>
  <si>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</si>
  <si>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</si>
  <si>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</si>
  <si>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</si>
  <si>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</si>
  <si>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</si>
  <si>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</si>
  <si>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</si>
  <si>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</si>
  <si>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</si>
  <si>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</si>
  <si>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</si>
  <si>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</si>
  <si>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</si>
  <si>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</si>
  <si>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</si>
  <si>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</si>
  <si>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</si>
  <si>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</si>
  <si>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</si>
  <si>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</si>
  <si>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</si>
  <si>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</si>
  <si>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</si>
  <si>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</si>
  <si>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</si>
  <si>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</si>
  <si>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</si>
  <si>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</si>
  <si>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</si>
  <si>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</si>
  <si>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</si>
  <si>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</si>
  <si>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</si>
  <si>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</si>
  <si>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</si>
  <si>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</si>
  <si>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</si>
  <si>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</si>
  <si>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</si>
  <si>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</si>
  <si>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</si>
  <si>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</si>
  <si>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</si>
  <si>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</si>
  <si>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</si>
  <si>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</si>
  <si>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</si>
  <si>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</si>
  <si>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</si>
  <si>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</si>
  <si>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</si>
  <si>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</si>
  <si>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</si>
  <si>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</si>
  <si>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</si>
  <si>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</si>
  <si>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</si>
  <si>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</si>
  <si>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</si>
  <si>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</si>
  <si>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</si>
  <si>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</si>
  <si>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</si>
  <si>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</si>
  <si>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</si>
  <si>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</si>
  <si>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</si>
  <si>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</si>
  <si>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</si>
  <si>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</si>
  <si>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</si>
  <si>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</si>
  <si>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</si>
  <si>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</si>
  <si>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</si>
  <si>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</si>
  <si>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</si>
  <si>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</si>
  <si>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</si>
  <si>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</si>
  <si>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</si>
  <si>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</si>
  <si>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</si>
  <si>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</si>
  <si>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</si>
  <si>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</si>
  <si>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</si>
  <si>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</si>
  <si>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</si>
  <si>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</si>
  <si>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</si>
  <si>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</si>
  <si>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</si>
  <si>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</si>
  <si>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</si>
  <si>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</si>
  <si>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</si>
  <si>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</si>
  <si>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</si>
  <si>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</si>
  <si>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</si>
  <si>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</si>
  <si>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</si>
  <si>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</si>
  <si>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</si>
  <si>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</si>
  <si>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</si>
  <si>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</si>
  <si>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</si>
  <si>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</si>
  <si>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</si>
  <si>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</si>
  <si>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</si>
  <si>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</si>
  <si>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</si>
  <si>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</si>
  <si>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</si>
  <si>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</si>
  <si>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</si>
  <si>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</si>
  <si>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</si>
  <si>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</si>
  <si>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</si>
  <si>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</si>
  <si>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</si>
  <si>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</si>
  <si>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</si>
  <si>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</si>
  <si>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</si>
  <si>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</si>
  <si>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</si>
  <si>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</si>
  <si>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</si>
  <si>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</si>
  <si>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</si>
  <si>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</si>
  <si>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</si>
  <si>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</si>
  <si>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</si>
  <si>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</si>
  <si>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</si>
  <si>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</si>
  <si>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</si>
  <si>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</si>
  <si>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</si>
  <si>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</si>
  <si>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</si>
  <si>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</si>
  <si>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</si>
  <si>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</si>
  <si>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</si>
  <si>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</si>
  <si>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</si>
  <si>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</si>
  <si>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</si>
  <si>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</si>
  <si>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</si>
  <si>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</si>
  <si>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</si>
  <si>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</si>
  <si>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</si>
  <si>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</si>
  <si>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</si>
  <si>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</si>
  <si>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</si>
  <si>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</si>
  <si>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</si>
  <si>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</si>
  <si>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</si>
  <si>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</si>
  <si>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</si>
  <si>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</si>
  <si>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</si>
  <si>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</si>
  <si>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</si>
  <si>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</si>
  <si>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</si>
  <si>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</si>
  <si>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</si>
  <si>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</si>
  <si>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</si>
  <si>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</si>
  <si>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</si>
  <si>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</si>
  <si>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</si>
  <si>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</si>
  <si>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</si>
  <si>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</si>
  <si>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</si>
  <si>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</si>
  <si>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</si>
  <si>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</si>
  <si>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</si>
  <si>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</si>
  <si>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</si>
  <si>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</si>
  <si>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</si>
  <si>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</si>
  <si>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</si>
  <si>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</si>
  <si>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</si>
  <si>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</si>
  <si>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</si>
  <si>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</si>
  <si>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</si>
  <si>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</si>
  <si>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</si>
  <si>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</si>
  <si>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</si>
  <si>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</si>
  <si>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</si>
  <si>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</si>
  <si>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</si>
  <si>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</si>
  <si>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</si>
  <si>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</si>
  <si>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</si>
  <si>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</si>
  <si>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</si>
  <si>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</si>
  <si>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</si>
  <si>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</si>
  <si>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</si>
  <si>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</si>
  <si>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</si>
  <si>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</si>
  <si>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</si>
  <si>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</si>
  <si>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</si>
  <si>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</si>
  <si>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</si>
  <si>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</si>
  <si>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</si>
  <si>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</si>
  <si>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</si>
  <si>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</si>
  <si>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</si>
  <si>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</si>
  <si>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</si>
  <si>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</si>
  <si>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</si>
  <si>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</si>
  <si>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</si>
  <si>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</si>
  <si>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</si>
  <si>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</si>
  <si>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</si>
  <si>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</si>
  <si>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</si>
  <si>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</si>
  <si>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</si>
  <si>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</si>
  <si>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</si>
  <si>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</si>
  <si>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</si>
  <si>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</si>
  <si>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</si>
  <si>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</si>
  <si>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</si>
  <si>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</si>
  <si>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</si>
  <si>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</si>
  <si>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</si>
  <si>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</si>
  <si>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</si>
  <si>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</si>
  <si>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</si>
  <si>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</si>
  <si>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</si>
  <si>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</si>
  <si>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</si>
  <si>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</si>
  <si>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</si>
  <si>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</si>
  <si>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</si>
  <si>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</si>
  <si>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</si>
  <si>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</si>
  <si>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</si>
  <si>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</si>
  <si>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</si>
  <si>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</si>
  <si>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</si>
  <si>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</si>
  <si>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</si>
  <si>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</si>
  <si>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</si>
  <si>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</si>
  <si>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</si>
  <si>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</si>
  <si>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</si>
  <si>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</si>
  <si>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</si>
  <si>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</si>
  <si>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</si>
  <si>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</si>
  <si>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</si>
  <si>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</si>
  <si>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</si>
  <si>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</si>
  <si>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</si>
  <si>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</si>
  <si>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</si>
  <si>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</si>
  <si>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</si>
  <si>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</si>
  <si>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</si>
  <si>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</si>
  <si>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</si>
  <si>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</si>
  <si>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</si>
  <si>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</si>
  <si>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</si>
  <si>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</si>
  <si>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</si>
  <si>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</si>
  <si>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</si>
  <si>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</si>
  <si>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</si>
  <si>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</si>
  <si>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</si>
  <si>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</si>
  <si>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</si>
  <si>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</si>
  <si>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</si>
  <si>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</si>
  <si>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</si>
  <si>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</si>
  <si>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</si>
  <si>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</si>
  <si>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</si>
  <si>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</si>
  <si>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</si>
  <si>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</si>
  <si>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</si>
  <si>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</si>
  <si>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</si>
  <si>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</si>
  <si>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</si>
  <si>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</si>
  <si>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</si>
  <si>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</si>
  <si>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</si>
  <si>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</si>
  <si>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</si>
  <si>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</si>
  <si>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</si>
  <si>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</si>
  <si>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</si>
  <si>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</si>
  <si>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</si>
  <si>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</si>
  <si>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</si>
  <si>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</si>
  <si>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</si>
  <si>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</si>
  <si>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</si>
  <si>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</si>
  <si>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</si>
  <si>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</si>
  <si>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</si>
  <si>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</si>
  <si>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</si>
  <si>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</si>
  <si>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</si>
  <si>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</si>
  <si>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</si>
  <si>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</si>
  <si>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</si>
  <si>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</si>
  <si>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</si>
  <si>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</si>
  <si>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</si>
  <si>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</si>
  <si>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</si>
  <si>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</si>
  <si>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</si>
  <si>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</si>
  <si>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</si>
  <si>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</si>
  <si>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</si>
  <si>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</si>
  <si>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</si>
  <si>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</si>
  <si>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</si>
  <si>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</si>
  <si>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</si>
  <si>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</si>
  <si>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</si>
  <si>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</si>
  <si>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</si>
  <si>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</si>
  <si>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</si>
  <si>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</si>
  <si>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</si>
  <si>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</si>
  <si>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</si>
  <si>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</si>
  <si>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</si>
  <si>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</si>
  <si>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</si>
  <si>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</si>
  <si>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</si>
  <si>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</si>
  <si>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</si>
  <si>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</si>
  <si>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</si>
  <si>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</si>
  <si>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</si>
  <si>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</si>
  <si>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</si>
  <si>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</si>
  <si>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</si>
  <si>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</si>
  <si>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</si>
  <si>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</si>
  <si>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</si>
  <si>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</si>
  <si>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</si>
  <si>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</si>
  <si>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</si>
  <si>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</si>
  <si>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</si>
  <si>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</si>
  <si>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</si>
  <si>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</si>
  <si>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</si>
  <si>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</si>
  <si>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</si>
  <si>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</si>
  <si>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</si>
  <si>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</si>
  <si>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</si>
  <si>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</si>
  <si>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</si>
  <si>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</si>
  <si>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</si>
  <si>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</si>
  <si>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</si>
  <si>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</si>
  <si>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</si>
  <si>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</si>
  <si>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</si>
  <si>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</si>
  <si>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</si>
  <si>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</si>
  <si>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</si>
  <si>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</si>
  <si>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</si>
  <si>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</si>
  <si>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</si>
  <si>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</si>
  <si>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</si>
  <si>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</si>
  <si>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</si>
  <si>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</si>
  <si>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</si>
  <si>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</si>
  <si>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</si>
  <si>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</si>
  <si>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</si>
  <si>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</si>
  <si>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</si>
  <si>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</si>
  <si>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</si>
  <si>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</si>
  <si>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</si>
  <si>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</si>
  <si>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</si>
  <si>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</si>
  <si>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</si>
  <si>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</si>
  <si>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</si>
  <si>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</si>
  <si>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</si>
  <si>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</si>
  <si>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</si>
  <si>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</si>
  <si>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</si>
  <si>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</si>
  <si>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</si>
  <si>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</si>
  <si>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</si>
  <si>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</si>
  <si>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</si>
  <si>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</si>
  <si>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</si>
  <si>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</si>
  <si>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</si>
  <si>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</si>
  <si>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</si>
  <si>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</si>
  <si>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</si>
  <si>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</si>
  <si>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</si>
  <si>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</si>
  <si>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</si>
  <si>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</si>
  <si>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</si>
  <si>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</si>
  <si>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</si>
  <si>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</si>
  <si>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</si>
  <si>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</si>
  <si>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</si>
  <si>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</si>
  <si>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</si>
  <si>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</si>
  <si>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</si>
  <si>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</si>
  <si>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</si>
  <si>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</si>
  <si>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</si>
  <si>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</si>
  <si>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</si>
  <si>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</si>
  <si>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</si>
  <si>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</si>
  <si>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</si>
  <si>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</si>
  <si>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</si>
  <si>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</si>
  <si>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</si>
  <si>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</si>
  <si>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</si>
  <si>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</si>
  <si>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</si>
  <si>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</si>
  <si>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</si>
  <si>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</si>
  <si>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</si>
  <si>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</si>
  <si>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</si>
  <si>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</si>
  <si>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</si>
  <si>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</si>
  <si>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</si>
  <si>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</si>
  <si>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</si>
  <si>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</si>
  <si>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</si>
  <si>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</si>
  <si>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</si>
  <si>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</si>
  <si>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</si>
  <si>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</si>
  <si>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</si>
  <si>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</si>
  <si>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</si>
  <si>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</si>
  <si>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</si>
  <si>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</si>
  <si>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</si>
  <si>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</si>
  <si>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</si>
  <si>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</si>
  <si>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</si>
  <si>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</si>
  <si>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</si>
  <si>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</si>
  <si>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</si>
  <si>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</si>
  <si>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</si>
  <si>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</si>
  <si>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</si>
  <si>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</si>
  <si>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</si>
  <si>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</si>
  <si>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</si>
  <si>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</si>
  <si>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</si>
  <si>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</si>
  <si>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</si>
  <si>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</si>
  <si>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</si>
  <si>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</si>
  <si>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</si>
  <si>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</si>
  <si>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</si>
  <si>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</si>
  <si>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</si>
  <si>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</si>
  <si>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</si>
  <si>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</si>
  <si>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</si>
  <si>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</si>
  <si>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</si>
  <si>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</si>
  <si>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</si>
  <si>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</si>
  <si>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</si>
  <si>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</si>
  <si>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</si>
  <si>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</si>
  <si>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</si>
  <si>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</si>
  <si>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</si>
  <si>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</si>
  <si>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</si>
  <si>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</si>
  <si>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</si>
  <si>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</si>
  <si>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</si>
  <si>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</si>
  <si>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</si>
  <si>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</si>
  <si>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</si>
  <si>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</si>
  <si>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</si>
  <si>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</si>
  <si>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</si>
  <si>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</si>
  <si>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</si>
  <si>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</si>
  <si>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</si>
  <si>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</si>
  <si>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</si>
  <si>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</si>
  <si>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</si>
  <si>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</si>
  <si>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</si>
  <si>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</si>
  <si>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</si>
  <si>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</si>
  <si>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</si>
  <si>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</si>
  <si>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</si>
  <si>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</si>
  <si>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</si>
  <si>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</si>
  <si>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</si>
  <si>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</si>
  <si>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</si>
  <si>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</si>
  <si>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</si>
  <si>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</si>
  <si>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</si>
  <si>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</si>
  <si>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</si>
  <si>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</si>
  <si>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</si>
  <si>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</si>
  <si>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</si>
  <si>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</si>
  <si>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</si>
  <si>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</si>
  <si>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</si>
  <si>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</si>
  <si>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</si>
  <si>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</si>
  <si>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</si>
  <si>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</si>
  <si>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</si>
  <si>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</si>
  <si>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</si>
  <si>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</si>
  <si>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</si>
  <si>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</si>
  <si>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</si>
  <si>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</si>
  <si>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</si>
  <si>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</si>
  <si>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</si>
  <si>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</si>
  <si>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</si>
  <si>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</si>
  <si>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</si>
  <si>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</si>
  <si>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</si>
  <si>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</si>
  <si>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</si>
  <si>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</si>
  <si>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</si>
  <si>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</si>
  <si>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</si>
  <si>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</si>
  <si>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</si>
  <si>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</si>
  <si>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</si>
  <si>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</si>
  <si>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</si>
  <si>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</si>
  <si>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</si>
  <si>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</si>
  <si>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</si>
  <si>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</si>
  <si>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</si>
  <si>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</si>
  <si>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</si>
  <si>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</si>
  <si>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</si>
  <si>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</si>
  <si>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</si>
  <si>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</si>
  <si>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</si>
  <si>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</si>
  <si>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</si>
  <si>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</si>
  <si>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</si>
  <si>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</si>
  <si>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</si>
  <si>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</si>
  <si>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</si>
  <si>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</si>
  <si>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</si>
  <si>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</si>
  <si>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</si>
  <si>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</si>
  <si>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</si>
  <si>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</si>
  <si>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</si>
  <si>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</si>
  <si>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</si>
  <si>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</si>
  <si>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</si>
  <si>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</si>
  <si>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</si>
  <si>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</si>
  <si>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</si>
  <si>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</si>
  <si>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</si>
  <si>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</si>
  <si>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</si>
  <si>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</si>
  <si>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</si>
  <si>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</si>
  <si>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</si>
  <si>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</si>
  <si>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</si>
  <si>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</si>
  <si>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</si>
  <si>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</si>
  <si>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</si>
  <si>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</si>
  <si>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</si>
  <si>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</si>
  <si>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</si>
  <si>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</si>
  <si>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</si>
  <si>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</si>
  <si>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</si>
  <si>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</si>
  <si>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</si>
  <si>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</si>
  <si>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</si>
  <si>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</si>
  <si>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</si>
  <si>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</si>
  <si>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</si>
  <si>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</si>
  <si>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</si>
  <si>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</si>
  <si>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</si>
  <si>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</si>
  <si>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</si>
  <si>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</si>
  <si>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</si>
  <si>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</si>
  <si>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</si>
  <si>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</si>
  <si>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</si>
  <si>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</si>
  <si>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</si>
  <si>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</si>
  <si>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</si>
  <si>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</si>
  <si>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</si>
  <si>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</si>
  <si>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</si>
  <si>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</si>
  <si>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</si>
  <si>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</si>
  <si>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</si>
  <si>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</si>
  <si>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</si>
  <si>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</si>
  <si>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</si>
  <si>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</si>
  <si>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</si>
  <si>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</si>
  <si>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</si>
  <si>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</si>
  <si>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</si>
  <si>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</si>
  <si>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</si>
  <si>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</si>
  <si>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</si>
  <si>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</si>
  <si>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</si>
  <si>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</si>
  <si>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</si>
  <si>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</si>
  <si>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</si>
  <si>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</si>
  <si>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</si>
  <si>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</si>
  <si>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</si>
  <si>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</si>
  <si>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</si>
  <si>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</si>
  <si>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</si>
  <si>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</si>
  <si>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</si>
  <si>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</si>
  <si>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</si>
  <si>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</si>
  <si>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</si>
  <si>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</si>
  <si>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</si>
  <si>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</si>
  <si>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</si>
  <si>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</si>
  <si>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</si>
  <si>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</si>
  <si>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</si>
  <si>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</si>
  <si>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</si>
  <si>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</si>
  <si>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</si>
  <si>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</si>
  <si>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</si>
  <si>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</si>
  <si>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</si>
  <si>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</si>
  <si>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</si>
  <si>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</si>
  <si>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</si>
  <si>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</si>
  <si>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</si>
  <si>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</si>
  <si>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</si>
  <si>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</si>
  <si>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</si>
  <si>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</si>
  <si>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</si>
  <si>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</si>
  <si>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</si>
  <si>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</si>
  <si>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</si>
  <si>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</si>
  <si>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</si>
  <si>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</si>
  <si>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</si>
  <si>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</si>
  <si>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</si>
  <si>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</si>
  <si>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</si>
  <si>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</si>
  <si>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</si>
  <si>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</si>
  <si>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</si>
  <si>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</si>
  <si>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</si>
  <si>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</si>
  <si>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</si>
  <si>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</si>
  <si>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</si>
  <si>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</si>
  <si>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</si>
  <si>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</si>
  <si>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</si>
  <si>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</si>
  <si>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</si>
  <si>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</si>
  <si>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</si>
  <si>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</si>
  <si>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</si>
  <si>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</si>
  <si>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</si>
  <si>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</si>
  <si>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</si>
  <si>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</si>
  <si>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</si>
  <si>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</si>
  <si>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</si>
  <si>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</si>
  <si>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</si>
  <si>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</si>
  <si>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</si>
  <si>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</si>
  <si>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</si>
  <si>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</si>
  <si>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</si>
  <si>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</si>
  <si>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</si>
  <si>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</si>
  <si>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</si>
  <si>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</si>
  <si>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</si>
  <si>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</si>
  <si>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</si>
  <si>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</si>
  <si>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</si>
  <si>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</si>
  <si>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</si>
  <si>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</si>
  <si>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</si>
  <si>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</si>
  <si>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</si>
  <si>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</si>
  <si>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</si>
  <si>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</si>
  <si>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</si>
  <si>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</si>
  <si>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</si>
  <si>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</si>
  <si>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</si>
  <si>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</si>
  <si>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</si>
  <si>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</si>
  <si>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</si>
  <si>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</si>
  <si>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</si>
  <si>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</si>
  <si>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</si>
  <si>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</si>
  <si>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</si>
  <si>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</si>
  <si>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</si>
  <si>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</si>
  <si>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</si>
  <si>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</si>
  <si>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</si>
  <si>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</si>
  <si>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</si>
  <si>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</si>
  <si>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</si>
  <si>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</si>
  <si>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</si>
  <si>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</si>
  <si>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</si>
  <si>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</si>
  <si>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</si>
  <si>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</si>
  <si>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</si>
  <si>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</si>
  <si>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</si>
  <si>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</si>
  <si>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</si>
  <si>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</si>
  <si>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</si>
  <si>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</si>
  <si>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</si>
  <si>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</si>
  <si>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</si>
  <si>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</si>
  <si>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</si>
  <si>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</si>
  <si>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</si>
  <si>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</si>
  <si>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</si>
  <si>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</si>
  <si>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</si>
  <si>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</si>
  <si>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</si>
  <si>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</si>
  <si>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</si>
  <si>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</si>
  <si>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</si>
  <si>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</si>
  <si>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</si>
  <si>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</si>
  <si>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</si>
  <si>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</si>
  <si>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</si>
  <si>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</si>
  <si>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</si>
  <si>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</si>
  <si>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</si>
  <si>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</si>
  <si>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</si>
  <si>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</si>
  <si>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</si>
  <si>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</si>
  <si>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</si>
  <si>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</si>
  <si>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</si>
  <si>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</si>
  <si>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</si>
  <si>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</si>
  <si>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</si>
  <si>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</si>
  <si>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</si>
  <si>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</si>
  <si>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</si>
  <si>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</si>
  <si>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</si>
  <si>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</si>
  <si>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</si>
  <si>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</si>
  <si>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</si>
  <si>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</si>
  <si>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</si>
  <si>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</si>
  <si>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</si>
  <si>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</si>
  <si>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</si>
  <si>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</si>
  <si>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</si>
  <si>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</si>
  <si>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</si>
  <si>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</si>
  <si>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</si>
  <si>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</si>
  <si>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</si>
  <si>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</si>
  <si>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</si>
  <si>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</si>
  <si>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</si>
  <si>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</si>
  <si>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</si>
  <si>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</si>
  <si>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</si>
  <si>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</si>
  <si>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</si>
  <si>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</si>
  <si>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</si>
  <si>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</si>
  <si>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</si>
  <si>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</si>
  <si>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</si>
  <si>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</si>
  <si>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</si>
  <si>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</si>
  <si>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</si>
  <si>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</si>
  <si>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</si>
  <si>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</si>
  <si>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</si>
  <si>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</si>
  <si>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</si>
  <si>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</si>
  <si>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</si>
  <si>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</si>
  <si>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</si>
  <si>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</si>
  <si>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</si>
  <si>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</si>
  <si>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</si>
  <si>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</si>
  <si>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</si>
  <si>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</si>
  <si>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</si>
  <si>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</si>
  <si>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</si>
  <si>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</si>
  <si>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</si>
  <si>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</si>
  <si>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</si>
  <si>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</si>
  <si>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</si>
  <si>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</si>
  <si>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</si>
  <si>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</si>
  <si>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</si>
  <si>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</si>
  <si>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</si>
  <si>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</si>
  <si>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</si>
  <si>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</si>
  <si>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</si>
  <si>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</si>
  <si>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</si>
  <si>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</si>
  <si>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</si>
  <si>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</si>
  <si>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</si>
  <si>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</si>
  <si>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</si>
  <si>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</si>
  <si>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</si>
  <si>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</si>
  <si>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</si>
  <si>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</si>
  <si>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</si>
  <si>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</si>
  <si>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</si>
  <si>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</si>
  <si>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</si>
  <si>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</si>
  <si>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</si>
  <si>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</si>
  <si>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</si>
  <si>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</si>
  <si>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</si>
  <si>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</si>
  <si>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</si>
  <si>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</si>
  <si>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</si>
  <si>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</si>
  <si>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</si>
  <si>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</si>
  <si>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</si>
  <si>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</si>
  <si>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</si>
  <si>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</si>
  <si>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</si>
  <si>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</si>
  <si>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</si>
  <si>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</si>
  <si>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</si>
  <si>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</si>
  <si>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</si>
  <si>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</si>
  <si>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</si>
  <si>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</si>
  <si>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</si>
  <si>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</si>
  <si>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</si>
  <si>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</si>
  <si>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</si>
  <si>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</si>
  <si>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</si>
  <si>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</si>
  <si>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</si>
  <si>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</si>
  <si>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</si>
  <si>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</si>
  <si>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</si>
  <si>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</si>
  <si>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</si>
  <si>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</si>
  <si>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</si>
  <si>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</si>
  <si>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</si>
  <si>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</si>
  <si>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</si>
  <si>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</si>
  <si>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</si>
  <si>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</si>
  <si>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</si>
  <si>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</si>
  <si>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</si>
  <si>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</si>
  <si>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</si>
  <si>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</si>
  <si>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</si>
  <si>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</si>
  <si>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</si>
  <si>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</si>
  <si>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</si>
  <si>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</si>
  <si>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</si>
  <si>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</si>
  <si>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</si>
  <si>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</si>
  <si>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</si>
  <si>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</si>
  <si>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</si>
  <si>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</si>
  <si>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</si>
  <si>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</si>
  <si>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</si>
  <si>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</si>
  <si>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</si>
  <si>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</si>
  <si>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</si>
  <si>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</si>
  <si>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</si>
  <si>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</si>
  <si>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</si>
  <si>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</si>
  <si>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</si>
  <si>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</si>
  <si>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</si>
  <si>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</si>
  <si>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</si>
  <si>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</si>
  <si>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</si>
  <si>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</si>
  <si>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</si>
  <si>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</si>
  <si>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</si>
  <si>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</si>
  <si>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</si>
  <si>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</si>
  <si>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</si>
  <si>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</si>
  <si>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</si>
  <si>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</si>
  <si>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</si>
  <si>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</si>
  <si>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</si>
  <si>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</si>
  <si>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</si>
  <si>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</si>
  <si>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</si>
  <si>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</si>
  <si>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</si>
  <si>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</si>
  <si>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</si>
  <si>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</si>
  <si>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</si>
  <si>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</si>
  <si>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</si>
  <si>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</si>
  <si>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</si>
  <si>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</si>
  <si>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</si>
  <si>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</si>
  <si>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</si>
  <si>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</si>
  <si>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</si>
  <si>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</si>
  <si>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</si>
  <si>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</si>
  <si>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</si>
  <si>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</si>
  <si>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</si>
  <si>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</si>
  <si>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</si>
  <si>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</si>
  <si>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</si>
  <si>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</si>
  <si>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</si>
  <si>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</si>
  <si>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</si>
  <si>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</si>
  <si>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</si>
  <si>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</si>
  <si>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</si>
  <si>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</si>
  <si>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</si>
  <si>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</si>
  <si>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</si>
  <si>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</si>
  <si>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</si>
  <si>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</si>
  <si>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</si>
  <si>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</si>
  <si>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</si>
  <si>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</si>
  <si>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</si>
  <si>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</si>
  <si>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</si>
  <si>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</si>
  <si>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</si>
  <si>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</si>
  <si>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</si>
  <si>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</si>
  <si>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</si>
  <si>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</si>
  <si>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</si>
  <si>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</si>
  <si>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</si>
  <si>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</si>
  <si>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</si>
  <si>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</si>
  <si>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</si>
  <si>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</si>
  <si>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</si>
  <si>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</si>
  <si>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</si>
  <si>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</si>
  <si>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</si>
  <si>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</si>
  <si>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</si>
  <si>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</si>
  <si>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</si>
  <si>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</si>
  <si>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</si>
  <si>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</si>
  <si>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</si>
  <si>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</si>
  <si>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</si>
  <si>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</si>
  <si>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</si>
  <si>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</si>
  <si>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</si>
  <si>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</si>
  <si>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</si>
  <si>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</si>
  <si>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</si>
  <si>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</si>
  <si>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</si>
  <si>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</si>
  <si>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</si>
  <si>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</si>
  <si>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</si>
  <si>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</si>
  <si>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</si>
  <si>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</si>
  <si>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</si>
  <si>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</si>
  <si>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</si>
  <si>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</si>
  <si>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</si>
  <si>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</si>
  <si>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</si>
  <si>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</si>
  <si>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</si>
  <si>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</si>
  <si>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</si>
  <si>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</si>
  <si>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</si>
  <si>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</si>
  <si>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</si>
  <si>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</si>
  <si>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</si>
  <si>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</si>
  <si>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</si>
  <si>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</si>
  <si>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</si>
  <si>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</si>
  <si>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</si>
  <si>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</si>
  <si>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</si>
  <si>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</si>
  <si>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</si>
  <si>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</si>
  <si>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</si>
  <si>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</si>
  <si>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</si>
  <si>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</si>
  <si>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</si>
  <si>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</si>
  <si>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</si>
  <si>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</si>
  <si>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</si>
  <si>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</si>
  <si>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</si>
  <si>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</si>
  <si>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</si>
  <si>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</si>
  <si>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</si>
  <si>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</si>
  <si>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</si>
  <si>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</si>
  <si>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</si>
  <si>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</si>
  <si>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</si>
  <si>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</si>
  <si>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</si>
  <si>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</si>
  <si>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</si>
  <si>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</si>
  <si>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</si>
  <si>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</si>
  <si>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</si>
  <si>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</si>
  <si>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</si>
  <si>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</si>
  <si>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</si>
  <si>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</si>
  <si>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</si>
  <si>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</si>
  <si>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</si>
  <si>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</si>
  <si>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</si>
  <si>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</si>
  <si>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</si>
  <si>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</si>
  <si>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</si>
  <si>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</si>
  <si>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</si>
  <si>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</si>
  <si>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</si>
  <si>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</si>
  <si>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</si>
  <si>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</si>
  <si>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</si>
  <si>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</si>
  <si>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</si>
  <si>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</si>
  <si>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</si>
  <si>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</si>
  <si>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</si>
  <si>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</si>
  <si>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</si>
  <si>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</si>
  <si>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</si>
  <si>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</si>
  <si>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</si>
  <si>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</si>
  <si>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</si>
  <si>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</si>
  <si>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</si>
  <si>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</si>
  <si>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</si>
  <si>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</si>
  <si>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</si>
  <si>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</si>
  <si>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</si>
  <si>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</si>
  <si>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</si>
  <si>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</si>
  <si>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</si>
  <si>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</si>
  <si>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</si>
  <si>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</si>
  <si>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</si>
  <si>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</si>
  <si>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</si>
  <si>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</si>
  <si>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</si>
  <si>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</si>
  <si>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</si>
  <si>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</si>
  <si>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</si>
  <si>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</si>
  <si>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</si>
  <si>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</si>
  <si>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</si>
  <si>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</si>
  <si>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</si>
  <si>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</si>
  <si>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</si>
  <si>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</si>
  <si>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</si>
  <si>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</si>
  <si>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</si>
  <si>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</si>
  <si>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</si>
  <si>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</si>
  <si>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</si>
  <si>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</si>
  <si>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</si>
  <si>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</si>
  <si>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</si>
  <si>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</si>
  <si>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</si>
  <si>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</si>
  <si>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</si>
  <si>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</si>
  <si>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</si>
  <si>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</si>
  <si>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</si>
  <si>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</si>
  <si>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</si>
  <si>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</si>
  <si>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</si>
  <si>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</si>
  <si>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</si>
  <si>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</si>
  <si>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</si>
  <si>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</si>
  <si>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</si>
  <si>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</si>
  <si>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</si>
  <si>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</si>
  <si>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</si>
  <si>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</si>
  <si>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</si>
  <si>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</si>
  <si>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</si>
  <si>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</si>
  <si>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</si>
  <si>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</si>
  <si>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</si>
  <si>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</si>
  <si>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</si>
  <si>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</si>
  <si>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</si>
  <si>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</si>
  <si>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</si>
  <si>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</si>
  <si>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</si>
  <si>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</si>
  <si>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</si>
  <si>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</si>
  <si>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</si>
  <si>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</si>
  <si>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</si>
  <si>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</si>
  <si>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</si>
  <si>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</si>
  <si>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</si>
  <si>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</si>
  <si>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</si>
  <si>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</si>
  <si>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</si>
  <si>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</si>
  <si>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</si>
  <si>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</si>
  <si>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</si>
  <si>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</si>
  <si>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</si>
  <si>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</si>
  <si>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</si>
  <si>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</si>
  <si>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</si>
  <si>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</si>
  <si>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</si>
  <si>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</si>
  <si>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</si>
  <si>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</si>
  <si>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</si>
  <si>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</si>
  <si>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</si>
  <si>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</si>
  <si>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</si>
  <si>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</si>
  <si>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</si>
  <si>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</si>
  <si>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</si>
  <si>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</si>
  <si>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</si>
  <si>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</si>
  <si>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</si>
  <si>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</si>
  <si>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</si>
  <si>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</si>
  <si>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</si>
  <si>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</si>
  <si>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</si>
  <si>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</si>
  <si>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</si>
  <si>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</si>
  <si>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</si>
  <si>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</si>
  <si>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</si>
  <si>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</si>
  <si>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</si>
  <si>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</si>
  <si>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</si>
  <si>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</si>
  <si>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</si>
  <si>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</si>
  <si>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</si>
  <si>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</si>
  <si>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</si>
  <si>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</si>
  <si>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</si>
  <si>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</si>
  <si>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</si>
  <si>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</si>
  <si>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</si>
  <si>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</si>
  <si>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</si>
  <si>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</si>
  <si>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</si>
  <si>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</si>
  <si>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</si>
  <si>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</si>
  <si>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</si>
  <si>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</si>
  <si>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</si>
  <si>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</si>
  <si>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</si>
  <si>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</si>
  <si>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</si>
  <si>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</si>
  <si>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</si>
  <si>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</si>
  <si>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</si>
  <si>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</si>
  <si>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</si>
  <si>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</si>
  <si>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</si>
  <si>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</si>
  <si>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</si>
  <si>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</si>
  <si>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</si>
  <si>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</si>
  <si>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</si>
  <si>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</si>
  <si>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</si>
  <si>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</si>
  <si>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</si>
  <si>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</si>
  <si>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</si>
  <si>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</si>
  <si>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</si>
  <si>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</si>
  <si>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</si>
  <si>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</si>
  <si>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</si>
  <si>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</si>
  <si>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</si>
  <si>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</si>
  <si>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</si>
  <si>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</si>
  <si>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</si>
  <si>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</si>
  <si>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</si>
  <si>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</si>
  <si>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</si>
  <si>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</si>
  <si>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</si>
  <si>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</si>
  <si>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</si>
  <si>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</si>
  <si>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</si>
  <si>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</si>
  <si>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</si>
  <si>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</si>
  <si>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</si>
  <si>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</si>
  <si>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</si>
  <si>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</si>
  <si>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</si>
  <si>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</si>
  <si>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</si>
  <si>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</si>
  <si>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</si>
  <si>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</si>
  <si>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</si>
  <si>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</si>
  <si>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</si>
  <si>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</si>
  <si>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</si>
  <si>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</si>
  <si>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</si>
  <si>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</si>
  <si>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</si>
  <si>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</si>
  <si>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</si>
  <si>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</si>
  <si>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</si>
  <si>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</si>
  <si>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</si>
  <si>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</si>
  <si>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</si>
  <si>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</si>
  <si>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</si>
  <si>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</si>
  <si>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</si>
  <si>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</si>
  <si>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</si>
  <si>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</si>
  <si>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</si>
  <si>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</si>
  <si>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</si>
  <si>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</si>
  <si>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</si>
  <si>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</si>
  <si>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</si>
  <si>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</si>
  <si>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</si>
  <si>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</si>
  <si>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</si>
  <si>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</si>
  <si>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</si>
  <si>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</si>
  <si>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</si>
  <si>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</si>
  <si>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</si>
  <si>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</si>
  <si>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</si>
  <si>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</si>
  <si>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</si>
  <si>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</si>
  <si>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</si>
  <si>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</si>
  <si>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</si>
  <si>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</si>
  <si>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</si>
  <si>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</si>
  <si>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</si>
  <si>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</si>
  <si>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</si>
  <si>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</si>
  <si>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</si>
  <si>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</si>
  <si>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</si>
  <si>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</si>
  <si>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</si>
  <si>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</si>
  <si>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</si>
  <si>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</si>
  <si>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</si>
  <si>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</si>
  <si>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</si>
  <si>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</si>
  <si>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</si>
  <si>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</si>
  <si>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</si>
  <si>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</si>
  <si>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</si>
  <si>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</si>
  <si>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</si>
  <si>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</si>
  <si>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</si>
  <si>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</si>
  <si>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</si>
  <si>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</si>
  <si>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</si>
  <si>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</si>
  <si>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</si>
  <si>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</si>
  <si>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</si>
  <si>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</si>
  <si>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</si>
  <si>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</si>
  <si>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</si>
  <si>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</si>
  <si>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</si>
  <si>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</si>
  <si>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</si>
  <si>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</si>
  <si>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</si>
  <si>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</si>
  <si>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</si>
  <si>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</si>
  <si>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</si>
  <si>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</si>
  <si>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</si>
  <si>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</si>
  <si>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</si>
  <si>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</si>
  <si>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</si>
  <si>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</si>
  <si>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</si>
  <si>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</si>
  <si>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</si>
  <si>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</si>
  <si>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</si>
  <si>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</si>
  <si>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</si>
  <si>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</si>
  <si>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</si>
  <si>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</si>
  <si>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</si>
  <si>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</si>
  <si>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</si>
  <si>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</si>
  <si>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</si>
  <si>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</si>
  <si>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</si>
  <si>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</si>
  <si>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</si>
  <si>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</si>
  <si>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</si>
  <si>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</si>
  <si>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</si>
  <si>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</si>
  <si>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</si>
  <si>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</si>
  <si>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</si>
  <si>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</si>
  <si>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</si>
  <si>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</si>
  <si>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</si>
  <si>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</si>
  <si>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</si>
  <si>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</si>
  <si>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</si>
  <si>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</si>
  <si>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</si>
  <si>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</si>
  <si>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</si>
  <si>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</si>
  <si>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</si>
  <si>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</si>
  <si>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</si>
  <si>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</si>
  <si>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</si>
  <si>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</si>
  <si>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</si>
  <si>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</si>
  <si>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</si>
  <si>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</si>
  <si>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</si>
  <si>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</si>
  <si>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</si>
  <si>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</si>
  <si>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</si>
  <si>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</si>
  <si>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</si>
  <si>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</si>
  <si>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</si>
  <si>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</si>
  <si>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</si>
  <si>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</si>
  <si>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</si>
  <si>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</si>
  <si>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</si>
  <si>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</si>
  <si>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</si>
  <si>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</si>
  <si>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</si>
  <si>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</si>
  <si>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</si>
  <si>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</si>
  <si>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</si>
  <si>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</si>
  <si>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</si>
  <si>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</si>
  <si>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</si>
  <si>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</si>
  <si>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</si>
  <si>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</si>
  <si>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</si>
  <si>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</si>
  <si>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</si>
  <si>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</si>
  <si>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</si>
  <si>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</si>
  <si>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</si>
  <si>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</si>
  <si>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</si>
  <si>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</si>
  <si>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</si>
  <si>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</si>
  <si>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</si>
  <si>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</si>
  <si>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</si>
  <si>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</si>
  <si>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</si>
  <si>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</si>
  <si>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</si>
  <si>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</si>
  <si>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</si>
  <si>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</si>
  <si>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</si>
  <si>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</si>
  <si>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</si>
  <si>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</si>
  <si>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</si>
  <si>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</si>
  <si>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</si>
  <si>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</si>
  <si>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</si>
  <si>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</si>
  <si>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</si>
  <si>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</si>
  <si>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</si>
  <si>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</si>
  <si>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</si>
  <si>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</si>
  <si>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</si>
  <si>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</si>
  <si>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</si>
  <si>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</si>
  <si>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</si>
  <si>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</si>
  <si>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</si>
  <si>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</si>
  <si>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</si>
  <si>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</si>
  <si>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</si>
  <si>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</si>
  <si>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</si>
  <si>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</si>
  <si>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</si>
  <si>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</si>
  <si>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</si>
  <si>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</si>
  <si>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</si>
  <si>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</si>
  <si>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</si>
  <si>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</si>
  <si>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</si>
  <si>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</si>
  <si>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</si>
  <si>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</si>
  <si>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</si>
  <si>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</si>
  <si>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</si>
  <si>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</si>
  <si>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</si>
  <si>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</si>
  <si>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</si>
  <si>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</si>
  <si>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</si>
  <si>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</si>
  <si>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</si>
  <si>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</si>
  <si>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</si>
  <si>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</si>
  <si>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</si>
  <si>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</si>
  <si>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</si>
  <si>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</si>
  <si>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</si>
  <si>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</si>
  <si>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</si>
  <si>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</si>
  <si>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</si>
  <si>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</si>
  <si>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</si>
  <si>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</si>
  <si>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</si>
  <si>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</si>
  <si>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</si>
  <si>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</si>
  <si>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</si>
  <si>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</si>
  <si>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</si>
  <si>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</si>
  <si>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</si>
  <si>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</si>
  <si>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</si>
  <si>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</si>
  <si>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</si>
  <si>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</si>
  <si>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</si>
  <si>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</si>
  <si>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</si>
  <si>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</si>
  <si>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</si>
  <si>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</si>
  <si>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</si>
  <si>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</si>
  <si>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</si>
  <si>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</si>
  <si>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</si>
  <si>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</si>
  <si>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</si>
  <si>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</si>
  <si>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</si>
  <si>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</si>
  <si>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</si>
  <si>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</si>
  <si>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</si>
  <si>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</si>
  <si>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</si>
  <si>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</si>
  <si>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</si>
  <si>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</si>
  <si>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</si>
  <si>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</si>
  <si>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</si>
  <si>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</si>
  <si>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</si>
  <si>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</si>
  <si>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</si>
  <si>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</si>
  <si>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</si>
  <si>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</si>
  <si>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</si>
  <si>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</si>
  <si>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</si>
  <si>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</si>
  <si>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</si>
  <si>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</si>
  <si>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</si>
  <si>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</si>
  <si>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</si>
  <si>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</si>
  <si>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</si>
  <si>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</si>
  <si>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</si>
  <si>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</si>
  <si>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</si>
  <si>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</si>
  <si>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</si>
  <si>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</si>
  <si>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</si>
  <si>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</si>
  <si>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</si>
  <si>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</si>
  <si>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</si>
  <si>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</si>
  <si>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</si>
  <si>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</si>
  <si>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</si>
  <si>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</si>
  <si>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</si>
  <si>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</si>
  <si>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</si>
  <si>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</si>
  <si>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</si>
  <si>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</si>
  <si>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</si>
  <si>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</si>
  <si>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</si>
  <si>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</si>
  <si>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</si>
  <si>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</si>
  <si>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</si>
  <si>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</si>
  <si>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</si>
  <si>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</si>
  <si>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</si>
  <si>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</si>
  <si>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</si>
  <si>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</si>
  <si>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</si>
  <si>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</si>
  <si>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</si>
  <si>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</si>
  <si>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</si>
  <si>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</si>
  <si>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</si>
  <si>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</si>
  <si>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</si>
  <si>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</si>
  <si>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</si>
  <si>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</si>
  <si>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</si>
  <si>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</si>
  <si>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</si>
  <si>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</si>
  <si>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</si>
  <si>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</si>
  <si>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</si>
  <si>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</si>
  <si>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</si>
  <si>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</si>
  <si>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</si>
  <si>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</si>
  <si>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</si>
  <si>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</si>
  <si>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</si>
  <si>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</si>
  <si>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</si>
  <si>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</si>
  <si>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</si>
  <si>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</si>
  <si>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</si>
  <si>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</si>
  <si>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</si>
  <si>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</si>
  <si>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</si>
  <si>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</si>
  <si>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</si>
  <si>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</si>
  <si>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</si>
  <si>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</si>
  <si>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</si>
  <si>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</si>
  <si>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</si>
  <si>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</si>
  <si>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</si>
  <si>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</si>
  <si>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</si>
  <si>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</si>
  <si>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</si>
  <si>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</si>
  <si>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</si>
  <si>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</si>
  <si>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Central Valley Coalition for Affordable Housing</t>
  </si>
  <si>
    <t>Shiloh Terrace</t>
  </si>
  <si>
    <t>Town of Windsor</t>
  </si>
  <si>
    <t>J. Matthew Mullan</t>
  </si>
  <si>
    <t>Box 100</t>
  </si>
  <si>
    <t xml:space="preserve">Windsor </t>
  </si>
  <si>
    <t>(707) 838-1000</t>
  </si>
  <si>
    <t>(707) 838-7349</t>
  </si>
  <si>
    <t>mmullan@townofwindsor.com</t>
  </si>
  <si>
    <t>CDLAC-TCAC Joint Application (submitting concurrently)</t>
  </si>
  <si>
    <t>6011 Shiloh Rd and 6035-6050 Old Redwood Highway</t>
  </si>
  <si>
    <t>Windsor</t>
  </si>
  <si>
    <t>163-171-031 &amp; 163-171-032 and 163-171-037</t>
  </si>
  <si>
    <t>High Resource</t>
  </si>
  <si>
    <t>$500M</t>
  </si>
  <si>
    <t>40%/60% Average Income</t>
  </si>
  <si>
    <t>3351 "M" Street, Suite #100</t>
  </si>
  <si>
    <t>CA</t>
  </si>
  <si>
    <t>Christina Alley</t>
  </si>
  <si>
    <t>(209) 388-0782</t>
  </si>
  <si>
    <t>chris@centralvalleycoalition.com</t>
  </si>
  <si>
    <t>CRP Shiloh Terrace AGP LLC</t>
  </si>
  <si>
    <t>4455 Morena Blvd Suite #107</t>
  </si>
  <si>
    <t>Administrative GP</t>
  </si>
  <si>
    <t>Paul Salib</t>
  </si>
  <si>
    <t>212-776-1914</t>
  </si>
  <si>
    <t>psalib@crpaffordable.com</t>
  </si>
  <si>
    <t>Managing GP</t>
  </si>
  <si>
    <t>CRP Affordable Housing and Community Development LLC</t>
  </si>
  <si>
    <t>Seth Sterneck</t>
  </si>
  <si>
    <t>(516) 375-1402</t>
  </si>
  <si>
    <t>ssterneck@crpaffordable.com</t>
  </si>
  <si>
    <t>Developer</t>
  </si>
  <si>
    <t>CRP Affordable Housing and Community Development CA LLC</t>
  </si>
  <si>
    <t>San Diego, CA, 92117</t>
  </si>
  <si>
    <t>Hobson Bernardino + Davis LLP</t>
  </si>
  <si>
    <t>6060 Center Drive, Floor 10</t>
  </si>
  <si>
    <t>Los Angeles, CA 90045</t>
  </si>
  <si>
    <t>Jason Hobson</t>
  </si>
  <si>
    <t>San Diego, CA 92117</t>
  </si>
  <si>
    <t>213-235-9191</t>
  </si>
  <si>
    <t>jhobson@hbdlegal.com</t>
  </si>
  <si>
    <t>Partner Energy</t>
  </si>
  <si>
    <t>680 Knox St., Suite 150</t>
  </si>
  <si>
    <t>Los Angeles, CA 90502</t>
  </si>
  <si>
    <t>Kelsey Shaw</t>
  </si>
  <si>
    <t>310-356-2199</t>
  </si>
  <si>
    <t>760-355-675</t>
  </si>
  <si>
    <t>kshaw@ptrenergy.com</t>
  </si>
  <si>
    <t>Novogradac and Company LLP</t>
  </si>
  <si>
    <t>6700 Antioch Road, Suite 450</t>
  </si>
  <si>
    <t>Merriam, KS 66204</t>
  </si>
  <si>
    <t>Thomas Stagg</t>
  </si>
  <si>
    <t>515.519.1234</t>
  </si>
  <si>
    <t>thomas.stagg@novoco.com</t>
  </si>
  <si>
    <t>Rachel Denton</t>
  </si>
  <si>
    <t>(913) 312-4612</t>
  </si>
  <si>
    <t>rachel.denton@novoco.com</t>
  </si>
  <si>
    <t>Hyder Property Management Professionals, LLC</t>
  </si>
  <si>
    <t>1649 Capalina Road, Suite 500</t>
  </si>
  <si>
    <t>San Marcos, CA 92069</t>
  </si>
  <si>
    <t>Gary Da Prato</t>
  </si>
  <si>
    <t>(760) 591-9737</t>
  </si>
  <si>
    <t>(760) 591-9784</t>
  </si>
  <si>
    <t>gdaprato@hyderco.com</t>
  </si>
  <si>
    <t>Chartrand Family Living Trust &amp; Merner Land Company</t>
  </si>
  <si>
    <t>Patricia Van Eugers &amp; Carl J Merner</t>
  </si>
  <si>
    <t>Trustee</t>
  </si>
  <si>
    <t>Other (Specify below)</t>
  </si>
  <si>
    <t>Garden style type V- A construction.</t>
  </si>
  <si>
    <t>TBD</t>
  </si>
  <si>
    <t xml:space="preserve">6011 – BMU. MDR at 6035/6050. </t>
  </si>
  <si>
    <t>Boulevard Commercial: 32 DU/acre at 6011. Max. Density is 1.5 x base density (108) DU x 3.39 ac = 162 units 
Medium Density Residential: 16 DU/acres at 6035/6050 Old Redwood Highway. Max. Density is 1.5 x base density (16 DU) x 1 ac = 24 units.</t>
  </si>
  <si>
    <t>Same - No changes</t>
  </si>
  <si>
    <t xml:space="preserve"> Yes, 20% of units to be affordable or in lieu fee</t>
  </si>
  <si>
    <t>BC - Maximum 4 stories. MDR – Maximum 3 stories and 35’</t>
  </si>
  <si>
    <t>Federal LIHTC Equity</t>
  </si>
  <si>
    <t>State LIHTC Equity</t>
  </si>
  <si>
    <t>Deferred Costs</t>
  </si>
  <si>
    <t>300 South Grand Avenue</t>
  </si>
  <si>
    <t>Hao Li</t>
  </si>
  <si>
    <t xml:space="preserve">213-239-1914					</t>
  </si>
  <si>
    <t>213-239-1914</t>
  </si>
  <si>
    <t>Tax Exempt Bonds/Private</t>
  </si>
  <si>
    <t>Tax Equity/Private</t>
  </si>
  <si>
    <t>CalHFA MIP</t>
  </si>
  <si>
    <t>AFR</t>
  </si>
  <si>
    <t>Private</t>
  </si>
  <si>
    <t>App Fees, Late, Etc</t>
  </si>
  <si>
    <t>Sonoma County Housing Authority</t>
  </si>
  <si>
    <t>(Phone, Supplies, Credit Check)</t>
  </si>
  <si>
    <t>(Taxes and Benefits)</t>
  </si>
  <si>
    <t>(Supplies + Miscellaenous)</t>
  </si>
  <si>
    <t>Other: (Payment &amp; Performance Bonds)</t>
  </si>
  <si>
    <t>Other: (Issuer Fee+ Administrative Fee)</t>
  </si>
  <si>
    <t>Other: (Lender inspection Fees)</t>
  </si>
  <si>
    <t>Other: (Replacement Reserve)</t>
  </si>
  <si>
    <t>Other: (3rd Party Construction Mgmt.+predevelopment loan interest)</t>
  </si>
  <si>
    <t>Other: Misc Report &amp; Consultant Fees</t>
  </si>
  <si>
    <t xml:space="preserve">Central Valley Coalition for Affordable Housing </t>
  </si>
  <si>
    <t>Studio T Square</t>
  </si>
  <si>
    <t>1970 Broadway, Ste. 615</t>
  </si>
  <si>
    <t>Oakland, CA 94612</t>
  </si>
  <si>
    <t>Howai Lai</t>
  </si>
  <si>
    <t>510.808.5716</t>
  </si>
  <si>
    <t>hlai@studiot-sq.com</t>
  </si>
  <si>
    <t>CalHFA</t>
  </si>
  <si>
    <t>Kevin Brown</t>
  </si>
  <si>
    <t>4455 Morena Boulevard Suite 107</t>
  </si>
  <si>
    <t>15 years</t>
  </si>
  <si>
    <t>Land Cost</t>
  </si>
  <si>
    <t>NO</t>
  </si>
  <si>
    <t>Chatrand Family Living Trust &amp; Merner Land Company</t>
  </si>
  <si>
    <t>CRP Shiloh Terrace LP</t>
  </si>
  <si>
    <t>AIA A101 3/1/2021</t>
  </si>
  <si>
    <t>The Contract Documents consist of this Agreement, Conditions of the Contract (General, Supplementary, and other
Conditions), Drawings, Specifications, Addenda issued prior to execution of this Agreement, other documents listed
in this Agreement, and Modifications issued after execution of this Agreement, all of which form the Contract, and
are as fully a part of the Contract as if attached to this Agreement or repeated herein. The Contract represents the
entire and integrated agreement between the parties hereto and supersedes prior negotiations, representations, or
agreements, either written or oral.</t>
  </si>
  <si>
    <t>Y</t>
  </si>
  <si>
    <t>Phase I</t>
  </si>
  <si>
    <t>Authorised Signatory</t>
  </si>
  <si>
    <t>500 Capitol Mall, Suite 400, MS 990</t>
  </si>
  <si>
    <t>Sacramento, CA  95814</t>
  </si>
  <si>
    <t>(916) 326-8808</t>
  </si>
  <si>
    <t>Mixed Income Program</t>
  </si>
  <si>
    <t>Sacramento CA 95814</t>
  </si>
  <si>
    <t>kbrown@calhfa.ca.gov</t>
  </si>
  <si>
    <t>84 Hours/yr</t>
  </si>
  <si>
    <t>60 Hours/yr</t>
  </si>
  <si>
    <t>Project Cash Flow</t>
  </si>
  <si>
    <t>IO</t>
  </si>
  <si>
    <t>Fixed</t>
  </si>
  <si>
    <t>1.5 stalls per unit</t>
  </si>
  <si>
    <t>CalHFA Permanent Loan</t>
  </si>
  <si>
    <t>Citi Construction Loan (Tax Exempt)</t>
  </si>
  <si>
    <t>Citi Construction Loan (Taxable)</t>
  </si>
  <si>
    <t>Bonds/Private</t>
  </si>
  <si>
    <t>Other: (Sponsor Legal + CalHFA Cost of Issuance Fee + GP Legal)</t>
  </si>
  <si>
    <t>Other: (Final Cost Audit Expense</t>
  </si>
  <si>
    <t>Not Applicable</t>
  </si>
  <si>
    <t>Provided</t>
  </si>
  <si>
    <t>Re-Application</t>
  </si>
  <si>
    <t>Highland PM, LLC</t>
  </si>
  <si>
    <t>1750 Sixth Avenue</t>
  </si>
  <si>
    <t>San Diego, CA. 92101</t>
  </si>
  <si>
    <t>J. David Gardner</t>
  </si>
  <si>
    <t>www.Highland-Ca.com</t>
  </si>
  <si>
    <t>12/7/2020 &amp; 11/7/2020</t>
  </si>
  <si>
    <t>10/3/2021 &amp; 2/28/2022</t>
  </si>
  <si>
    <t>800 Third Ave, Suite 3700</t>
  </si>
  <si>
    <t>New York, NY 10022</t>
  </si>
  <si>
    <t>Neala Martin</t>
  </si>
  <si>
    <t>212.405.2652</t>
  </si>
  <si>
    <t>(at leasr 60 hours per year per 100 bedrooms)  Individualized Health and Wellness services</t>
  </si>
  <si>
    <t>(at least 84 hours per year) Instructor-led adult educational, health &amp; wellness or skill building classes</t>
  </si>
  <si>
    <t>Hyder Property Management</t>
  </si>
  <si>
    <t>CREA</t>
  </si>
  <si>
    <t>nmartin@creallc.com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</si>
</sst>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14" fontId="11" fillId="5" borderId="3" xfId="0" applyNumberFormat="1" applyFont="1" applyFill="1" applyBorder="1" applyAlignment="1" applyProtection="1">
      <alignment horizontal="center"/>
      <protection locked="0"/>
    </xf>
    <xf numFmtId="14" fontId="11" fillId="5" borderId="4" xfId="0" applyNumberFormat="1" applyFont="1" applyFill="1" applyBorder="1" applyAlignment="1" applyProtection="1">
      <alignment horizontal="center"/>
      <protection locked="0"/>
    </xf>
    <xf numFmtId="14" fontId="11" fillId="5" borderId="5" xfId="0" applyNumberFormat="1"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wrapText="1"/>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166" fontId="11" fillId="54" borderId="4" xfId="0" applyNumberFormat="1" applyFont="1" applyFill="1" applyBorder="1" applyAlignment="1" applyProtection="1">
      <alignment horizontal="left"/>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wrapText="1"/>
      <protection locked="0"/>
    </xf>
    <xf numFmtId="0" fontId="20" fillId="0" borderId="6" xfId="0" applyFont="1" applyBorder="1" applyAlignment="1" applyProtection="1">
      <alignment horizontal="lef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9" fillId="5" borderId="3" xfId="0" applyFont="1" applyFill="1" applyBorder="1" applyAlignment="1" applyProtection="1">
      <alignment horizontal="left"/>
      <protection locked="0"/>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20" fillId="0" borderId="3" xfId="0" applyFont="1" applyBorder="1" applyAlignment="1" applyProtection="1">
      <alignment horizontal="left"/>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1" fillId="48" borderId="68" xfId="12933" applyNumberFormat="1" applyFill="1" applyBorder="1" applyAlignment="1" applyProtection="1">
      <alignment horizontal="center"/>
      <protection locked="0"/>
    </xf>
    <xf numFmtId="9" fontId="1" fillId="48" borderId="69" xfId="12933" applyNumberFormat="1" applyFill="1" applyBorder="1" applyAlignment="1" applyProtection="1">
      <alignment horizontal="center"/>
      <protection locked="0"/>
    </xf>
    <xf numFmtId="9" fontId="1" fillId="48" borderId="70" xfId="12933"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1" fontId="4" fillId="48" borderId="3" xfId="4501" applyNumberFormat="1" applyFill="1" applyBorder="1" applyAlignment="1" applyProtection="1">
      <alignment horizontal="center"/>
      <protection locked="0"/>
    </xf>
    <xf numFmtId="1" fontId="4" fillId="48" borderId="4" xfId="4501" applyNumberFormat="1" applyFill="1" applyBorder="1" applyAlignment="1" applyProtection="1">
      <alignment horizontal="center"/>
      <protection locked="0"/>
    </xf>
    <xf numFmtId="1" fontId="4" fillId="48" borderId="5" xfId="4501" applyNumberFormat="1" applyFill="1" applyBorder="1" applyAlignment="1" applyProtection="1">
      <alignment horizontal="center"/>
      <protection locked="0"/>
    </xf>
    <xf numFmtId="1" fontId="151" fillId="48" borderId="92" xfId="4501" applyNumberFormat="1" applyFont="1" applyFill="1" applyBorder="1" applyAlignment="1" applyProtection="1">
      <alignment horizontal="center"/>
      <protection locked="0"/>
    </xf>
    <xf numFmtId="1" fontId="151" fillId="48" borderId="78" xfId="4501" applyNumberFormat="1" applyFont="1" applyFill="1" applyBorder="1" applyAlignment="1" applyProtection="1">
      <alignment horizontal="center"/>
      <protection locked="0"/>
    </xf>
    <xf numFmtId="1" fontId="151" fillId="48" borderId="91" xfId="4501" applyNumberFormat="1" applyFon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2" fillId="48" borderId="13"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2" fillId="48" borderId="75" xfId="4501" applyFont="1" applyFill="1" applyBorder="1" applyAlignment="1" applyProtection="1">
      <alignment horizontal="center"/>
      <protection locked="0"/>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3"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5"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2" fillId="48" borderId="82" xfId="4501" applyFont="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2" fillId="48" borderId="11" xfId="4501" applyFont="1" applyFill="1" applyBorder="1" applyAlignment="1" applyProtection="1">
      <alignment horizontal="center"/>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8"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14" fontId="4" fillId="48" borderId="68" xfId="4501" applyNumberForma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2"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4" fillId="48" borderId="68" xfId="4501" applyFill="1" applyBorder="1" applyAlignment="1" applyProtection="1">
      <alignment horizontal="center"/>
      <protection locked="0"/>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7147">
    <cellStyle name="20% - Accent1" xfId="1" builtinId="30" customBuiltin="1"/>
    <cellStyle name="20% - Accent1 10" xfId="4507" xr:uid="{00000000-0005-0000-0000-000001000000}"/>
    <cellStyle name="20% - Accent1 10 2" xfId="12936" xr:uid="{FB4F7149-0BFB-425D-89BC-5BA4F6B37428}"/>
    <cellStyle name="20% - Accent1 11" xfId="8718" xr:uid="{213339DB-252E-4574-A794-8BF6CE48A800}"/>
    <cellStyle name="20% - Accent1 2" xfId="2" xr:uid="{00000000-0005-0000-0000-000002000000}"/>
    <cellStyle name="20% - Accent1 2 10" xfId="8719" xr:uid="{A9F0E6EB-5E9C-4F3E-B8CA-241E7C6AFACF}"/>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344F304E-29B7-4E01-9425-91675869A30E}"/>
    <cellStyle name="20% - Accent1 2 2 2 2 2 3" xfId="11280" xr:uid="{19BAB77A-5E95-4374-A44A-380A7B309CA5}"/>
    <cellStyle name="20% - Accent1 2 2 2 2 3" xfId="4924" xr:uid="{00000000-0005-0000-0000-000008000000}"/>
    <cellStyle name="20% - Accent1 2 2 2 2 3 2" xfId="13353" xr:uid="{D27AAF85-69F0-48DB-AFBF-5D2681EB2621}"/>
    <cellStyle name="20% - Accent1 2 2 2 2 4" xfId="9135" xr:uid="{CF89DCC1-C19A-4146-8559-88467E662D53}"/>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F1DDF049-33B7-433B-A3EE-E265405F8278}"/>
    <cellStyle name="20% - Accent1 2 2 2 3 2 3" xfId="11693" xr:uid="{FC5B198B-C062-4924-9753-06AE3EF1345C}"/>
    <cellStyle name="20% - Accent1 2 2 2 3 3" xfId="5337" xr:uid="{00000000-0005-0000-0000-00000C000000}"/>
    <cellStyle name="20% - Accent1 2 2 2 3 3 2" xfId="13766" xr:uid="{22EF61B5-D272-42E3-A4BB-85866235B2D9}"/>
    <cellStyle name="20% - Accent1 2 2 2 3 4" xfId="9548" xr:uid="{120F1F00-CE00-4352-A905-A0EE449C0995}"/>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A9B7D5DB-01AA-4C57-8E6A-8F14ED9BC8AF}"/>
    <cellStyle name="20% - Accent1 2 2 2 4 2 3" xfId="12106" xr:uid="{D2EED0D4-DCB6-4A75-A0F7-CCF188265A85}"/>
    <cellStyle name="20% - Accent1 2 2 2 4 3" xfId="5750" xr:uid="{00000000-0005-0000-0000-000010000000}"/>
    <cellStyle name="20% - Accent1 2 2 2 4 3 2" xfId="14179" xr:uid="{5EB2856F-5042-410D-99A2-BE760AC4D9C8}"/>
    <cellStyle name="20% - Accent1 2 2 2 4 4" xfId="9961" xr:uid="{EA4ECF19-C263-4B7A-A794-EB183F801015}"/>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A65282AB-F317-4200-86BC-8064B8607303}"/>
    <cellStyle name="20% - Accent1 2 2 2 5 2 3" xfId="12519" xr:uid="{632FAEDE-A74F-4B36-91AF-740FC31B2619}"/>
    <cellStyle name="20% - Accent1 2 2 2 5 3" xfId="6163" xr:uid="{00000000-0005-0000-0000-000014000000}"/>
    <cellStyle name="20% - Accent1 2 2 2 5 3 2" xfId="14592" xr:uid="{A99605F6-1C4E-46B5-9E69-730CC416A928}"/>
    <cellStyle name="20% - Accent1 2 2 2 5 4" xfId="10374" xr:uid="{2D425F28-4823-45FB-8635-A67723CE78F6}"/>
    <cellStyle name="20% - Accent1 2 2 2 6" xfId="2268" xr:uid="{00000000-0005-0000-0000-000015000000}"/>
    <cellStyle name="20% - Accent1 2 2 2 6 2" xfId="6576" xr:uid="{00000000-0005-0000-0000-000016000000}"/>
    <cellStyle name="20% - Accent1 2 2 2 6 2 2" xfId="15005" xr:uid="{C09C6995-0520-4824-85C7-A8552FC786A5}"/>
    <cellStyle name="20% - Accent1 2 2 2 6 3" xfId="10787" xr:uid="{69C3305E-35AF-417D-BE66-217845BFD648}"/>
    <cellStyle name="20% - Accent1 2 2 2 7" xfId="4510" xr:uid="{00000000-0005-0000-0000-000017000000}"/>
    <cellStyle name="20% - Accent1 2 2 2 7 2" xfId="12939" xr:uid="{963E3E81-BF8C-4B04-987B-D31FDE082610}"/>
    <cellStyle name="20% - Accent1 2 2 2 8" xfId="8721" xr:uid="{C9B7D375-9400-48DC-9D59-DA105AC5F1CD}"/>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CE562824-51B6-4653-9A0D-5373A1410DB0}"/>
    <cellStyle name="20% - Accent1 2 2 3 2 3" xfId="11279" xr:uid="{6E00FF46-0A04-4EE4-AF20-720D6B75638F}"/>
    <cellStyle name="20% - Accent1 2 2 3 3" xfId="4923" xr:uid="{00000000-0005-0000-0000-00001B000000}"/>
    <cellStyle name="20% - Accent1 2 2 3 3 2" xfId="13352" xr:uid="{57965957-5846-447C-8B1A-184FABBE3473}"/>
    <cellStyle name="20% - Accent1 2 2 3 4" xfId="9134" xr:uid="{26C116D7-D31C-4118-B05F-A6ABBBC2E58B}"/>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DD4F246A-5BC4-49C2-9B4D-381F52B5C278}"/>
    <cellStyle name="20% - Accent1 2 2 4 2 3" xfId="11692" xr:uid="{E0B03E6A-771B-4AE3-9D92-3AB8CFDECE39}"/>
    <cellStyle name="20% - Accent1 2 2 4 3" xfId="5336" xr:uid="{00000000-0005-0000-0000-00001F000000}"/>
    <cellStyle name="20% - Accent1 2 2 4 3 2" xfId="13765" xr:uid="{F460B7EE-5D8A-4D2E-9DDC-7E32D90FA930}"/>
    <cellStyle name="20% - Accent1 2 2 4 4" xfId="9547" xr:uid="{6161BFA6-FD1F-4E64-B5F1-C210EDB2D905}"/>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6B62A4D5-E34D-4634-91D1-01B9AAF0D19C}"/>
    <cellStyle name="20% - Accent1 2 2 5 2 3" xfId="12105" xr:uid="{48B9AA85-B63B-4F19-991F-DB5DEF3F7DF4}"/>
    <cellStyle name="20% - Accent1 2 2 5 3" xfId="5749" xr:uid="{00000000-0005-0000-0000-000023000000}"/>
    <cellStyle name="20% - Accent1 2 2 5 3 2" xfId="14178" xr:uid="{4DC9DDE5-7284-45F7-B577-5A5F75A04550}"/>
    <cellStyle name="20% - Accent1 2 2 5 4" xfId="9960" xr:uid="{8E8A7C9F-2B09-4655-9F87-288C47237F96}"/>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06B9828D-4C66-4902-B1A8-D2F1CDDA1216}"/>
    <cellStyle name="20% - Accent1 2 2 6 2 3" xfId="12518" xr:uid="{321D3F78-7FB2-4653-9D1A-BCD3E5C11E68}"/>
    <cellStyle name="20% - Accent1 2 2 6 3" xfId="6162" xr:uid="{00000000-0005-0000-0000-000027000000}"/>
    <cellStyle name="20% - Accent1 2 2 6 3 2" xfId="14591" xr:uid="{7FA3714B-526B-43BA-9D37-4FDE1F9AC2B9}"/>
    <cellStyle name="20% - Accent1 2 2 6 4" xfId="10373" xr:uid="{50AA7F22-9F8F-49FB-A4DE-2FEC1060317D}"/>
    <cellStyle name="20% - Accent1 2 2 7" xfId="2267" xr:uid="{00000000-0005-0000-0000-000028000000}"/>
    <cellStyle name="20% - Accent1 2 2 7 2" xfId="6575" xr:uid="{00000000-0005-0000-0000-000029000000}"/>
    <cellStyle name="20% - Accent1 2 2 7 2 2" xfId="15004" xr:uid="{F0F6516C-A6B3-418F-8F78-7C76D48C0ACB}"/>
    <cellStyle name="20% - Accent1 2 2 7 3" xfId="10786" xr:uid="{366C0255-D723-4F07-8AF8-A91278385271}"/>
    <cellStyle name="20% - Accent1 2 2 8" xfId="4509" xr:uid="{00000000-0005-0000-0000-00002A000000}"/>
    <cellStyle name="20% - Accent1 2 2 8 2" xfId="12938" xr:uid="{2BF05B8D-FDE8-45F2-9550-910BBED67907}"/>
    <cellStyle name="20% - Accent1 2 2 9" xfId="8720" xr:uid="{E1BCDB6D-0126-4F04-AD96-CC3DA6656632}"/>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2044FFE3-60AD-4536-B31B-F2A337F9FD6C}"/>
    <cellStyle name="20% - Accent1 2 3 2 2 3" xfId="11281" xr:uid="{2F5942B2-0EBF-4AB7-A065-5E05501ADBB9}"/>
    <cellStyle name="20% - Accent1 2 3 2 3" xfId="4925" xr:uid="{00000000-0005-0000-0000-00002F000000}"/>
    <cellStyle name="20% - Accent1 2 3 2 3 2" xfId="13354" xr:uid="{5FB8933E-806B-409A-BBE6-7EC8A6B0F2E5}"/>
    <cellStyle name="20% - Accent1 2 3 2 4" xfId="9136" xr:uid="{7DEB2ABC-36A2-4E25-9CA4-BED492192E1F}"/>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D9831D02-3CC2-4233-B1AE-44FFC5ED95B8}"/>
    <cellStyle name="20% - Accent1 2 3 3 2 3" xfId="11694" xr:uid="{F39C76CF-425D-4FAF-94A6-638509B237E2}"/>
    <cellStyle name="20% - Accent1 2 3 3 3" xfId="5338" xr:uid="{00000000-0005-0000-0000-000033000000}"/>
    <cellStyle name="20% - Accent1 2 3 3 3 2" xfId="13767" xr:uid="{D9CB63AA-3B74-4E70-9D22-3FC44598147F}"/>
    <cellStyle name="20% - Accent1 2 3 3 4" xfId="9549" xr:uid="{4986C9D2-2185-4677-8C96-D59EAAB55449}"/>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CCA14806-89A0-4385-A123-83883B2FF6EF}"/>
    <cellStyle name="20% - Accent1 2 3 4 2 3" xfId="12107" xr:uid="{FCDEE8C3-7356-44F6-87BF-B285584BA66A}"/>
    <cellStyle name="20% - Accent1 2 3 4 3" xfId="5751" xr:uid="{00000000-0005-0000-0000-000037000000}"/>
    <cellStyle name="20% - Accent1 2 3 4 3 2" xfId="14180" xr:uid="{5D108B46-8F1C-4A12-B020-0F7800D3464C}"/>
    <cellStyle name="20% - Accent1 2 3 4 4" xfId="9962" xr:uid="{A1AFDCD5-D25D-4EB9-9A09-6CDB118DDB6B}"/>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CEE28B98-6AF2-4425-97BE-BE94AE71BE4B}"/>
    <cellStyle name="20% - Accent1 2 3 5 2 3" xfId="12520" xr:uid="{5A3108D3-6D6D-4913-A263-D143BEC92C1F}"/>
    <cellStyle name="20% - Accent1 2 3 5 3" xfId="6164" xr:uid="{00000000-0005-0000-0000-00003B000000}"/>
    <cellStyle name="20% - Accent1 2 3 5 3 2" xfId="14593" xr:uid="{2188E05E-2D2A-4050-8664-38D95FFEAA6C}"/>
    <cellStyle name="20% - Accent1 2 3 5 4" xfId="10375" xr:uid="{E35B8A40-7F90-442E-B90E-1A34D351D0E8}"/>
    <cellStyle name="20% - Accent1 2 3 6" xfId="2269" xr:uid="{00000000-0005-0000-0000-00003C000000}"/>
    <cellStyle name="20% - Accent1 2 3 6 2" xfId="6577" xr:uid="{00000000-0005-0000-0000-00003D000000}"/>
    <cellStyle name="20% - Accent1 2 3 6 2 2" xfId="15006" xr:uid="{F54953D9-6581-4683-87A5-5197B14E03B3}"/>
    <cellStyle name="20% - Accent1 2 3 6 3" xfId="10788" xr:uid="{32FB1E09-7E52-47B9-9296-7C19BDEBB4D9}"/>
    <cellStyle name="20% - Accent1 2 3 7" xfId="4511" xr:uid="{00000000-0005-0000-0000-00003E000000}"/>
    <cellStyle name="20% - Accent1 2 3 7 2" xfId="12940" xr:uid="{56B7BC1A-AB14-4A67-B788-4A4FF9CBA08B}"/>
    <cellStyle name="20% - Accent1 2 3 8" xfId="8722" xr:uid="{71BA5FDE-09B0-4202-8041-C787A9E3555D}"/>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E7867D56-D113-4031-92A5-4E898CB1DB5E}"/>
    <cellStyle name="20% - Accent1 2 4 2 3" xfId="11278" xr:uid="{A3A8564C-F1E2-451A-94FC-0C5DC34E7750}"/>
    <cellStyle name="20% - Accent1 2 4 3" xfId="4922" xr:uid="{00000000-0005-0000-0000-000042000000}"/>
    <cellStyle name="20% - Accent1 2 4 3 2" xfId="13351" xr:uid="{A4835905-5AD9-4CE3-B86B-40BFD54D7124}"/>
    <cellStyle name="20% - Accent1 2 4 4" xfId="9133" xr:uid="{3AEF4E85-0E37-4AD8-BECB-BD4AC5AEBB69}"/>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438642E2-4298-45B6-8C76-537E84F0B172}"/>
    <cellStyle name="20% - Accent1 2 5 2 3" xfId="11691" xr:uid="{665CCA04-2920-4BBC-9A91-9D6FFD46037B}"/>
    <cellStyle name="20% - Accent1 2 5 3" xfId="5335" xr:uid="{00000000-0005-0000-0000-000046000000}"/>
    <cellStyle name="20% - Accent1 2 5 3 2" xfId="13764" xr:uid="{A1F949AF-61A2-4E77-8335-21D4DAF4F481}"/>
    <cellStyle name="20% - Accent1 2 5 4" xfId="9546" xr:uid="{F50A9CDA-4912-4AEC-9F7C-211CE6FDCBF6}"/>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88AE37CA-5268-4335-9921-63A6B3381623}"/>
    <cellStyle name="20% - Accent1 2 6 2 3" xfId="12104" xr:uid="{8979E484-E84E-4196-B1B2-8EF453726E5E}"/>
    <cellStyle name="20% - Accent1 2 6 3" xfId="5748" xr:uid="{00000000-0005-0000-0000-00004A000000}"/>
    <cellStyle name="20% - Accent1 2 6 3 2" xfId="14177" xr:uid="{3CF2D325-1C73-44D2-B3FF-CD69706E087C}"/>
    <cellStyle name="20% - Accent1 2 6 4" xfId="9959" xr:uid="{9B4D5331-0B40-45A7-8C0F-1E36CDD00FBF}"/>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E661644D-D6F9-445A-A2D5-C905D3722608}"/>
    <cellStyle name="20% - Accent1 2 7 2 3" xfId="12517" xr:uid="{E70D4530-5961-49E8-ADA3-F7C0FC4AF2EE}"/>
    <cellStyle name="20% - Accent1 2 7 3" xfId="6161" xr:uid="{00000000-0005-0000-0000-00004E000000}"/>
    <cellStyle name="20% - Accent1 2 7 3 2" xfId="14590" xr:uid="{F875D272-8172-4AED-A328-DE62DC8F5BFA}"/>
    <cellStyle name="20% - Accent1 2 7 4" xfId="10372" xr:uid="{B23AB06B-7289-4E4A-AF8D-7B8A4D24DC65}"/>
    <cellStyle name="20% - Accent1 2 8" xfId="2266" xr:uid="{00000000-0005-0000-0000-00004F000000}"/>
    <cellStyle name="20% - Accent1 2 8 2" xfId="6574" xr:uid="{00000000-0005-0000-0000-000050000000}"/>
    <cellStyle name="20% - Accent1 2 8 2 2" xfId="15003" xr:uid="{402F4A37-FC17-47BC-A273-D2ADD1A1D002}"/>
    <cellStyle name="20% - Accent1 2 8 3" xfId="10785" xr:uid="{CC872163-A440-4C87-9D2C-9B2072635243}"/>
    <cellStyle name="20% - Accent1 2 9" xfId="4508" xr:uid="{00000000-0005-0000-0000-000051000000}"/>
    <cellStyle name="20% - Accent1 2 9 2" xfId="12937" xr:uid="{607D3A12-2D19-4013-9DD1-43F38D534C8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27AB8549-F70B-4224-9940-49BFCCE0EFEE}"/>
    <cellStyle name="20% - Accent1 3 2 2 2 3" xfId="11283" xr:uid="{05364E74-72BF-4458-BFCD-2393D6787604}"/>
    <cellStyle name="20% - Accent1 3 2 2 3" xfId="4927" xr:uid="{00000000-0005-0000-0000-000057000000}"/>
    <cellStyle name="20% - Accent1 3 2 2 3 2" xfId="13356" xr:uid="{65ED7C57-E56D-44A7-879E-CB581792108E}"/>
    <cellStyle name="20% - Accent1 3 2 2 4" xfId="9138" xr:uid="{E095F00C-C38A-48C1-B76E-178173B9D343}"/>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D7237BF3-5FB3-44C3-8EDD-CFC660F8F327}"/>
    <cellStyle name="20% - Accent1 3 2 3 2 3" xfId="11696" xr:uid="{A6D77421-116B-476E-82E2-9E200239BEEF}"/>
    <cellStyle name="20% - Accent1 3 2 3 3" xfId="5340" xr:uid="{00000000-0005-0000-0000-00005B000000}"/>
    <cellStyle name="20% - Accent1 3 2 3 3 2" xfId="13769" xr:uid="{14B98BA0-84C5-44FD-81EA-8B599E6C4CB8}"/>
    <cellStyle name="20% - Accent1 3 2 3 4" xfId="9551" xr:uid="{9647C7DA-4C50-48CE-8029-89F57EDDBB34}"/>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2E9828FC-68B8-433A-AE3B-758C778E17E2}"/>
    <cellStyle name="20% - Accent1 3 2 4 2 3" xfId="12109" xr:uid="{91181B7F-86CD-4013-94A1-AE25D0706866}"/>
    <cellStyle name="20% - Accent1 3 2 4 3" xfId="5753" xr:uid="{00000000-0005-0000-0000-00005F000000}"/>
    <cellStyle name="20% - Accent1 3 2 4 3 2" xfId="14182" xr:uid="{376B1EAF-1E58-4AD9-9D66-900C97FA2A39}"/>
    <cellStyle name="20% - Accent1 3 2 4 4" xfId="9964" xr:uid="{86CE63C8-0717-4764-AFBD-B2F72A201D6E}"/>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98B89B9C-B462-4446-9C7B-4DFEB4E6AE32}"/>
    <cellStyle name="20% - Accent1 3 2 5 2 3" xfId="12522" xr:uid="{EED89B81-ADB9-44C0-9C61-A38AA9984F25}"/>
    <cellStyle name="20% - Accent1 3 2 5 3" xfId="6166" xr:uid="{00000000-0005-0000-0000-000063000000}"/>
    <cellStyle name="20% - Accent1 3 2 5 3 2" xfId="14595" xr:uid="{6B2EB387-6716-4031-9DBA-CF6BDAE895B5}"/>
    <cellStyle name="20% - Accent1 3 2 5 4" xfId="10377" xr:uid="{E359BE44-11E2-490B-90A8-64872D398130}"/>
    <cellStyle name="20% - Accent1 3 2 6" xfId="2271" xr:uid="{00000000-0005-0000-0000-000064000000}"/>
    <cellStyle name="20% - Accent1 3 2 6 2" xfId="6579" xr:uid="{00000000-0005-0000-0000-000065000000}"/>
    <cellStyle name="20% - Accent1 3 2 6 2 2" xfId="15008" xr:uid="{98FD518F-123B-44B3-A1F9-4E0F62ED8AFD}"/>
    <cellStyle name="20% - Accent1 3 2 6 3" xfId="10790" xr:uid="{98A81C19-4807-4833-804F-B199DFD13AAA}"/>
    <cellStyle name="20% - Accent1 3 2 7" xfId="4513" xr:uid="{00000000-0005-0000-0000-000066000000}"/>
    <cellStyle name="20% - Accent1 3 2 7 2" xfId="12942" xr:uid="{6E92B30A-E1CD-4DED-BA21-6CE05FAA5858}"/>
    <cellStyle name="20% - Accent1 3 2 8" xfId="8724" xr:uid="{C18692E5-CBFB-4726-BBBC-CA8035B31DF9}"/>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24EC9F50-24C3-4242-B5EB-C2811165555E}"/>
    <cellStyle name="20% - Accent1 3 3 2 3" xfId="11282" xr:uid="{FA1B8A0E-9C56-4624-AC47-6713D2882E80}"/>
    <cellStyle name="20% - Accent1 3 3 3" xfId="4926" xr:uid="{00000000-0005-0000-0000-00006A000000}"/>
    <cellStyle name="20% - Accent1 3 3 3 2" xfId="13355" xr:uid="{28B5C36A-C99F-447A-A0F5-8F4AAC0C936A}"/>
    <cellStyle name="20% - Accent1 3 3 4" xfId="9137" xr:uid="{5D01C595-526E-45F3-B764-311A4FE4B63A}"/>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921D7326-14D3-4839-9020-E6BAE35D452C}"/>
    <cellStyle name="20% - Accent1 3 4 2 3" xfId="11695" xr:uid="{1E720207-F697-4A2F-BFBB-0C7F37322B18}"/>
    <cellStyle name="20% - Accent1 3 4 3" xfId="5339" xr:uid="{00000000-0005-0000-0000-00006E000000}"/>
    <cellStyle name="20% - Accent1 3 4 3 2" xfId="13768" xr:uid="{2EEE5A96-EA5C-43AE-BAA4-003DFF004B87}"/>
    <cellStyle name="20% - Accent1 3 4 4" xfId="9550" xr:uid="{5DC88C96-7BB0-4807-A160-424CB31A4C4B}"/>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B3E6F488-D70C-4766-991A-329F18265A59}"/>
    <cellStyle name="20% - Accent1 3 5 2 3" xfId="12108" xr:uid="{76BD2A67-B67D-43FF-8952-845B9FD36C18}"/>
    <cellStyle name="20% - Accent1 3 5 3" xfId="5752" xr:uid="{00000000-0005-0000-0000-000072000000}"/>
    <cellStyle name="20% - Accent1 3 5 3 2" xfId="14181" xr:uid="{24187DA0-13D5-4698-8BA5-E740BAF27854}"/>
    <cellStyle name="20% - Accent1 3 5 4" xfId="9963" xr:uid="{26934FEC-42D3-44F0-8B8A-7D2548378D4B}"/>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D6CCD9A4-E2F2-4461-AE0F-FC13626DA249}"/>
    <cellStyle name="20% - Accent1 3 6 2 3" xfId="12521" xr:uid="{941DE661-A6AC-4B50-8266-CAD7992CD5F1}"/>
    <cellStyle name="20% - Accent1 3 6 3" xfId="6165" xr:uid="{00000000-0005-0000-0000-000076000000}"/>
    <cellStyle name="20% - Accent1 3 6 3 2" xfId="14594" xr:uid="{CE7BC068-E917-48E7-BC06-D01D7CAC99C2}"/>
    <cellStyle name="20% - Accent1 3 6 4" xfId="10376" xr:uid="{5759CE92-6925-4635-AF5F-698F7942004E}"/>
    <cellStyle name="20% - Accent1 3 7" xfId="2270" xr:uid="{00000000-0005-0000-0000-000077000000}"/>
    <cellStyle name="20% - Accent1 3 7 2" xfId="6578" xr:uid="{00000000-0005-0000-0000-000078000000}"/>
    <cellStyle name="20% - Accent1 3 7 2 2" xfId="15007" xr:uid="{28DDA99E-182C-4B0D-BF61-6BC6A721C578}"/>
    <cellStyle name="20% - Accent1 3 7 3" xfId="10789" xr:uid="{98191660-1975-4EE4-B3A3-D95A087DF51D}"/>
    <cellStyle name="20% - Accent1 3 8" xfId="4512" xr:uid="{00000000-0005-0000-0000-000079000000}"/>
    <cellStyle name="20% - Accent1 3 8 2" xfId="12941" xr:uid="{B354194A-56DB-4BBD-8FEA-B5BF5CD4B24A}"/>
    <cellStyle name="20% - Accent1 3 9" xfId="8723" xr:uid="{63DC9BEC-644F-4DB4-B3BC-B903F9957085}"/>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B79B2A3F-ACC7-4006-A723-5D680E9F13D2}"/>
    <cellStyle name="20% - Accent1 4 2 2 3" xfId="11284" xr:uid="{EA0BFC3C-6DDE-4429-A893-4BCB103D7A6F}"/>
    <cellStyle name="20% - Accent1 4 2 3" xfId="4928" xr:uid="{00000000-0005-0000-0000-00007E000000}"/>
    <cellStyle name="20% - Accent1 4 2 3 2" xfId="13357" xr:uid="{8EECC64C-4CC6-40BB-81D5-1668A815C0FD}"/>
    <cellStyle name="20% - Accent1 4 2 4" xfId="9139" xr:uid="{DDE5068E-44B5-4831-A2C8-C50CC6D4D2ED}"/>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0E6815B1-F3FF-4B7B-B122-B0A6A077387A}"/>
    <cellStyle name="20% - Accent1 4 3 2 3" xfId="11697" xr:uid="{9B13D566-CDEA-476A-A254-ADAFFC17F8B6}"/>
    <cellStyle name="20% - Accent1 4 3 3" xfId="5341" xr:uid="{00000000-0005-0000-0000-000082000000}"/>
    <cellStyle name="20% - Accent1 4 3 3 2" xfId="13770" xr:uid="{02C1441A-B2B4-4B2A-A218-B2F38257DA6D}"/>
    <cellStyle name="20% - Accent1 4 3 4" xfId="9552" xr:uid="{2E463B69-8E5D-4311-ACDF-FF7CC6EB6BB6}"/>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E3D36AD9-6143-475E-8ADD-278B7D4C09E6}"/>
    <cellStyle name="20% - Accent1 4 4 2 3" xfId="12110" xr:uid="{60B50BBC-6D12-42C2-827B-FC6307E2B935}"/>
    <cellStyle name="20% - Accent1 4 4 3" xfId="5754" xr:uid="{00000000-0005-0000-0000-000086000000}"/>
    <cellStyle name="20% - Accent1 4 4 3 2" xfId="14183" xr:uid="{81C54030-5AF9-426C-B966-4209DC7B15A8}"/>
    <cellStyle name="20% - Accent1 4 4 4" xfId="9965" xr:uid="{8747BF1E-7B67-422F-AF60-A73ADEAB0A77}"/>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D14EB551-AFD8-411E-8627-BF14D5B195A8}"/>
    <cellStyle name="20% - Accent1 4 5 2 3" xfId="12523" xr:uid="{BF9B7E29-E962-4C91-ACF5-8A69DD4689AC}"/>
    <cellStyle name="20% - Accent1 4 5 3" xfId="6167" xr:uid="{00000000-0005-0000-0000-00008A000000}"/>
    <cellStyle name="20% - Accent1 4 5 3 2" xfId="14596" xr:uid="{431DB861-3564-4646-B0D6-3C14CE964647}"/>
    <cellStyle name="20% - Accent1 4 5 4" xfId="10378" xr:uid="{26F9080B-4AF6-48B4-B899-02BCB33A5BB5}"/>
    <cellStyle name="20% - Accent1 4 6" xfId="2272" xr:uid="{00000000-0005-0000-0000-00008B000000}"/>
    <cellStyle name="20% - Accent1 4 6 2" xfId="6580" xr:uid="{00000000-0005-0000-0000-00008C000000}"/>
    <cellStyle name="20% - Accent1 4 6 2 2" xfId="15009" xr:uid="{EF59D841-F558-4F63-9795-BBD9E44F7A23}"/>
    <cellStyle name="20% - Accent1 4 6 3" xfId="10791" xr:uid="{5C9E0652-C25B-4D10-B8E1-CF2B88D9EC9B}"/>
    <cellStyle name="20% - Accent1 4 7" xfId="4514" xr:uid="{00000000-0005-0000-0000-00008D000000}"/>
    <cellStyle name="20% - Accent1 4 7 2" xfId="12943" xr:uid="{F123C837-9FDF-4F72-9DDE-EF5562A40D70}"/>
    <cellStyle name="20% - Accent1 4 8" xfId="8725" xr:uid="{493A71B6-C615-4215-AAA7-8F58751A80EB}"/>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6FF10AAD-47BD-4EBD-B9F5-00C6C9D5E842}"/>
    <cellStyle name="20% - Accent1 5 2 3" xfId="11277" xr:uid="{50F87D6A-72BD-4E4D-A0F4-4F03F620070A}"/>
    <cellStyle name="20% - Accent1 5 3" xfId="4921" xr:uid="{00000000-0005-0000-0000-000091000000}"/>
    <cellStyle name="20% - Accent1 5 3 2" xfId="13350" xr:uid="{9508D7CF-9243-475A-B069-8FBFF83D509B}"/>
    <cellStyle name="20% - Accent1 5 4" xfId="9132" xr:uid="{FF8F3E5A-4A9C-4D3A-BB3B-989DCBAABBEF}"/>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8AA3A2E5-D7A3-4757-913E-6024683B25B7}"/>
    <cellStyle name="20% - Accent1 6 2 3" xfId="11690" xr:uid="{2A7D39F5-0922-4093-92C6-39E263D77B80}"/>
    <cellStyle name="20% - Accent1 6 3" xfId="5334" xr:uid="{00000000-0005-0000-0000-000095000000}"/>
    <cellStyle name="20% - Accent1 6 3 2" xfId="13763" xr:uid="{70F481C7-AEAB-49EA-AF27-47A7752893E0}"/>
    <cellStyle name="20% - Accent1 6 4" xfId="9545" xr:uid="{DE6FCFCE-DE8B-4F36-96B3-6C1433CA192B}"/>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3F106A32-6392-4754-9287-98C88D6D6906}"/>
    <cellStyle name="20% - Accent1 7 2 3" xfId="12103" xr:uid="{CD7EE8D5-975E-49E1-BFBA-DD83C1151282}"/>
    <cellStyle name="20% - Accent1 7 3" xfId="5747" xr:uid="{00000000-0005-0000-0000-000099000000}"/>
    <cellStyle name="20% - Accent1 7 3 2" xfId="14176" xr:uid="{B5F1BA51-CAD6-4531-8BF2-DF84534F9DD8}"/>
    <cellStyle name="20% - Accent1 7 4" xfId="9958" xr:uid="{1AE0D071-6DC7-4E08-BE88-1A25695D6C22}"/>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0D043EF5-FEE5-4801-88D4-C05B631EF853}"/>
    <cellStyle name="20% - Accent1 8 2 3" xfId="12516" xr:uid="{067CEB85-66F2-4431-953F-C2BD825458AB}"/>
    <cellStyle name="20% - Accent1 8 3" xfId="6160" xr:uid="{00000000-0005-0000-0000-00009D000000}"/>
    <cellStyle name="20% - Accent1 8 3 2" xfId="14589" xr:uid="{33EFD5C2-C332-4D7F-B797-AA63E58912D6}"/>
    <cellStyle name="20% - Accent1 8 4" xfId="10371" xr:uid="{DAF36695-32D9-49B6-ACCE-93A1E8BBAE4E}"/>
    <cellStyle name="20% - Accent1 9" xfId="2265" xr:uid="{00000000-0005-0000-0000-00009E000000}"/>
    <cellStyle name="20% - Accent1 9 2" xfId="6573" xr:uid="{00000000-0005-0000-0000-00009F000000}"/>
    <cellStyle name="20% - Accent1 9 2 2" xfId="15002" xr:uid="{77565FEB-34C9-4A48-AA53-7324DF40F28A}"/>
    <cellStyle name="20% - Accent1 9 3" xfId="10784" xr:uid="{54D08AE0-487A-4355-9560-DFFCCEB8FF5B}"/>
    <cellStyle name="20% - Accent2" xfId="9" builtinId="34" customBuiltin="1"/>
    <cellStyle name="20% - Accent2 10" xfId="4515" xr:uid="{00000000-0005-0000-0000-0000A1000000}"/>
    <cellStyle name="20% - Accent2 10 2" xfId="12944" xr:uid="{9FAD6641-EC46-44DA-82A4-012E69B61ACC}"/>
    <cellStyle name="20% - Accent2 11" xfId="8726" xr:uid="{D260E1A5-45B8-4D10-91E7-5FBDDB49BF02}"/>
    <cellStyle name="20% - Accent2 2" xfId="10" xr:uid="{00000000-0005-0000-0000-0000A2000000}"/>
    <cellStyle name="20% - Accent2 2 10" xfId="8727" xr:uid="{B220D0C5-B9D0-411F-8C71-544C25FC0CCE}"/>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C4ED4BF6-5F06-4E25-8669-2EA4FC074201}"/>
    <cellStyle name="20% - Accent2 2 2 2 2 2 3" xfId="11288" xr:uid="{8257883A-BE70-4454-9400-87749AC485CD}"/>
    <cellStyle name="20% - Accent2 2 2 2 2 3" xfId="4932" xr:uid="{00000000-0005-0000-0000-0000A8000000}"/>
    <cellStyle name="20% - Accent2 2 2 2 2 3 2" xfId="13361" xr:uid="{5150B24D-A562-4FDA-A1A1-5B52CE035D06}"/>
    <cellStyle name="20% - Accent2 2 2 2 2 4" xfId="9143" xr:uid="{2CE94505-B0B6-46D5-AAAE-4FEFD878C5C9}"/>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F468F7E3-C4AC-4C5E-B001-5FA547658EBC}"/>
    <cellStyle name="20% - Accent2 2 2 2 3 2 3" xfId="11701" xr:uid="{DC1E8CF5-EFB3-439F-834C-435DF3BCFDA7}"/>
    <cellStyle name="20% - Accent2 2 2 2 3 3" xfId="5345" xr:uid="{00000000-0005-0000-0000-0000AC000000}"/>
    <cellStyle name="20% - Accent2 2 2 2 3 3 2" xfId="13774" xr:uid="{137399FF-069F-46DB-BFF4-759B71461404}"/>
    <cellStyle name="20% - Accent2 2 2 2 3 4" xfId="9556" xr:uid="{1A2F4A56-AF2B-4367-BC89-25371F09D84D}"/>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B9D554D8-E217-482C-8857-74F169486831}"/>
    <cellStyle name="20% - Accent2 2 2 2 4 2 3" xfId="12114" xr:uid="{6D108ACA-9A5E-45C6-B5A8-4BAADF4C02E2}"/>
    <cellStyle name="20% - Accent2 2 2 2 4 3" xfId="5758" xr:uid="{00000000-0005-0000-0000-0000B0000000}"/>
    <cellStyle name="20% - Accent2 2 2 2 4 3 2" xfId="14187" xr:uid="{A4867124-2554-482B-9044-DBE17165F8E0}"/>
    <cellStyle name="20% - Accent2 2 2 2 4 4" xfId="9969" xr:uid="{9218555C-5548-4D25-AAA7-5315ED9D6DE4}"/>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9DC0376E-049D-4D6E-A666-0E190A7617B2}"/>
    <cellStyle name="20% - Accent2 2 2 2 5 2 3" xfId="12527" xr:uid="{A273F7F8-865C-4B35-8B4D-FDC47F9DE41E}"/>
    <cellStyle name="20% - Accent2 2 2 2 5 3" xfId="6171" xr:uid="{00000000-0005-0000-0000-0000B4000000}"/>
    <cellStyle name="20% - Accent2 2 2 2 5 3 2" xfId="14600" xr:uid="{5F0B116A-2132-4175-B912-0A9F8DF0E40B}"/>
    <cellStyle name="20% - Accent2 2 2 2 5 4" xfId="10382" xr:uid="{B8856F12-E0D5-41A5-BC7E-F183D282642E}"/>
    <cellStyle name="20% - Accent2 2 2 2 6" xfId="2276" xr:uid="{00000000-0005-0000-0000-0000B5000000}"/>
    <cellStyle name="20% - Accent2 2 2 2 6 2" xfId="6584" xr:uid="{00000000-0005-0000-0000-0000B6000000}"/>
    <cellStyle name="20% - Accent2 2 2 2 6 2 2" xfId="15013" xr:uid="{0D7CE74C-59DE-421F-8966-EF77776BFFFA}"/>
    <cellStyle name="20% - Accent2 2 2 2 6 3" xfId="10795" xr:uid="{1AA86F41-15D8-4036-9BAF-B848FC40C2EA}"/>
    <cellStyle name="20% - Accent2 2 2 2 7" xfId="4518" xr:uid="{00000000-0005-0000-0000-0000B7000000}"/>
    <cellStyle name="20% - Accent2 2 2 2 7 2" xfId="12947" xr:uid="{7EE30E40-B921-4908-953B-E0C9AAFE0956}"/>
    <cellStyle name="20% - Accent2 2 2 2 8" xfId="8729" xr:uid="{B4EB8FE9-7F8F-44CC-88F0-8A3F60063AF4}"/>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25006837-A95E-4362-B827-21145B22198D}"/>
    <cellStyle name="20% - Accent2 2 2 3 2 3" xfId="11287" xr:uid="{9941D8A9-7345-493B-8EB7-E3E514C1016D}"/>
    <cellStyle name="20% - Accent2 2 2 3 3" xfId="4931" xr:uid="{00000000-0005-0000-0000-0000BB000000}"/>
    <cellStyle name="20% - Accent2 2 2 3 3 2" xfId="13360" xr:uid="{4E94ED1E-B9F5-438D-A785-5B341A3CC399}"/>
    <cellStyle name="20% - Accent2 2 2 3 4" xfId="9142" xr:uid="{ABCA17BB-8980-44E6-A566-67B17ECD0878}"/>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01760E78-D490-4485-894F-B742B34E7DE1}"/>
    <cellStyle name="20% - Accent2 2 2 4 2 3" xfId="11700" xr:uid="{CC9D4294-366A-4BB3-B5AD-B35A8320F968}"/>
    <cellStyle name="20% - Accent2 2 2 4 3" xfId="5344" xr:uid="{00000000-0005-0000-0000-0000BF000000}"/>
    <cellStyle name="20% - Accent2 2 2 4 3 2" xfId="13773" xr:uid="{3D88A3A8-317C-4647-AA52-6F2C24D7B879}"/>
    <cellStyle name="20% - Accent2 2 2 4 4" xfId="9555" xr:uid="{D94DCE73-E12D-4142-9779-26152975061B}"/>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4C59439F-E666-4008-8A10-E8F0E5727580}"/>
    <cellStyle name="20% - Accent2 2 2 5 2 3" xfId="12113" xr:uid="{9519C8E1-E1CA-49AF-9B8A-8B528D76E575}"/>
    <cellStyle name="20% - Accent2 2 2 5 3" xfId="5757" xr:uid="{00000000-0005-0000-0000-0000C3000000}"/>
    <cellStyle name="20% - Accent2 2 2 5 3 2" xfId="14186" xr:uid="{D42F8477-234F-40CF-8107-D9681B552EC7}"/>
    <cellStyle name="20% - Accent2 2 2 5 4" xfId="9968" xr:uid="{1A3E3924-BC3C-44A6-BF95-E78E33074C4F}"/>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57778861-6878-4A78-8B82-29DF48C01654}"/>
    <cellStyle name="20% - Accent2 2 2 6 2 3" xfId="12526" xr:uid="{8520A656-4B51-4A3A-9EF2-66654846729F}"/>
    <cellStyle name="20% - Accent2 2 2 6 3" xfId="6170" xr:uid="{00000000-0005-0000-0000-0000C7000000}"/>
    <cellStyle name="20% - Accent2 2 2 6 3 2" xfId="14599" xr:uid="{4C0A97D2-4D2B-4268-842A-84DAB0B81FB4}"/>
    <cellStyle name="20% - Accent2 2 2 6 4" xfId="10381" xr:uid="{E3F0660A-AF67-4C96-AD9D-62525E9F8774}"/>
    <cellStyle name="20% - Accent2 2 2 7" xfId="2275" xr:uid="{00000000-0005-0000-0000-0000C8000000}"/>
    <cellStyle name="20% - Accent2 2 2 7 2" xfId="6583" xr:uid="{00000000-0005-0000-0000-0000C9000000}"/>
    <cellStyle name="20% - Accent2 2 2 7 2 2" xfId="15012" xr:uid="{A57DBC31-E591-4ED6-A5ED-8BDFA301123C}"/>
    <cellStyle name="20% - Accent2 2 2 7 3" xfId="10794" xr:uid="{2A28F742-6981-4D2E-9998-3FABDD259A7C}"/>
    <cellStyle name="20% - Accent2 2 2 8" xfId="4517" xr:uid="{00000000-0005-0000-0000-0000CA000000}"/>
    <cellStyle name="20% - Accent2 2 2 8 2" xfId="12946" xr:uid="{A76F43CC-DF1D-4F54-A138-87DFEC9C306A}"/>
    <cellStyle name="20% - Accent2 2 2 9" xfId="8728" xr:uid="{358420D4-3965-4E74-B607-015FF91E68AE}"/>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7E6B3B3D-23A1-4DEC-A57D-7B0BC00A8EE1}"/>
    <cellStyle name="20% - Accent2 2 3 2 2 3" xfId="11289" xr:uid="{F2EC188B-B60D-45E1-851A-759548B9895C}"/>
    <cellStyle name="20% - Accent2 2 3 2 3" xfId="4933" xr:uid="{00000000-0005-0000-0000-0000CF000000}"/>
    <cellStyle name="20% - Accent2 2 3 2 3 2" xfId="13362" xr:uid="{2F2FC38B-AE0A-4F0A-9B85-B46271AF58CF}"/>
    <cellStyle name="20% - Accent2 2 3 2 4" xfId="9144" xr:uid="{278B5167-274D-4888-BC57-C7F619774118}"/>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0B2B93C1-1CF8-4690-872C-C55D719DBCDB}"/>
    <cellStyle name="20% - Accent2 2 3 3 2 3" xfId="11702" xr:uid="{5FA579F5-591B-4099-BA65-E1972BA0A21F}"/>
    <cellStyle name="20% - Accent2 2 3 3 3" xfId="5346" xr:uid="{00000000-0005-0000-0000-0000D3000000}"/>
    <cellStyle name="20% - Accent2 2 3 3 3 2" xfId="13775" xr:uid="{F028F593-2EBF-4787-A240-7E35DC1054A2}"/>
    <cellStyle name="20% - Accent2 2 3 3 4" xfId="9557" xr:uid="{A8F8C1CA-7BB2-4533-9339-3150B86B9A18}"/>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243C2021-A162-40D0-8222-2FDE2966AC0D}"/>
    <cellStyle name="20% - Accent2 2 3 4 2 3" xfId="12115" xr:uid="{CAA50D2F-A1AF-4301-B084-80CF1C52D318}"/>
    <cellStyle name="20% - Accent2 2 3 4 3" xfId="5759" xr:uid="{00000000-0005-0000-0000-0000D7000000}"/>
    <cellStyle name="20% - Accent2 2 3 4 3 2" xfId="14188" xr:uid="{CFD1E485-BF54-446E-B812-C53E6AEAAA00}"/>
    <cellStyle name="20% - Accent2 2 3 4 4" xfId="9970" xr:uid="{5153968E-0836-48F0-A645-527A2565EADF}"/>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87B84844-0823-415E-8AE1-97C47CC23137}"/>
    <cellStyle name="20% - Accent2 2 3 5 2 3" xfId="12528" xr:uid="{1F2E22CE-4411-417E-81E6-404FE2CB71CD}"/>
    <cellStyle name="20% - Accent2 2 3 5 3" xfId="6172" xr:uid="{00000000-0005-0000-0000-0000DB000000}"/>
    <cellStyle name="20% - Accent2 2 3 5 3 2" xfId="14601" xr:uid="{35E1EB58-3F9A-4D9D-9E4D-F430DE911986}"/>
    <cellStyle name="20% - Accent2 2 3 5 4" xfId="10383" xr:uid="{28E7EBF1-D8C5-453D-9536-ABFE4D8A799D}"/>
    <cellStyle name="20% - Accent2 2 3 6" xfId="2277" xr:uid="{00000000-0005-0000-0000-0000DC000000}"/>
    <cellStyle name="20% - Accent2 2 3 6 2" xfId="6585" xr:uid="{00000000-0005-0000-0000-0000DD000000}"/>
    <cellStyle name="20% - Accent2 2 3 6 2 2" xfId="15014" xr:uid="{2EA0FF1A-413B-4B11-8633-1F2764435109}"/>
    <cellStyle name="20% - Accent2 2 3 6 3" xfId="10796" xr:uid="{6BB70AD5-846E-4658-A22C-977E62466801}"/>
    <cellStyle name="20% - Accent2 2 3 7" xfId="4519" xr:uid="{00000000-0005-0000-0000-0000DE000000}"/>
    <cellStyle name="20% - Accent2 2 3 7 2" xfId="12948" xr:uid="{980CAC3C-D085-4B36-9F8B-C1D6B1282D7F}"/>
    <cellStyle name="20% - Accent2 2 3 8" xfId="8730" xr:uid="{ED0782BE-F9D7-407F-870A-0ADF3B6B0BAA}"/>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7EFA7D5A-C673-4036-BB27-F28A7E7AA8EB}"/>
    <cellStyle name="20% - Accent2 2 4 2 3" xfId="11286" xr:uid="{F4C9C61C-C906-4572-A60A-403D18BC7829}"/>
    <cellStyle name="20% - Accent2 2 4 3" xfId="4930" xr:uid="{00000000-0005-0000-0000-0000E2000000}"/>
    <cellStyle name="20% - Accent2 2 4 3 2" xfId="13359" xr:uid="{89FE1170-2E2A-4C7B-9FB6-6F3A8C0C8A28}"/>
    <cellStyle name="20% - Accent2 2 4 4" xfId="9141" xr:uid="{A2BD20C7-FBDA-408C-806A-4A0B0AE6E495}"/>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E3F7C694-576F-4BC0-A152-C6C6230D2758}"/>
    <cellStyle name="20% - Accent2 2 5 2 3" xfId="11699" xr:uid="{D5575BD1-21D8-49E5-9092-18206A89BCCE}"/>
    <cellStyle name="20% - Accent2 2 5 3" xfId="5343" xr:uid="{00000000-0005-0000-0000-0000E6000000}"/>
    <cellStyle name="20% - Accent2 2 5 3 2" xfId="13772" xr:uid="{A820989D-779F-4238-B7E5-2F39DB99A4A0}"/>
    <cellStyle name="20% - Accent2 2 5 4" xfId="9554" xr:uid="{4C7BA558-F175-48E1-947C-AB6973F90EBF}"/>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CF8CE6F9-89F1-4DF3-8EBE-3C11D8ABD8E3}"/>
    <cellStyle name="20% - Accent2 2 6 2 3" xfId="12112" xr:uid="{FD3BBF2C-BFB5-4E3A-9338-970C3580112C}"/>
    <cellStyle name="20% - Accent2 2 6 3" xfId="5756" xr:uid="{00000000-0005-0000-0000-0000EA000000}"/>
    <cellStyle name="20% - Accent2 2 6 3 2" xfId="14185" xr:uid="{C24ED05F-257C-4479-8BC6-028617456BB1}"/>
    <cellStyle name="20% - Accent2 2 6 4" xfId="9967" xr:uid="{DE5221E0-6E1D-4B6A-A6C8-3B87D30BB0DB}"/>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13739B3D-996C-4870-A4A7-0EF04B1DBF24}"/>
    <cellStyle name="20% - Accent2 2 7 2 3" xfId="12525" xr:uid="{718418EF-DA43-404F-A0B4-68755E077862}"/>
    <cellStyle name="20% - Accent2 2 7 3" xfId="6169" xr:uid="{00000000-0005-0000-0000-0000EE000000}"/>
    <cellStyle name="20% - Accent2 2 7 3 2" xfId="14598" xr:uid="{A87DBFC2-BC0A-45FF-B78D-028F4FD07F41}"/>
    <cellStyle name="20% - Accent2 2 7 4" xfId="10380" xr:uid="{D2500CE6-B33F-403D-8528-D424B577F387}"/>
    <cellStyle name="20% - Accent2 2 8" xfId="2274" xr:uid="{00000000-0005-0000-0000-0000EF000000}"/>
    <cellStyle name="20% - Accent2 2 8 2" xfId="6582" xr:uid="{00000000-0005-0000-0000-0000F0000000}"/>
    <cellStyle name="20% - Accent2 2 8 2 2" xfId="15011" xr:uid="{263FC050-4446-4AD5-9507-18C90B44C62C}"/>
    <cellStyle name="20% - Accent2 2 8 3" xfId="10793" xr:uid="{94F6DCE8-BBA6-45AC-89F4-B2F1B197A2FD}"/>
    <cellStyle name="20% - Accent2 2 9" xfId="4516" xr:uid="{00000000-0005-0000-0000-0000F1000000}"/>
    <cellStyle name="20% - Accent2 2 9 2" xfId="12945" xr:uid="{081D7A59-171A-49BB-B168-EEFFFDEAD299}"/>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A264CA17-7D17-4227-A251-02638C891146}"/>
    <cellStyle name="20% - Accent2 3 2 2 2 3" xfId="11291" xr:uid="{4DD8A8E5-43FA-48C4-BCA9-DDCB462165B2}"/>
    <cellStyle name="20% - Accent2 3 2 2 3" xfId="4935" xr:uid="{00000000-0005-0000-0000-0000F7000000}"/>
    <cellStyle name="20% - Accent2 3 2 2 3 2" xfId="13364" xr:uid="{13BB5062-B4C1-4D93-92BF-61B1D748D0F0}"/>
    <cellStyle name="20% - Accent2 3 2 2 4" xfId="9146" xr:uid="{93CD6523-819D-43D0-9328-F7B8E1FDA83F}"/>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BB0824AA-5474-49A6-BA9E-1CAE972E0F0E}"/>
    <cellStyle name="20% - Accent2 3 2 3 2 3" xfId="11704" xr:uid="{9A63E3F4-44A6-4AF8-B692-D9CA67C6B15A}"/>
    <cellStyle name="20% - Accent2 3 2 3 3" xfId="5348" xr:uid="{00000000-0005-0000-0000-0000FB000000}"/>
    <cellStyle name="20% - Accent2 3 2 3 3 2" xfId="13777" xr:uid="{B24A3925-B9DA-4643-B263-24BEE95B1F6A}"/>
    <cellStyle name="20% - Accent2 3 2 3 4" xfId="9559" xr:uid="{9EFE7013-CED0-43E8-AC31-00F514116451}"/>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28CF32AF-E9ED-4431-A27D-78BE77F884D9}"/>
    <cellStyle name="20% - Accent2 3 2 4 2 3" xfId="12117" xr:uid="{A9D31E78-47C1-4DC3-8D0D-F8B6192F98EE}"/>
    <cellStyle name="20% - Accent2 3 2 4 3" xfId="5761" xr:uid="{00000000-0005-0000-0000-0000FF000000}"/>
    <cellStyle name="20% - Accent2 3 2 4 3 2" xfId="14190" xr:uid="{45F73099-4A4E-4CAF-9F55-DE24F0953D9A}"/>
    <cellStyle name="20% - Accent2 3 2 4 4" xfId="9972" xr:uid="{ADE491F8-CAAB-447D-8161-CB79967D9056}"/>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9EE1953A-A0CC-4ABF-8170-8EF90FAD2668}"/>
    <cellStyle name="20% - Accent2 3 2 5 2 3" xfId="12530" xr:uid="{71BB420D-BB55-4531-A2BD-973A446F621B}"/>
    <cellStyle name="20% - Accent2 3 2 5 3" xfId="6174" xr:uid="{00000000-0005-0000-0000-000003010000}"/>
    <cellStyle name="20% - Accent2 3 2 5 3 2" xfId="14603" xr:uid="{26C20A65-7C9A-4862-B186-34A1B1BA642B}"/>
    <cellStyle name="20% - Accent2 3 2 5 4" xfId="10385" xr:uid="{23A42DB2-C320-4CFD-A415-548E37CF1093}"/>
    <cellStyle name="20% - Accent2 3 2 6" xfId="2279" xr:uid="{00000000-0005-0000-0000-000004010000}"/>
    <cellStyle name="20% - Accent2 3 2 6 2" xfId="6587" xr:uid="{00000000-0005-0000-0000-000005010000}"/>
    <cellStyle name="20% - Accent2 3 2 6 2 2" xfId="15016" xr:uid="{0D2D2638-F07F-4144-A368-FB0B0580FE40}"/>
    <cellStyle name="20% - Accent2 3 2 6 3" xfId="10798" xr:uid="{974B4D61-B20E-48D9-9AE2-BDF6988B6D18}"/>
    <cellStyle name="20% - Accent2 3 2 7" xfId="4521" xr:uid="{00000000-0005-0000-0000-000006010000}"/>
    <cellStyle name="20% - Accent2 3 2 7 2" xfId="12950" xr:uid="{FACA7EC5-65AF-4CA5-86CF-DA0EC97239E5}"/>
    <cellStyle name="20% - Accent2 3 2 8" xfId="8732" xr:uid="{60E8AE7F-581D-4C2E-994B-88E7372E0E54}"/>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67A0767C-3347-45F6-AC06-CE73FA63563B}"/>
    <cellStyle name="20% - Accent2 3 3 2 3" xfId="11290" xr:uid="{F41085EA-34CD-4CD4-93A0-C8A5A7FC01F5}"/>
    <cellStyle name="20% - Accent2 3 3 3" xfId="4934" xr:uid="{00000000-0005-0000-0000-00000A010000}"/>
    <cellStyle name="20% - Accent2 3 3 3 2" xfId="13363" xr:uid="{4BF80377-5F52-4941-AC36-74C25BF1F482}"/>
    <cellStyle name="20% - Accent2 3 3 4" xfId="9145" xr:uid="{C5F643FB-5F38-4750-AC78-8A6F96CB6E47}"/>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0898E75F-EF8D-4883-9089-A09000F82058}"/>
    <cellStyle name="20% - Accent2 3 4 2 3" xfId="11703" xr:uid="{6FF1286E-EA52-4A15-8599-7DBA5AECCD4E}"/>
    <cellStyle name="20% - Accent2 3 4 3" xfId="5347" xr:uid="{00000000-0005-0000-0000-00000E010000}"/>
    <cellStyle name="20% - Accent2 3 4 3 2" xfId="13776" xr:uid="{08AD97FA-44E7-4540-8604-4D8DEDED8380}"/>
    <cellStyle name="20% - Accent2 3 4 4" xfId="9558" xr:uid="{4DBA0F58-7141-4AB8-86C6-4A4EBC4EB723}"/>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4F9AA2CB-D7D7-48DD-B7D2-8CA6279C1D00}"/>
    <cellStyle name="20% - Accent2 3 5 2 3" xfId="12116" xr:uid="{608D8118-F714-4A0A-998F-09684F6516C4}"/>
    <cellStyle name="20% - Accent2 3 5 3" xfId="5760" xr:uid="{00000000-0005-0000-0000-000012010000}"/>
    <cellStyle name="20% - Accent2 3 5 3 2" xfId="14189" xr:uid="{85944A08-A20F-4CFD-8662-6A042D31C2DE}"/>
    <cellStyle name="20% - Accent2 3 5 4" xfId="9971" xr:uid="{6FCC1919-0CAB-44DC-B344-223F2DCA60FF}"/>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46BB1A5F-41E9-498F-9E4E-4D89C90C2A1A}"/>
    <cellStyle name="20% - Accent2 3 6 2 3" xfId="12529" xr:uid="{0B4E5910-3662-4877-B8DC-0B9CCE67C297}"/>
    <cellStyle name="20% - Accent2 3 6 3" xfId="6173" xr:uid="{00000000-0005-0000-0000-000016010000}"/>
    <cellStyle name="20% - Accent2 3 6 3 2" xfId="14602" xr:uid="{203C20F0-A193-40DA-9A60-8E088C8AB9E9}"/>
    <cellStyle name="20% - Accent2 3 6 4" xfId="10384" xr:uid="{8594EBA7-D050-4616-B097-2BAB02076FC4}"/>
    <cellStyle name="20% - Accent2 3 7" xfId="2278" xr:uid="{00000000-0005-0000-0000-000017010000}"/>
    <cellStyle name="20% - Accent2 3 7 2" xfId="6586" xr:uid="{00000000-0005-0000-0000-000018010000}"/>
    <cellStyle name="20% - Accent2 3 7 2 2" xfId="15015" xr:uid="{A6153D37-B22D-4F86-9DFA-161FAD5F4A14}"/>
    <cellStyle name="20% - Accent2 3 7 3" xfId="10797" xr:uid="{FBDD9EC4-1A09-4FA1-802A-D4F9ED54E8F5}"/>
    <cellStyle name="20% - Accent2 3 8" xfId="4520" xr:uid="{00000000-0005-0000-0000-000019010000}"/>
    <cellStyle name="20% - Accent2 3 8 2" xfId="12949" xr:uid="{A5A5837B-E8AF-418D-A10C-DD4551EB5F29}"/>
    <cellStyle name="20% - Accent2 3 9" xfId="8731" xr:uid="{079D0C86-64BD-4937-A484-8A21A38ACF25}"/>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3093D7CE-D2B3-48B6-8F13-1076E1DF217C}"/>
    <cellStyle name="20% - Accent2 4 2 2 3" xfId="11292" xr:uid="{0B88EA53-0775-4A00-B377-3A9B1E7890A9}"/>
    <cellStyle name="20% - Accent2 4 2 3" xfId="4936" xr:uid="{00000000-0005-0000-0000-00001E010000}"/>
    <cellStyle name="20% - Accent2 4 2 3 2" xfId="13365" xr:uid="{C70B49A0-554A-4099-BD06-07E75F59F502}"/>
    <cellStyle name="20% - Accent2 4 2 4" xfId="9147" xr:uid="{FF0E44EB-76B0-4399-9927-8ADC6806366C}"/>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6CD3ABDD-E28F-4D80-A5E0-F013E8FF6228}"/>
    <cellStyle name="20% - Accent2 4 3 2 3" xfId="11705" xr:uid="{9F882DE5-3FC9-4873-9D4C-2CCF50A8E1B4}"/>
    <cellStyle name="20% - Accent2 4 3 3" xfId="5349" xr:uid="{00000000-0005-0000-0000-000022010000}"/>
    <cellStyle name="20% - Accent2 4 3 3 2" xfId="13778" xr:uid="{4ABB83EB-FC4A-4D84-B459-214836A81229}"/>
    <cellStyle name="20% - Accent2 4 3 4" xfId="9560" xr:uid="{1DCC9FEA-237A-4F24-A09D-58B9CCBE2EE5}"/>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BA5E1D33-ED83-4E6E-8E7B-0FF460387087}"/>
    <cellStyle name="20% - Accent2 4 4 2 3" xfId="12118" xr:uid="{FE0EF613-0A98-44B6-BDFF-7F58747EDADB}"/>
    <cellStyle name="20% - Accent2 4 4 3" xfId="5762" xr:uid="{00000000-0005-0000-0000-000026010000}"/>
    <cellStyle name="20% - Accent2 4 4 3 2" xfId="14191" xr:uid="{8F07CB83-42E8-4DD4-AD61-CD5FE100A707}"/>
    <cellStyle name="20% - Accent2 4 4 4" xfId="9973" xr:uid="{2150B131-F985-46FA-BB50-BD0054EF29DB}"/>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7B129209-35AA-484B-9ED4-8D88A8EF7C6E}"/>
    <cellStyle name="20% - Accent2 4 5 2 3" xfId="12531" xr:uid="{EBC45530-04AF-49DB-B5F0-075CABA8A4EA}"/>
    <cellStyle name="20% - Accent2 4 5 3" xfId="6175" xr:uid="{00000000-0005-0000-0000-00002A010000}"/>
    <cellStyle name="20% - Accent2 4 5 3 2" xfId="14604" xr:uid="{8E2B1840-98C5-4448-9712-7A08A33C6116}"/>
    <cellStyle name="20% - Accent2 4 5 4" xfId="10386" xr:uid="{035DFB23-E4FF-477C-99C4-0876DFF8B80C}"/>
    <cellStyle name="20% - Accent2 4 6" xfId="2280" xr:uid="{00000000-0005-0000-0000-00002B010000}"/>
    <cellStyle name="20% - Accent2 4 6 2" xfId="6588" xr:uid="{00000000-0005-0000-0000-00002C010000}"/>
    <cellStyle name="20% - Accent2 4 6 2 2" xfId="15017" xr:uid="{E5845E11-5217-4FD0-964D-CE6B031D1E8B}"/>
    <cellStyle name="20% - Accent2 4 6 3" xfId="10799" xr:uid="{3A81C257-59CD-490A-ACEF-544704A86567}"/>
    <cellStyle name="20% - Accent2 4 7" xfId="4522" xr:uid="{00000000-0005-0000-0000-00002D010000}"/>
    <cellStyle name="20% - Accent2 4 7 2" xfId="12951" xr:uid="{22C395BC-97BF-485E-AED7-38701209F0E3}"/>
    <cellStyle name="20% - Accent2 4 8" xfId="8733" xr:uid="{C5581EC5-306F-493E-9D1B-9FFEF19D2A23}"/>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ED9C3B2A-8068-46EB-88A7-97C46005B368}"/>
    <cellStyle name="20% - Accent2 5 2 3" xfId="11285" xr:uid="{512ECDB7-AA1E-49E7-B182-0E58DD746569}"/>
    <cellStyle name="20% - Accent2 5 3" xfId="4929" xr:uid="{00000000-0005-0000-0000-000031010000}"/>
    <cellStyle name="20% - Accent2 5 3 2" xfId="13358" xr:uid="{669D863C-5FD0-4149-840E-DA59DD622DAF}"/>
    <cellStyle name="20% - Accent2 5 4" xfId="9140" xr:uid="{BF07C062-BCBB-49A1-ABEF-950A2071738C}"/>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C4C96306-DE31-4681-BFFD-58231C445145}"/>
    <cellStyle name="20% - Accent2 6 2 3" xfId="11698" xr:uid="{0F8CFE6E-57E3-4428-9C98-8F273E5BB120}"/>
    <cellStyle name="20% - Accent2 6 3" xfId="5342" xr:uid="{00000000-0005-0000-0000-000035010000}"/>
    <cellStyle name="20% - Accent2 6 3 2" xfId="13771" xr:uid="{DA158EFD-8D89-446D-AA55-B9F229F8DED7}"/>
    <cellStyle name="20% - Accent2 6 4" xfId="9553" xr:uid="{35DC4318-36B1-4E0D-938D-8FBA960CE427}"/>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E503B429-BEA1-42E6-9675-C66E93EE470A}"/>
    <cellStyle name="20% - Accent2 7 2 3" xfId="12111" xr:uid="{4C298CD2-2581-4498-AF11-AE9530E15721}"/>
    <cellStyle name="20% - Accent2 7 3" xfId="5755" xr:uid="{00000000-0005-0000-0000-000039010000}"/>
    <cellStyle name="20% - Accent2 7 3 2" xfId="14184" xr:uid="{782B5153-40BE-4A9C-ABFE-B582AB8248B8}"/>
    <cellStyle name="20% - Accent2 7 4" xfId="9966" xr:uid="{E9C20C6E-9AAF-42DC-A905-2D51FDB14544}"/>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28288F24-71F9-46FD-8091-450C9994C652}"/>
    <cellStyle name="20% - Accent2 8 2 3" xfId="12524" xr:uid="{41014447-6B26-4F48-8DC9-B2E8D9FC01BC}"/>
    <cellStyle name="20% - Accent2 8 3" xfId="6168" xr:uid="{00000000-0005-0000-0000-00003D010000}"/>
    <cellStyle name="20% - Accent2 8 3 2" xfId="14597" xr:uid="{E43FE21F-50E5-4C31-98F1-D2C32BC23C0E}"/>
    <cellStyle name="20% - Accent2 8 4" xfId="10379" xr:uid="{5294AE59-8DCE-48EB-A10E-268938118048}"/>
    <cellStyle name="20% - Accent2 9" xfId="2273" xr:uid="{00000000-0005-0000-0000-00003E010000}"/>
    <cellStyle name="20% - Accent2 9 2" xfId="6581" xr:uid="{00000000-0005-0000-0000-00003F010000}"/>
    <cellStyle name="20% - Accent2 9 2 2" xfId="15010" xr:uid="{F06D8E32-84BC-4923-87AF-FCC3AC3F88FC}"/>
    <cellStyle name="20% - Accent2 9 3" xfId="10792" xr:uid="{6C9E409B-8D33-4DE2-9BB2-57AC686912AA}"/>
    <cellStyle name="20% - Accent3" xfId="17" builtinId="38" customBuiltin="1"/>
    <cellStyle name="20% - Accent3 10" xfId="4523" xr:uid="{00000000-0005-0000-0000-000041010000}"/>
    <cellStyle name="20% - Accent3 10 2" xfId="12952" xr:uid="{03EFE0C0-E410-4462-8E50-9E684C9028B8}"/>
    <cellStyle name="20% - Accent3 11" xfId="8734" xr:uid="{02DA2680-0288-4CEF-AEAC-E05C376818EF}"/>
    <cellStyle name="20% - Accent3 2" xfId="18" xr:uid="{00000000-0005-0000-0000-000042010000}"/>
    <cellStyle name="20% - Accent3 2 10" xfId="8735" xr:uid="{5869BE0C-E779-42D4-8DA0-5F5656CE8A2F}"/>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6BEADBAE-DB26-464B-8BBA-9D6BBA061792}"/>
    <cellStyle name="20% - Accent3 2 2 2 2 2 3" xfId="11296" xr:uid="{E7332F9C-F17F-4BA7-809D-B3E51F46D1C5}"/>
    <cellStyle name="20% - Accent3 2 2 2 2 3" xfId="4940" xr:uid="{00000000-0005-0000-0000-000048010000}"/>
    <cellStyle name="20% - Accent3 2 2 2 2 3 2" xfId="13369" xr:uid="{A1C27C6B-21AD-41FF-9603-E4EA1693CE65}"/>
    <cellStyle name="20% - Accent3 2 2 2 2 4" xfId="9151" xr:uid="{7F4FA44D-243F-49F8-889A-01CE63CBD6C4}"/>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C1FCF575-C050-4F0F-9C0E-78DEAD56749A}"/>
    <cellStyle name="20% - Accent3 2 2 2 3 2 3" xfId="11709" xr:uid="{640BC261-5920-4FD5-9661-7AA0B5E6C814}"/>
    <cellStyle name="20% - Accent3 2 2 2 3 3" xfId="5353" xr:uid="{00000000-0005-0000-0000-00004C010000}"/>
    <cellStyle name="20% - Accent3 2 2 2 3 3 2" xfId="13782" xr:uid="{894B4328-B838-4418-BC4C-7CE8CC41E92D}"/>
    <cellStyle name="20% - Accent3 2 2 2 3 4" xfId="9564" xr:uid="{590BB8E2-9089-4BC9-87F6-0229A7F88E43}"/>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D087BD41-C16D-4C98-B262-330A413D57FC}"/>
    <cellStyle name="20% - Accent3 2 2 2 4 2 3" xfId="12122" xr:uid="{BD459F58-50DB-4413-8A4C-83A85F835E31}"/>
    <cellStyle name="20% - Accent3 2 2 2 4 3" xfId="5766" xr:uid="{00000000-0005-0000-0000-000050010000}"/>
    <cellStyle name="20% - Accent3 2 2 2 4 3 2" xfId="14195" xr:uid="{66C7BE2C-D5D9-474A-9988-04A3B0A58DD3}"/>
    <cellStyle name="20% - Accent3 2 2 2 4 4" xfId="9977" xr:uid="{13A65022-B736-4E9E-B277-C77056C06A15}"/>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E363FF44-7088-4684-9615-642159F3FA74}"/>
    <cellStyle name="20% - Accent3 2 2 2 5 2 3" xfId="12535" xr:uid="{5DDDEEFD-36C4-46BE-BDD0-8223E9644C35}"/>
    <cellStyle name="20% - Accent3 2 2 2 5 3" xfId="6179" xr:uid="{00000000-0005-0000-0000-000054010000}"/>
    <cellStyle name="20% - Accent3 2 2 2 5 3 2" xfId="14608" xr:uid="{ACC1EB0F-0638-463A-9570-1FEC486762AC}"/>
    <cellStyle name="20% - Accent3 2 2 2 5 4" xfId="10390" xr:uid="{8E8C0A6B-B975-434E-98E7-794F2E60DC3A}"/>
    <cellStyle name="20% - Accent3 2 2 2 6" xfId="2284" xr:uid="{00000000-0005-0000-0000-000055010000}"/>
    <cellStyle name="20% - Accent3 2 2 2 6 2" xfId="6592" xr:uid="{00000000-0005-0000-0000-000056010000}"/>
    <cellStyle name="20% - Accent3 2 2 2 6 2 2" xfId="15021" xr:uid="{CCA0DB45-6553-41CF-8C8C-CC9D79BFCF30}"/>
    <cellStyle name="20% - Accent3 2 2 2 6 3" xfId="10803" xr:uid="{4C3631BD-C3E4-4D78-A500-1F11ECCBC187}"/>
    <cellStyle name="20% - Accent3 2 2 2 7" xfId="4526" xr:uid="{00000000-0005-0000-0000-000057010000}"/>
    <cellStyle name="20% - Accent3 2 2 2 7 2" xfId="12955" xr:uid="{A3E884C4-B734-45BA-AFAA-581F00D8E897}"/>
    <cellStyle name="20% - Accent3 2 2 2 8" xfId="8737" xr:uid="{8552170E-8F22-4162-9ED0-EBC13AAFA768}"/>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0C79DDF3-FA8A-4AE7-9A35-AE2039A8FCE4}"/>
    <cellStyle name="20% - Accent3 2 2 3 2 3" xfId="11295" xr:uid="{7513EE4B-2139-4DBC-8525-D3C0ABF67FB7}"/>
    <cellStyle name="20% - Accent3 2 2 3 3" xfId="4939" xr:uid="{00000000-0005-0000-0000-00005B010000}"/>
    <cellStyle name="20% - Accent3 2 2 3 3 2" xfId="13368" xr:uid="{AEC1437E-B8B2-4007-9A9C-3618DF5D923C}"/>
    <cellStyle name="20% - Accent3 2 2 3 4" xfId="9150" xr:uid="{7B9953D2-4DF4-4289-99DE-5F516C737099}"/>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3048E7AF-0AA7-42AD-ABBC-E7B213CDF382}"/>
    <cellStyle name="20% - Accent3 2 2 4 2 3" xfId="11708" xr:uid="{910B48A2-EA40-407D-A5FE-34F48ABE7354}"/>
    <cellStyle name="20% - Accent3 2 2 4 3" xfId="5352" xr:uid="{00000000-0005-0000-0000-00005F010000}"/>
    <cellStyle name="20% - Accent3 2 2 4 3 2" xfId="13781" xr:uid="{65ECB67F-88B4-4A38-B579-EEB2F32D02F2}"/>
    <cellStyle name="20% - Accent3 2 2 4 4" xfId="9563" xr:uid="{3FED96AF-ABE6-4060-9410-1CF9889FAAD4}"/>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E25904DE-2714-4CFA-A6F0-B80AE07107B3}"/>
    <cellStyle name="20% - Accent3 2 2 5 2 3" xfId="12121" xr:uid="{09FE7C90-DC27-41D3-8E93-2AF496296016}"/>
    <cellStyle name="20% - Accent3 2 2 5 3" xfId="5765" xr:uid="{00000000-0005-0000-0000-000063010000}"/>
    <cellStyle name="20% - Accent3 2 2 5 3 2" xfId="14194" xr:uid="{A127A5EB-0142-4F12-BD63-EFD07CFF217A}"/>
    <cellStyle name="20% - Accent3 2 2 5 4" xfId="9976" xr:uid="{D2468B55-3640-47C2-AB54-577CD0DBCF5D}"/>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966F82E9-48E2-4383-9008-6C3BB52A5282}"/>
    <cellStyle name="20% - Accent3 2 2 6 2 3" xfId="12534" xr:uid="{2EBAD58B-6DEB-49C4-9BB6-8D9FF341593D}"/>
    <cellStyle name="20% - Accent3 2 2 6 3" xfId="6178" xr:uid="{00000000-0005-0000-0000-000067010000}"/>
    <cellStyle name="20% - Accent3 2 2 6 3 2" xfId="14607" xr:uid="{26F3DB9E-23B9-4D98-9A6D-E1C83747F05E}"/>
    <cellStyle name="20% - Accent3 2 2 6 4" xfId="10389" xr:uid="{69855649-4CCE-4943-B677-DB098CA2C865}"/>
    <cellStyle name="20% - Accent3 2 2 7" xfId="2283" xr:uid="{00000000-0005-0000-0000-000068010000}"/>
    <cellStyle name="20% - Accent3 2 2 7 2" xfId="6591" xr:uid="{00000000-0005-0000-0000-000069010000}"/>
    <cellStyle name="20% - Accent3 2 2 7 2 2" xfId="15020" xr:uid="{05663D5A-6347-42D9-91CB-052DB366CDEC}"/>
    <cellStyle name="20% - Accent3 2 2 7 3" xfId="10802" xr:uid="{C6B0E1FA-8DB3-4E27-BFE3-4D095260234E}"/>
    <cellStyle name="20% - Accent3 2 2 8" xfId="4525" xr:uid="{00000000-0005-0000-0000-00006A010000}"/>
    <cellStyle name="20% - Accent3 2 2 8 2" xfId="12954" xr:uid="{3DDD78F2-D512-44D4-9D15-C1CB8483EA35}"/>
    <cellStyle name="20% - Accent3 2 2 9" xfId="8736" xr:uid="{8B9AFBDB-4CD9-41A0-927F-3270B5270A4C}"/>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455D3EC6-00A9-4F51-9586-B589497D0C3D}"/>
    <cellStyle name="20% - Accent3 2 3 2 2 3" xfId="11297" xr:uid="{B5429900-EC00-4A70-AB1C-622C15A7287A}"/>
    <cellStyle name="20% - Accent3 2 3 2 3" xfId="4941" xr:uid="{00000000-0005-0000-0000-00006F010000}"/>
    <cellStyle name="20% - Accent3 2 3 2 3 2" xfId="13370" xr:uid="{31771B35-570B-4704-B677-F4EA2FEF24CC}"/>
    <cellStyle name="20% - Accent3 2 3 2 4" xfId="9152" xr:uid="{2F1837FF-0B54-4D79-B281-FB564A86BAD6}"/>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9FD12C7D-DB18-48E1-87D5-68B5863F6DAF}"/>
    <cellStyle name="20% - Accent3 2 3 3 2 3" xfId="11710" xr:uid="{86A32F84-0148-4F80-A38B-0FD792E2BAB9}"/>
    <cellStyle name="20% - Accent3 2 3 3 3" xfId="5354" xr:uid="{00000000-0005-0000-0000-000073010000}"/>
    <cellStyle name="20% - Accent3 2 3 3 3 2" xfId="13783" xr:uid="{7A01EB33-AED3-4135-AF45-4BF740C918B6}"/>
    <cellStyle name="20% - Accent3 2 3 3 4" xfId="9565" xr:uid="{C9F698F1-12B9-4527-86EA-2044928D5D84}"/>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6821F2DE-2F6A-4FAF-B640-3CEBD7E9533F}"/>
    <cellStyle name="20% - Accent3 2 3 4 2 3" xfId="12123" xr:uid="{4799389D-9532-4502-8908-937646976251}"/>
    <cellStyle name="20% - Accent3 2 3 4 3" xfId="5767" xr:uid="{00000000-0005-0000-0000-000077010000}"/>
    <cellStyle name="20% - Accent3 2 3 4 3 2" xfId="14196" xr:uid="{97B348F2-3BB2-455D-8057-33D0291C37A7}"/>
    <cellStyle name="20% - Accent3 2 3 4 4" xfId="9978" xr:uid="{A1B3C5B0-F288-4699-B5CE-40429C229E9A}"/>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2D5B56DD-D135-4E0D-95C1-B8B651D05599}"/>
    <cellStyle name="20% - Accent3 2 3 5 2 3" xfId="12536" xr:uid="{12BC4815-D2F4-409D-AE71-E6AFC6FE17CE}"/>
    <cellStyle name="20% - Accent3 2 3 5 3" xfId="6180" xr:uid="{00000000-0005-0000-0000-00007B010000}"/>
    <cellStyle name="20% - Accent3 2 3 5 3 2" xfId="14609" xr:uid="{92674E4B-2577-4B6D-9C9F-FD13DBBF5052}"/>
    <cellStyle name="20% - Accent3 2 3 5 4" xfId="10391" xr:uid="{7D25D26E-5973-4F44-8DE3-7C36572B3BA8}"/>
    <cellStyle name="20% - Accent3 2 3 6" xfId="2285" xr:uid="{00000000-0005-0000-0000-00007C010000}"/>
    <cellStyle name="20% - Accent3 2 3 6 2" xfId="6593" xr:uid="{00000000-0005-0000-0000-00007D010000}"/>
    <cellStyle name="20% - Accent3 2 3 6 2 2" xfId="15022" xr:uid="{71CB3E06-3AFA-4422-9106-E2806DD68205}"/>
    <cellStyle name="20% - Accent3 2 3 6 3" xfId="10804" xr:uid="{6F039E11-666E-49F4-99D4-84B0F9CABD7F}"/>
    <cellStyle name="20% - Accent3 2 3 7" xfId="4527" xr:uid="{00000000-0005-0000-0000-00007E010000}"/>
    <cellStyle name="20% - Accent3 2 3 7 2" xfId="12956" xr:uid="{CFCA9B27-3E08-4F99-9C27-0D6663A65357}"/>
    <cellStyle name="20% - Accent3 2 3 8" xfId="8738" xr:uid="{0BE906FD-9895-41E8-B8DE-635098586E3D}"/>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7FE65232-EDC3-4DD7-B96C-F4E275A91AB1}"/>
    <cellStyle name="20% - Accent3 2 4 2 3" xfId="11294" xr:uid="{861A0E7C-777D-4415-9FEB-3B6790AE2A1D}"/>
    <cellStyle name="20% - Accent3 2 4 3" xfId="4938" xr:uid="{00000000-0005-0000-0000-000082010000}"/>
    <cellStyle name="20% - Accent3 2 4 3 2" xfId="13367" xr:uid="{D2029180-E2EF-4043-93D3-EB6832E4180B}"/>
    <cellStyle name="20% - Accent3 2 4 4" xfId="9149" xr:uid="{B257F590-F81A-40C2-8848-65123CB6DEED}"/>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6FDE66F8-5CEC-40B9-B3C5-A3E74E123169}"/>
    <cellStyle name="20% - Accent3 2 5 2 3" xfId="11707" xr:uid="{FB6DE676-C483-473B-8D35-A83868296D83}"/>
    <cellStyle name="20% - Accent3 2 5 3" xfId="5351" xr:uid="{00000000-0005-0000-0000-000086010000}"/>
    <cellStyle name="20% - Accent3 2 5 3 2" xfId="13780" xr:uid="{EE3BFB22-6205-4718-A60E-3182A60AD635}"/>
    <cellStyle name="20% - Accent3 2 5 4" xfId="9562" xr:uid="{0CC034D9-7082-4CDB-A0A1-31F2FF942404}"/>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E063C573-079E-4D7B-AD4B-FC7E0204B74E}"/>
    <cellStyle name="20% - Accent3 2 6 2 3" xfId="12120" xr:uid="{2CB82408-AC91-4968-8622-45F61CDC420E}"/>
    <cellStyle name="20% - Accent3 2 6 3" xfId="5764" xr:uid="{00000000-0005-0000-0000-00008A010000}"/>
    <cellStyle name="20% - Accent3 2 6 3 2" xfId="14193" xr:uid="{FE776ADB-C34F-4B56-B2BC-856398BF2F95}"/>
    <cellStyle name="20% - Accent3 2 6 4" xfId="9975" xr:uid="{A03C0D72-1E18-4EDE-9C15-2604040D8167}"/>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E7AD2921-4B59-4C02-B86B-5021D593B8F7}"/>
    <cellStyle name="20% - Accent3 2 7 2 3" xfId="12533" xr:uid="{7CC80CDF-2D41-4FC4-BFFE-819245B2EAE7}"/>
    <cellStyle name="20% - Accent3 2 7 3" xfId="6177" xr:uid="{00000000-0005-0000-0000-00008E010000}"/>
    <cellStyle name="20% - Accent3 2 7 3 2" xfId="14606" xr:uid="{60FF508F-D826-4B3E-9D36-B9EF8C8384DB}"/>
    <cellStyle name="20% - Accent3 2 7 4" xfId="10388" xr:uid="{D5984D16-142D-4314-BE1D-593E92500296}"/>
    <cellStyle name="20% - Accent3 2 8" xfId="2282" xr:uid="{00000000-0005-0000-0000-00008F010000}"/>
    <cellStyle name="20% - Accent3 2 8 2" xfId="6590" xr:uid="{00000000-0005-0000-0000-000090010000}"/>
    <cellStyle name="20% - Accent3 2 8 2 2" xfId="15019" xr:uid="{5BEEB963-A9D0-4A93-A979-C6DD59B7F6EF}"/>
    <cellStyle name="20% - Accent3 2 8 3" xfId="10801" xr:uid="{E4E8B990-A64A-4EDB-8768-16F607D1D70C}"/>
    <cellStyle name="20% - Accent3 2 9" xfId="4524" xr:uid="{00000000-0005-0000-0000-000091010000}"/>
    <cellStyle name="20% - Accent3 2 9 2" xfId="12953" xr:uid="{BA0C8EEB-D5A3-48CB-9AD4-2760AB1D4E44}"/>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2D20A5BB-78EB-4FE5-B6A0-6B66FC4AC37A}"/>
    <cellStyle name="20% - Accent3 3 2 2 2 3" xfId="11299" xr:uid="{760093B1-2469-47CD-B745-B0BDD1243900}"/>
    <cellStyle name="20% - Accent3 3 2 2 3" xfId="4943" xr:uid="{00000000-0005-0000-0000-000097010000}"/>
    <cellStyle name="20% - Accent3 3 2 2 3 2" xfId="13372" xr:uid="{7E3A649A-69DA-4A2A-8296-AF07A958A04D}"/>
    <cellStyle name="20% - Accent3 3 2 2 4" xfId="9154" xr:uid="{2FDE4BFA-79F2-4D83-96E8-6E15F436455B}"/>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8DA1663C-FB1F-4EAD-A039-34F680F3AD41}"/>
    <cellStyle name="20% - Accent3 3 2 3 2 3" xfId="11712" xr:uid="{21909A68-71DC-4D62-98A4-611AEF569DAE}"/>
    <cellStyle name="20% - Accent3 3 2 3 3" xfId="5356" xr:uid="{00000000-0005-0000-0000-00009B010000}"/>
    <cellStyle name="20% - Accent3 3 2 3 3 2" xfId="13785" xr:uid="{3DA3EEB2-220D-4C46-85CC-A792F828F223}"/>
    <cellStyle name="20% - Accent3 3 2 3 4" xfId="9567" xr:uid="{D2E8D5AC-8908-4F1E-8FE2-8C391D9065ED}"/>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DD2A9FC2-04A8-45FD-ACFB-61053FF3BAC4}"/>
    <cellStyle name="20% - Accent3 3 2 4 2 3" xfId="12125" xr:uid="{CE00EEA7-56E3-497A-A7A1-4E5C56B7991B}"/>
    <cellStyle name="20% - Accent3 3 2 4 3" xfId="5769" xr:uid="{00000000-0005-0000-0000-00009F010000}"/>
    <cellStyle name="20% - Accent3 3 2 4 3 2" xfId="14198" xr:uid="{9FA867CB-FA0F-4C6C-9F30-E2CA95275041}"/>
    <cellStyle name="20% - Accent3 3 2 4 4" xfId="9980" xr:uid="{38C7A05B-A72F-4838-B855-2BE04CF87F39}"/>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48CDEE95-17F1-4AEF-B13F-C661F3C38286}"/>
    <cellStyle name="20% - Accent3 3 2 5 2 3" xfId="12538" xr:uid="{4D175243-7028-4F40-A03F-CBEF04E925C5}"/>
    <cellStyle name="20% - Accent3 3 2 5 3" xfId="6182" xr:uid="{00000000-0005-0000-0000-0000A3010000}"/>
    <cellStyle name="20% - Accent3 3 2 5 3 2" xfId="14611" xr:uid="{D55BC2DE-8FBD-4716-9FF6-0F71B42CA547}"/>
    <cellStyle name="20% - Accent3 3 2 5 4" xfId="10393" xr:uid="{19BFBF84-5D0F-46D8-BA88-4A11AE25AB16}"/>
    <cellStyle name="20% - Accent3 3 2 6" xfId="2287" xr:uid="{00000000-0005-0000-0000-0000A4010000}"/>
    <cellStyle name="20% - Accent3 3 2 6 2" xfId="6595" xr:uid="{00000000-0005-0000-0000-0000A5010000}"/>
    <cellStyle name="20% - Accent3 3 2 6 2 2" xfId="15024" xr:uid="{9755F2D8-ED5C-408B-A117-B3C890411EA6}"/>
    <cellStyle name="20% - Accent3 3 2 6 3" xfId="10806" xr:uid="{B561C75D-6FC0-495F-8796-2A548631453B}"/>
    <cellStyle name="20% - Accent3 3 2 7" xfId="4529" xr:uid="{00000000-0005-0000-0000-0000A6010000}"/>
    <cellStyle name="20% - Accent3 3 2 7 2" xfId="12958" xr:uid="{0178E36C-7F39-4CF4-99B2-3AB441CD4AB4}"/>
    <cellStyle name="20% - Accent3 3 2 8" xfId="8740" xr:uid="{023C4A71-686B-4C31-B872-AA3F04D93D2C}"/>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5362F1C7-7653-43EC-AB96-AD8A7C2DF25F}"/>
    <cellStyle name="20% - Accent3 3 3 2 3" xfId="11298" xr:uid="{2373B6EF-2D4B-49C8-9804-9CC58B93727B}"/>
    <cellStyle name="20% - Accent3 3 3 3" xfId="4942" xr:uid="{00000000-0005-0000-0000-0000AA010000}"/>
    <cellStyle name="20% - Accent3 3 3 3 2" xfId="13371" xr:uid="{07147E0E-8D3E-400A-AB1A-AC3307933772}"/>
    <cellStyle name="20% - Accent3 3 3 4" xfId="9153" xr:uid="{8015578A-5587-4150-8B0B-B55C6CCC99F1}"/>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ADCA82CC-74F4-48D8-A69C-5D50F8E1E380}"/>
    <cellStyle name="20% - Accent3 3 4 2 3" xfId="11711" xr:uid="{ABAF8957-3BF9-44FD-9EAB-73361F689FCE}"/>
    <cellStyle name="20% - Accent3 3 4 3" xfId="5355" xr:uid="{00000000-0005-0000-0000-0000AE010000}"/>
    <cellStyle name="20% - Accent3 3 4 3 2" xfId="13784" xr:uid="{EE0BD096-D2C4-41F7-8DD2-FE96A563FCCB}"/>
    <cellStyle name="20% - Accent3 3 4 4" xfId="9566" xr:uid="{367CF4BF-43C3-4B08-9657-0B058AD5908A}"/>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B807416B-8613-4DE1-9E62-452991EEA337}"/>
    <cellStyle name="20% - Accent3 3 5 2 3" xfId="12124" xr:uid="{CF404D6B-9F4A-4479-9BC4-ECB7520F1A2D}"/>
    <cellStyle name="20% - Accent3 3 5 3" xfId="5768" xr:uid="{00000000-0005-0000-0000-0000B2010000}"/>
    <cellStyle name="20% - Accent3 3 5 3 2" xfId="14197" xr:uid="{4CA82BAB-03AD-4F27-A1DE-B2A9CD8A1557}"/>
    <cellStyle name="20% - Accent3 3 5 4" xfId="9979" xr:uid="{20D0D297-999A-4467-9FB9-10D0939B442C}"/>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00D45B14-A9CB-449B-BFBB-E5879036EF40}"/>
    <cellStyle name="20% - Accent3 3 6 2 3" xfId="12537" xr:uid="{71925263-BCE3-4DE3-B6AB-45CCB5BDC077}"/>
    <cellStyle name="20% - Accent3 3 6 3" xfId="6181" xr:uid="{00000000-0005-0000-0000-0000B6010000}"/>
    <cellStyle name="20% - Accent3 3 6 3 2" xfId="14610" xr:uid="{1EE3C378-74E7-4080-BD8E-5996B6DD6E44}"/>
    <cellStyle name="20% - Accent3 3 6 4" xfId="10392" xr:uid="{0339CA33-1477-48F3-8194-9B23D4FFBD6B}"/>
    <cellStyle name="20% - Accent3 3 7" xfId="2286" xr:uid="{00000000-0005-0000-0000-0000B7010000}"/>
    <cellStyle name="20% - Accent3 3 7 2" xfId="6594" xr:uid="{00000000-0005-0000-0000-0000B8010000}"/>
    <cellStyle name="20% - Accent3 3 7 2 2" xfId="15023" xr:uid="{1D9A90A6-C142-4407-AA05-9390ACF2D1AB}"/>
    <cellStyle name="20% - Accent3 3 7 3" xfId="10805" xr:uid="{EDEA5298-1376-4854-9710-20814A8D3B80}"/>
    <cellStyle name="20% - Accent3 3 8" xfId="4528" xr:uid="{00000000-0005-0000-0000-0000B9010000}"/>
    <cellStyle name="20% - Accent3 3 8 2" xfId="12957" xr:uid="{20B121B3-26EC-4722-97FE-DD349560D413}"/>
    <cellStyle name="20% - Accent3 3 9" xfId="8739" xr:uid="{AD86FBC0-1A31-41D2-A035-F648AAEF106B}"/>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7ED10A61-33A4-4309-A2BF-95C8D1BEDC96}"/>
    <cellStyle name="20% - Accent3 4 2 2 3" xfId="11300" xr:uid="{B355DC68-372F-4129-B619-08A6DDCBA38F}"/>
    <cellStyle name="20% - Accent3 4 2 3" xfId="4944" xr:uid="{00000000-0005-0000-0000-0000BE010000}"/>
    <cellStyle name="20% - Accent3 4 2 3 2" xfId="13373" xr:uid="{7D27B21F-3B5D-4576-8320-E579245FF087}"/>
    <cellStyle name="20% - Accent3 4 2 4" xfId="9155" xr:uid="{D7D31502-3FFD-4A53-8BB4-0EE4800509D0}"/>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CC7FC3B1-21E0-4762-862A-1F317A2E0DA4}"/>
    <cellStyle name="20% - Accent3 4 3 2 3" xfId="11713" xr:uid="{E724E08D-8A20-4D91-8DB9-EFE4F651BB96}"/>
    <cellStyle name="20% - Accent3 4 3 3" xfId="5357" xr:uid="{00000000-0005-0000-0000-0000C2010000}"/>
    <cellStyle name="20% - Accent3 4 3 3 2" xfId="13786" xr:uid="{8697856E-B245-4096-9970-A903282610C0}"/>
    <cellStyle name="20% - Accent3 4 3 4" xfId="9568" xr:uid="{CEFCA37C-8D53-4DD0-A677-80E54CC2FEFF}"/>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4D612F90-6816-41E6-9448-5C46BC13346C}"/>
    <cellStyle name="20% - Accent3 4 4 2 3" xfId="12126" xr:uid="{08072257-EC3F-49CC-8785-9855FFB41A0E}"/>
    <cellStyle name="20% - Accent3 4 4 3" xfId="5770" xr:uid="{00000000-0005-0000-0000-0000C6010000}"/>
    <cellStyle name="20% - Accent3 4 4 3 2" xfId="14199" xr:uid="{C4D8B6CD-054B-4DA6-819A-3E3D76D40C89}"/>
    <cellStyle name="20% - Accent3 4 4 4" xfId="9981" xr:uid="{FD6071DF-5B63-4F6B-9C5A-F5D474FE9B13}"/>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868945EF-F9E2-4398-9119-F549FC66533F}"/>
    <cellStyle name="20% - Accent3 4 5 2 3" xfId="12539" xr:uid="{AB2ABFDC-15E8-49AC-992B-8366FD16E0EB}"/>
    <cellStyle name="20% - Accent3 4 5 3" xfId="6183" xr:uid="{00000000-0005-0000-0000-0000CA010000}"/>
    <cellStyle name="20% - Accent3 4 5 3 2" xfId="14612" xr:uid="{A8C9B79B-133F-4C67-A16B-7E0063120F09}"/>
    <cellStyle name="20% - Accent3 4 5 4" xfId="10394" xr:uid="{3D3CA052-A3A4-4767-8EFD-334480C72BC5}"/>
    <cellStyle name="20% - Accent3 4 6" xfId="2288" xr:uid="{00000000-0005-0000-0000-0000CB010000}"/>
    <cellStyle name="20% - Accent3 4 6 2" xfId="6596" xr:uid="{00000000-0005-0000-0000-0000CC010000}"/>
    <cellStyle name="20% - Accent3 4 6 2 2" xfId="15025" xr:uid="{41C12B84-0CFD-4589-BCBF-2151B587DB8A}"/>
    <cellStyle name="20% - Accent3 4 6 3" xfId="10807" xr:uid="{AEC099C0-F67D-4983-952D-6362D70441E2}"/>
    <cellStyle name="20% - Accent3 4 7" xfId="4530" xr:uid="{00000000-0005-0000-0000-0000CD010000}"/>
    <cellStyle name="20% - Accent3 4 7 2" xfId="12959" xr:uid="{1D270DB0-B155-4B0A-884C-8AA94DA3E6CD}"/>
    <cellStyle name="20% - Accent3 4 8" xfId="8741" xr:uid="{CB9580A2-56D2-4365-855B-46EB1D1D8B19}"/>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6CC956DF-AFEB-4BCA-A6B4-1F0FBBC9A646}"/>
    <cellStyle name="20% - Accent3 5 2 3" xfId="11293" xr:uid="{2DF6F1BD-6D71-4376-BE5F-5AD237B14E34}"/>
    <cellStyle name="20% - Accent3 5 3" xfId="4937" xr:uid="{00000000-0005-0000-0000-0000D1010000}"/>
    <cellStyle name="20% - Accent3 5 3 2" xfId="13366" xr:uid="{7B67D000-C7F9-4F3D-9CFE-37A03DFDE514}"/>
    <cellStyle name="20% - Accent3 5 4" xfId="9148" xr:uid="{91CA2EA2-9A17-42F9-BB12-329287E18B10}"/>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7EA21216-211B-4F2C-8513-0084C0312ADC}"/>
    <cellStyle name="20% - Accent3 6 2 3" xfId="11706" xr:uid="{C8132953-55C5-4206-9326-83BEBBBDE885}"/>
    <cellStyle name="20% - Accent3 6 3" xfId="5350" xr:uid="{00000000-0005-0000-0000-0000D5010000}"/>
    <cellStyle name="20% - Accent3 6 3 2" xfId="13779" xr:uid="{41A39078-B0DB-4003-88D4-F39C4485985D}"/>
    <cellStyle name="20% - Accent3 6 4" xfId="9561" xr:uid="{109DE5EC-D74C-4461-B607-0A2F7FF6F0BE}"/>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341CF7DC-500C-4180-B40A-49BC8D2665FB}"/>
    <cellStyle name="20% - Accent3 7 2 3" xfId="12119" xr:uid="{909E56A5-E34F-4939-AFAF-F8D83DE4B8A4}"/>
    <cellStyle name="20% - Accent3 7 3" xfId="5763" xr:uid="{00000000-0005-0000-0000-0000D9010000}"/>
    <cellStyle name="20% - Accent3 7 3 2" xfId="14192" xr:uid="{08911F40-9ED8-4BA9-9FA5-FAF9100F2225}"/>
    <cellStyle name="20% - Accent3 7 4" xfId="9974" xr:uid="{A8528E19-EC14-4371-8DC4-DD909F893B72}"/>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C48AD4C0-8359-4B8F-98B5-772FFDE8CEC7}"/>
    <cellStyle name="20% - Accent3 8 2 3" xfId="12532" xr:uid="{481A7B7B-904C-45A6-99B1-172961A03ADE}"/>
    <cellStyle name="20% - Accent3 8 3" xfId="6176" xr:uid="{00000000-0005-0000-0000-0000DD010000}"/>
    <cellStyle name="20% - Accent3 8 3 2" xfId="14605" xr:uid="{B56C535C-7F72-4A1F-B150-29B279CC9108}"/>
    <cellStyle name="20% - Accent3 8 4" xfId="10387" xr:uid="{7BE4D75D-6C83-415B-8DBE-B62338EAB6E9}"/>
    <cellStyle name="20% - Accent3 9" xfId="2281" xr:uid="{00000000-0005-0000-0000-0000DE010000}"/>
    <cellStyle name="20% - Accent3 9 2" xfId="6589" xr:uid="{00000000-0005-0000-0000-0000DF010000}"/>
    <cellStyle name="20% - Accent3 9 2 2" xfId="15018" xr:uid="{AB853882-0E81-4AEC-82FF-8B19DC1652DC}"/>
    <cellStyle name="20% - Accent3 9 3" xfId="10800" xr:uid="{E31B4982-3AE1-491B-BB71-D6598F306532}"/>
    <cellStyle name="20% - Accent4" xfId="25" builtinId="42" customBuiltin="1"/>
    <cellStyle name="20% - Accent4 10" xfId="4531" xr:uid="{00000000-0005-0000-0000-0000E1010000}"/>
    <cellStyle name="20% - Accent4 10 2" xfId="12960" xr:uid="{9AFE404D-DFFE-4FB2-AE21-43308A3048C6}"/>
    <cellStyle name="20% - Accent4 11" xfId="8742" xr:uid="{3A91E953-4D37-43A8-BA74-D828CC184550}"/>
    <cellStyle name="20% - Accent4 2" xfId="26" xr:uid="{00000000-0005-0000-0000-0000E2010000}"/>
    <cellStyle name="20% - Accent4 2 10" xfId="8743" xr:uid="{3F14964D-6711-49AE-B4AB-8932E1D68628}"/>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37DFF874-50AA-4161-91A4-EE266D59DE94}"/>
    <cellStyle name="20% - Accent4 2 2 2 2 2 3" xfId="11304" xr:uid="{B8CF5223-7E29-4CB6-A828-AEA66824FECF}"/>
    <cellStyle name="20% - Accent4 2 2 2 2 3" xfId="4948" xr:uid="{00000000-0005-0000-0000-0000E8010000}"/>
    <cellStyle name="20% - Accent4 2 2 2 2 3 2" xfId="13377" xr:uid="{E8A377BD-5C57-4D98-8AE0-55567BC1BB9D}"/>
    <cellStyle name="20% - Accent4 2 2 2 2 4" xfId="9159" xr:uid="{AB63E93E-9FC6-499C-AA21-DC31E0CCB7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D6F1685E-5697-4B33-9087-FEF5E3262EE1}"/>
    <cellStyle name="20% - Accent4 2 2 2 3 2 3" xfId="11717" xr:uid="{C33BE439-1B94-4982-B733-E2E85F46BEEA}"/>
    <cellStyle name="20% - Accent4 2 2 2 3 3" xfId="5361" xr:uid="{00000000-0005-0000-0000-0000EC010000}"/>
    <cellStyle name="20% - Accent4 2 2 2 3 3 2" xfId="13790" xr:uid="{66355ACC-467A-4DEA-8CC2-8987F7E07F8B}"/>
    <cellStyle name="20% - Accent4 2 2 2 3 4" xfId="9572" xr:uid="{079500FF-2C4D-47B6-AA4B-D96B44CEF05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C615FD36-CBEC-44A6-BF07-3E0C7789CB6D}"/>
    <cellStyle name="20% - Accent4 2 2 2 4 2 3" xfId="12130" xr:uid="{9978F333-AE22-4D74-8EE6-B9F2D3F361DE}"/>
    <cellStyle name="20% - Accent4 2 2 2 4 3" xfId="5774" xr:uid="{00000000-0005-0000-0000-0000F0010000}"/>
    <cellStyle name="20% - Accent4 2 2 2 4 3 2" xfId="14203" xr:uid="{E655C55C-983B-4879-B30A-1F7B91AFC7D0}"/>
    <cellStyle name="20% - Accent4 2 2 2 4 4" xfId="9985" xr:uid="{32E91198-41B9-4F7F-A665-BC6B0460AE65}"/>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82674DE3-82E2-4A56-A94C-5641B6B6E002}"/>
    <cellStyle name="20% - Accent4 2 2 2 5 2 3" xfId="12543" xr:uid="{78EF21ED-3F2F-4B11-ABC1-DE22A4169D96}"/>
    <cellStyle name="20% - Accent4 2 2 2 5 3" xfId="6187" xr:uid="{00000000-0005-0000-0000-0000F4010000}"/>
    <cellStyle name="20% - Accent4 2 2 2 5 3 2" xfId="14616" xr:uid="{3E0D69BD-6858-4941-BCD9-20F295C840B9}"/>
    <cellStyle name="20% - Accent4 2 2 2 5 4" xfId="10398" xr:uid="{E3195E85-A971-48F1-8B61-A97388C6F77F}"/>
    <cellStyle name="20% - Accent4 2 2 2 6" xfId="2292" xr:uid="{00000000-0005-0000-0000-0000F5010000}"/>
    <cellStyle name="20% - Accent4 2 2 2 6 2" xfId="6600" xr:uid="{00000000-0005-0000-0000-0000F6010000}"/>
    <cellStyle name="20% - Accent4 2 2 2 6 2 2" xfId="15029" xr:uid="{5474DD53-3EFC-48A1-8A09-AFE28A1F56C2}"/>
    <cellStyle name="20% - Accent4 2 2 2 6 3" xfId="10811" xr:uid="{85723DF6-637E-4A1A-9856-D7D8FD979D87}"/>
    <cellStyle name="20% - Accent4 2 2 2 7" xfId="4534" xr:uid="{00000000-0005-0000-0000-0000F7010000}"/>
    <cellStyle name="20% - Accent4 2 2 2 7 2" xfId="12963" xr:uid="{EBF417C4-3FED-493E-9AA4-EEBE65F59537}"/>
    <cellStyle name="20% - Accent4 2 2 2 8" xfId="8745" xr:uid="{A302315E-D794-4C9B-A2DC-6475BB20D1E5}"/>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E2D98024-60AB-4CFE-803B-FF8B229061FE}"/>
    <cellStyle name="20% - Accent4 2 2 3 2 3" xfId="11303" xr:uid="{BBCB1606-E75F-4DC1-B60B-7316A4A39F46}"/>
    <cellStyle name="20% - Accent4 2 2 3 3" xfId="4947" xr:uid="{00000000-0005-0000-0000-0000FB010000}"/>
    <cellStyle name="20% - Accent4 2 2 3 3 2" xfId="13376" xr:uid="{A91756FE-6C20-4879-82FE-744ED6F4B942}"/>
    <cellStyle name="20% - Accent4 2 2 3 4" xfId="9158" xr:uid="{A5E28E9D-D442-4471-9062-05407C96E863}"/>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25FF7717-DA12-4DF2-B1B1-9A10D09A89AD}"/>
    <cellStyle name="20% - Accent4 2 2 4 2 3" xfId="11716" xr:uid="{2D9922FF-14DB-4F25-AACF-0CFD0BD00A8F}"/>
    <cellStyle name="20% - Accent4 2 2 4 3" xfId="5360" xr:uid="{00000000-0005-0000-0000-0000FF010000}"/>
    <cellStyle name="20% - Accent4 2 2 4 3 2" xfId="13789" xr:uid="{EADE2F11-3BB4-46AE-B6C0-E829F5DEFB6D}"/>
    <cellStyle name="20% - Accent4 2 2 4 4" xfId="9571" xr:uid="{52B4AC38-F5E0-4BC2-8DF6-87AB6386CAEF}"/>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EF18E10C-EE01-438C-9522-27479E598566}"/>
    <cellStyle name="20% - Accent4 2 2 5 2 3" xfId="12129" xr:uid="{87B71582-4111-41E6-A9D3-8C888CC458F8}"/>
    <cellStyle name="20% - Accent4 2 2 5 3" xfId="5773" xr:uid="{00000000-0005-0000-0000-000003020000}"/>
    <cellStyle name="20% - Accent4 2 2 5 3 2" xfId="14202" xr:uid="{91E60DBC-2FCD-4FDE-9697-846BA4EC85F0}"/>
    <cellStyle name="20% - Accent4 2 2 5 4" xfId="9984" xr:uid="{57C2984C-1D58-4633-8458-D04B67BA3239}"/>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45134526-9E5C-4F7A-93C0-63ED57A2B2E1}"/>
    <cellStyle name="20% - Accent4 2 2 6 2 3" xfId="12542" xr:uid="{BCC2E297-9F45-4A40-A88B-A6C0619A3BA3}"/>
    <cellStyle name="20% - Accent4 2 2 6 3" xfId="6186" xr:uid="{00000000-0005-0000-0000-000007020000}"/>
    <cellStyle name="20% - Accent4 2 2 6 3 2" xfId="14615" xr:uid="{2A433488-AB8E-4F1B-AF2D-20F436C13344}"/>
    <cellStyle name="20% - Accent4 2 2 6 4" xfId="10397" xr:uid="{C0632BDD-11AC-443F-822B-A82AF95F4F58}"/>
    <cellStyle name="20% - Accent4 2 2 7" xfId="2291" xr:uid="{00000000-0005-0000-0000-000008020000}"/>
    <cellStyle name="20% - Accent4 2 2 7 2" xfId="6599" xr:uid="{00000000-0005-0000-0000-000009020000}"/>
    <cellStyle name="20% - Accent4 2 2 7 2 2" xfId="15028" xr:uid="{502846BB-BAD5-4F16-AB8B-455DD2AC3FBA}"/>
    <cellStyle name="20% - Accent4 2 2 7 3" xfId="10810" xr:uid="{D3DA6534-62C3-44DA-A970-5BD3594AF0DB}"/>
    <cellStyle name="20% - Accent4 2 2 8" xfId="4533" xr:uid="{00000000-0005-0000-0000-00000A020000}"/>
    <cellStyle name="20% - Accent4 2 2 8 2" xfId="12962" xr:uid="{A2862FF7-0D71-430B-995F-35691185D457}"/>
    <cellStyle name="20% - Accent4 2 2 9" xfId="8744" xr:uid="{AB4B507B-0A39-48D8-ADF8-FC7F94B5008D}"/>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157A1DB6-1309-4B1E-BFC7-725D170C4E2B}"/>
    <cellStyle name="20% - Accent4 2 3 2 2 3" xfId="11305" xr:uid="{3DAA4FCF-AFBB-41BC-90AB-855521A0EB24}"/>
    <cellStyle name="20% - Accent4 2 3 2 3" xfId="4949" xr:uid="{00000000-0005-0000-0000-00000F020000}"/>
    <cellStyle name="20% - Accent4 2 3 2 3 2" xfId="13378" xr:uid="{201C97BE-29B1-4266-A717-498B1F3F20DA}"/>
    <cellStyle name="20% - Accent4 2 3 2 4" xfId="9160" xr:uid="{0B76B321-DA9D-4A66-83E2-50977640FE92}"/>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01033F39-B54A-40A0-AC6E-29C99D0986A3}"/>
    <cellStyle name="20% - Accent4 2 3 3 2 3" xfId="11718" xr:uid="{66FC4137-8188-4C66-83BC-0171C1F9E710}"/>
    <cellStyle name="20% - Accent4 2 3 3 3" xfId="5362" xr:uid="{00000000-0005-0000-0000-000013020000}"/>
    <cellStyle name="20% - Accent4 2 3 3 3 2" xfId="13791" xr:uid="{E9467B4A-ECFA-4D0A-B754-69817DD28A8A}"/>
    <cellStyle name="20% - Accent4 2 3 3 4" xfId="9573" xr:uid="{600058BC-1704-4ACC-9DFD-38069E2B1B4A}"/>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51A0BC69-B864-4C1A-8DF1-CD2CC7D1B353}"/>
    <cellStyle name="20% - Accent4 2 3 4 2 3" xfId="12131" xr:uid="{6FE220D5-AD38-4075-8A87-51EA5505FC5A}"/>
    <cellStyle name="20% - Accent4 2 3 4 3" xfId="5775" xr:uid="{00000000-0005-0000-0000-000017020000}"/>
    <cellStyle name="20% - Accent4 2 3 4 3 2" xfId="14204" xr:uid="{7E9D1874-7AD5-40E8-97CE-FABF9AEE35B0}"/>
    <cellStyle name="20% - Accent4 2 3 4 4" xfId="9986" xr:uid="{3B49A9C5-BD7C-410A-AA75-07397B22E5CB}"/>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428DAECB-BFB6-430A-8245-B7C97015B30B}"/>
    <cellStyle name="20% - Accent4 2 3 5 2 3" xfId="12544" xr:uid="{2791A1AB-514D-4414-A5D5-E3CA7E330D50}"/>
    <cellStyle name="20% - Accent4 2 3 5 3" xfId="6188" xr:uid="{00000000-0005-0000-0000-00001B020000}"/>
    <cellStyle name="20% - Accent4 2 3 5 3 2" xfId="14617" xr:uid="{FA5262B9-2763-4701-8027-244BDBC7E3C3}"/>
    <cellStyle name="20% - Accent4 2 3 5 4" xfId="10399" xr:uid="{CFC77A77-7ABF-4385-B79C-D5DE5D4B80D2}"/>
    <cellStyle name="20% - Accent4 2 3 6" xfId="2293" xr:uid="{00000000-0005-0000-0000-00001C020000}"/>
    <cellStyle name="20% - Accent4 2 3 6 2" xfId="6601" xr:uid="{00000000-0005-0000-0000-00001D020000}"/>
    <cellStyle name="20% - Accent4 2 3 6 2 2" xfId="15030" xr:uid="{30BAAFBF-79A7-4793-BB5E-120387C2FD32}"/>
    <cellStyle name="20% - Accent4 2 3 6 3" xfId="10812" xr:uid="{0D395365-C925-4359-9B5A-8835E242B317}"/>
    <cellStyle name="20% - Accent4 2 3 7" xfId="4535" xr:uid="{00000000-0005-0000-0000-00001E020000}"/>
    <cellStyle name="20% - Accent4 2 3 7 2" xfId="12964" xr:uid="{382CDE9C-0F47-43C8-B4E6-8B23646FC0B4}"/>
    <cellStyle name="20% - Accent4 2 3 8" xfId="8746" xr:uid="{C5A7DA56-B379-4775-88FA-9ABD066B47BB}"/>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C335899D-34B8-4878-AF39-E130B5B64459}"/>
    <cellStyle name="20% - Accent4 2 4 2 3" xfId="11302" xr:uid="{C896B64B-F19C-4B7D-890F-A4C5E483F81D}"/>
    <cellStyle name="20% - Accent4 2 4 3" xfId="4946" xr:uid="{00000000-0005-0000-0000-000022020000}"/>
    <cellStyle name="20% - Accent4 2 4 3 2" xfId="13375" xr:uid="{E61D12EB-AFC9-4BE6-B36C-B2A6FB11FB31}"/>
    <cellStyle name="20% - Accent4 2 4 4" xfId="9157" xr:uid="{96AFAD0B-B722-4145-B148-CADC2EEA0C94}"/>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8B473CA6-72EC-4DA3-9B1A-626F14DD1161}"/>
    <cellStyle name="20% - Accent4 2 5 2 3" xfId="11715" xr:uid="{97A0A488-E0AE-46DD-BD40-2D69C03C3F8C}"/>
    <cellStyle name="20% - Accent4 2 5 3" xfId="5359" xr:uid="{00000000-0005-0000-0000-000026020000}"/>
    <cellStyle name="20% - Accent4 2 5 3 2" xfId="13788" xr:uid="{F1EF6395-A92A-4699-81D1-CCA633EE0DAF}"/>
    <cellStyle name="20% - Accent4 2 5 4" xfId="9570" xr:uid="{023F4327-40F6-46C8-A900-378158329670}"/>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9A2C250E-7E25-41C6-9C41-5C049BEF25F3}"/>
    <cellStyle name="20% - Accent4 2 6 2 3" xfId="12128" xr:uid="{2D6D2179-C1E5-4E07-8724-454F5E152A19}"/>
    <cellStyle name="20% - Accent4 2 6 3" xfId="5772" xr:uid="{00000000-0005-0000-0000-00002A020000}"/>
    <cellStyle name="20% - Accent4 2 6 3 2" xfId="14201" xr:uid="{A8030148-8C2D-4DC2-BC21-4B911F8C3460}"/>
    <cellStyle name="20% - Accent4 2 6 4" xfId="9983" xr:uid="{383C975B-9592-430A-AE4C-A2084E09AD8F}"/>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08C16576-C854-457B-8E9A-5C15B2E866EB}"/>
    <cellStyle name="20% - Accent4 2 7 2 3" xfId="12541" xr:uid="{A0DA7948-3027-46AD-97EB-207EC3558CF9}"/>
    <cellStyle name="20% - Accent4 2 7 3" xfId="6185" xr:uid="{00000000-0005-0000-0000-00002E020000}"/>
    <cellStyle name="20% - Accent4 2 7 3 2" xfId="14614" xr:uid="{891B609B-1665-4C3C-98D0-631EFCC188ED}"/>
    <cellStyle name="20% - Accent4 2 7 4" xfId="10396" xr:uid="{E7935C47-A1D4-4045-B7F2-FDBA8E9BB6D3}"/>
    <cellStyle name="20% - Accent4 2 8" xfId="2290" xr:uid="{00000000-0005-0000-0000-00002F020000}"/>
    <cellStyle name="20% - Accent4 2 8 2" xfId="6598" xr:uid="{00000000-0005-0000-0000-000030020000}"/>
    <cellStyle name="20% - Accent4 2 8 2 2" xfId="15027" xr:uid="{92C8191C-1FEC-4D97-B473-79CA2172A31A}"/>
    <cellStyle name="20% - Accent4 2 8 3" xfId="10809" xr:uid="{FB789B3A-6E20-49D1-BA08-4F0EEC956EF8}"/>
    <cellStyle name="20% - Accent4 2 9" xfId="4532" xr:uid="{00000000-0005-0000-0000-000031020000}"/>
    <cellStyle name="20% - Accent4 2 9 2" xfId="12961" xr:uid="{1F1B6AEF-DA9A-4878-8C43-4BCE49A2CAE7}"/>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5E1CFE10-D68C-4C9F-80FF-EE48DD8041CC}"/>
    <cellStyle name="20% - Accent4 3 2 2 2 3" xfId="11307" xr:uid="{F28340D2-AFE7-4CBF-ABAC-A3D7FD9DAD53}"/>
    <cellStyle name="20% - Accent4 3 2 2 3" xfId="4951" xr:uid="{00000000-0005-0000-0000-000037020000}"/>
    <cellStyle name="20% - Accent4 3 2 2 3 2" xfId="13380" xr:uid="{9F69696E-B23D-4246-A857-F39F24AD12DB}"/>
    <cellStyle name="20% - Accent4 3 2 2 4" xfId="9162" xr:uid="{33ED9C18-A586-476B-A042-6F3B34E89199}"/>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C65B8073-BE92-45FC-817A-4F7EF4585D10}"/>
    <cellStyle name="20% - Accent4 3 2 3 2 3" xfId="11720" xr:uid="{966FE5E3-F3B7-476C-A738-C590BA5B5643}"/>
    <cellStyle name="20% - Accent4 3 2 3 3" xfId="5364" xr:uid="{00000000-0005-0000-0000-00003B020000}"/>
    <cellStyle name="20% - Accent4 3 2 3 3 2" xfId="13793" xr:uid="{9C68849C-55A2-435A-BB69-13DD718E26A5}"/>
    <cellStyle name="20% - Accent4 3 2 3 4" xfId="9575" xr:uid="{5D2A2BF7-F761-4638-912C-BC837BECC2AA}"/>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80832D0D-6DC2-4CAE-B9E0-D32ECF853BDF}"/>
    <cellStyle name="20% - Accent4 3 2 4 2 3" xfId="12133" xr:uid="{F962B5B7-9E0E-4F3E-B01E-13F33D9A2FB6}"/>
    <cellStyle name="20% - Accent4 3 2 4 3" xfId="5777" xr:uid="{00000000-0005-0000-0000-00003F020000}"/>
    <cellStyle name="20% - Accent4 3 2 4 3 2" xfId="14206" xr:uid="{2F2D128C-FEAF-45D5-B95A-9786532AD888}"/>
    <cellStyle name="20% - Accent4 3 2 4 4" xfId="9988" xr:uid="{75BFB8EB-6EEF-41A2-80F4-03106ECB93C3}"/>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C7E8F2E1-DA8D-48C9-9D17-37856015974C}"/>
    <cellStyle name="20% - Accent4 3 2 5 2 3" xfId="12546" xr:uid="{49DF83B6-08E8-4953-B7E0-382EF7C5926C}"/>
    <cellStyle name="20% - Accent4 3 2 5 3" xfId="6190" xr:uid="{00000000-0005-0000-0000-000043020000}"/>
    <cellStyle name="20% - Accent4 3 2 5 3 2" xfId="14619" xr:uid="{1E5A9D80-2D1C-4FBE-B03C-02100BCA8B41}"/>
    <cellStyle name="20% - Accent4 3 2 5 4" xfId="10401" xr:uid="{D403139A-32AE-40A8-B8EE-ACE9443F877E}"/>
    <cellStyle name="20% - Accent4 3 2 6" xfId="2295" xr:uid="{00000000-0005-0000-0000-000044020000}"/>
    <cellStyle name="20% - Accent4 3 2 6 2" xfId="6603" xr:uid="{00000000-0005-0000-0000-000045020000}"/>
    <cellStyle name="20% - Accent4 3 2 6 2 2" xfId="15032" xr:uid="{F8723DE6-EF80-447F-B38B-EC70FAA44421}"/>
    <cellStyle name="20% - Accent4 3 2 6 3" xfId="10814" xr:uid="{75DBFA48-9FAB-4C83-8430-A82D404654EB}"/>
    <cellStyle name="20% - Accent4 3 2 7" xfId="4537" xr:uid="{00000000-0005-0000-0000-000046020000}"/>
    <cellStyle name="20% - Accent4 3 2 7 2" xfId="12966" xr:uid="{2542EDA2-D334-440D-93DC-B1ECA97CF676}"/>
    <cellStyle name="20% - Accent4 3 2 8" xfId="8748" xr:uid="{2C932698-B029-4E32-BCB3-899BDB66F59A}"/>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1E12A558-3F6C-43B5-864E-32E8C5F4462F}"/>
    <cellStyle name="20% - Accent4 3 3 2 3" xfId="11306" xr:uid="{6E7579FB-22B7-4835-BB1B-A4041ABF6663}"/>
    <cellStyle name="20% - Accent4 3 3 3" xfId="4950" xr:uid="{00000000-0005-0000-0000-00004A020000}"/>
    <cellStyle name="20% - Accent4 3 3 3 2" xfId="13379" xr:uid="{0E92E2BE-CFCA-4833-B0C0-5CB8ABFE99B1}"/>
    <cellStyle name="20% - Accent4 3 3 4" xfId="9161" xr:uid="{06F5B084-4218-4BFE-AAA1-57998A5A0782}"/>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09ACA258-2C05-4E8E-9D43-44109BAC672A}"/>
    <cellStyle name="20% - Accent4 3 4 2 3" xfId="11719" xr:uid="{99BBDDD3-0AE2-4527-85DF-62EC0CDE4A46}"/>
    <cellStyle name="20% - Accent4 3 4 3" xfId="5363" xr:uid="{00000000-0005-0000-0000-00004E020000}"/>
    <cellStyle name="20% - Accent4 3 4 3 2" xfId="13792" xr:uid="{08682DE6-9AEA-4820-B4ED-5C09567C2845}"/>
    <cellStyle name="20% - Accent4 3 4 4" xfId="9574" xr:uid="{E2A9E560-5DD9-40E0-B64F-EAB9FA3F406E}"/>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AA5D262B-592D-4B66-995D-A6E1D1A6B4A1}"/>
    <cellStyle name="20% - Accent4 3 5 2 3" xfId="12132" xr:uid="{B82E97EA-777F-44BE-BFCD-2A990F9687E7}"/>
    <cellStyle name="20% - Accent4 3 5 3" xfId="5776" xr:uid="{00000000-0005-0000-0000-000052020000}"/>
    <cellStyle name="20% - Accent4 3 5 3 2" xfId="14205" xr:uid="{F5795B95-D1D9-4063-A69A-B0E70B06ACB7}"/>
    <cellStyle name="20% - Accent4 3 5 4" xfId="9987" xr:uid="{2927C246-E4D3-440B-8665-9ECE0403EF7F}"/>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A701D7A3-A978-4B32-88B7-205CEB4A9DA8}"/>
    <cellStyle name="20% - Accent4 3 6 2 3" xfId="12545" xr:uid="{FEF5DE41-84DD-4CC2-8E49-BA536B7248C6}"/>
    <cellStyle name="20% - Accent4 3 6 3" xfId="6189" xr:uid="{00000000-0005-0000-0000-000056020000}"/>
    <cellStyle name="20% - Accent4 3 6 3 2" xfId="14618" xr:uid="{5EA7856B-0759-43AC-BD8C-2AC24AF1522C}"/>
    <cellStyle name="20% - Accent4 3 6 4" xfId="10400" xr:uid="{04B7CB0F-E98F-4952-A901-978A5C481D80}"/>
    <cellStyle name="20% - Accent4 3 7" xfId="2294" xr:uid="{00000000-0005-0000-0000-000057020000}"/>
    <cellStyle name="20% - Accent4 3 7 2" xfId="6602" xr:uid="{00000000-0005-0000-0000-000058020000}"/>
    <cellStyle name="20% - Accent4 3 7 2 2" xfId="15031" xr:uid="{953CCD2B-E168-4264-93F2-E4AB4B7960E3}"/>
    <cellStyle name="20% - Accent4 3 7 3" xfId="10813" xr:uid="{2D15E21C-B040-4C05-B5CF-2647A48B267D}"/>
    <cellStyle name="20% - Accent4 3 8" xfId="4536" xr:uid="{00000000-0005-0000-0000-000059020000}"/>
    <cellStyle name="20% - Accent4 3 8 2" xfId="12965" xr:uid="{2A23A6AB-3692-4089-A824-CE913F7E5164}"/>
    <cellStyle name="20% - Accent4 3 9" xfId="8747" xr:uid="{7190DF59-4B95-4DD1-9431-30241C09D13C}"/>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0CEEE3C0-CA58-4148-AD54-92C8E6ADE7E2}"/>
    <cellStyle name="20% - Accent4 4 2 2 3" xfId="11308" xr:uid="{AD8CF202-1CB7-444B-A9CB-BAA4298E955F}"/>
    <cellStyle name="20% - Accent4 4 2 3" xfId="4952" xr:uid="{00000000-0005-0000-0000-00005E020000}"/>
    <cellStyle name="20% - Accent4 4 2 3 2" xfId="13381" xr:uid="{364DE8F2-7156-440A-8AF5-8C5D4D17B668}"/>
    <cellStyle name="20% - Accent4 4 2 4" xfId="9163" xr:uid="{AABED284-8AA8-4D47-B4FC-4C0D39AE6DC9}"/>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EE0EC9A6-4D53-48C3-9221-527A359AC449}"/>
    <cellStyle name="20% - Accent4 4 3 2 3" xfId="11721" xr:uid="{879D1A6F-3929-40A7-BEEF-7038A3A8D0D7}"/>
    <cellStyle name="20% - Accent4 4 3 3" xfId="5365" xr:uid="{00000000-0005-0000-0000-000062020000}"/>
    <cellStyle name="20% - Accent4 4 3 3 2" xfId="13794" xr:uid="{F10FC458-7EF3-4BBB-B808-52A56DA500C7}"/>
    <cellStyle name="20% - Accent4 4 3 4" xfId="9576" xr:uid="{87A02C14-CDDA-4282-ADEA-C31032B606EA}"/>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C74ED4D1-2378-42A4-AD24-F2EAA1552B92}"/>
    <cellStyle name="20% - Accent4 4 4 2 3" xfId="12134" xr:uid="{1237358E-2865-47BF-B5BB-039553842B54}"/>
    <cellStyle name="20% - Accent4 4 4 3" xfId="5778" xr:uid="{00000000-0005-0000-0000-000066020000}"/>
    <cellStyle name="20% - Accent4 4 4 3 2" xfId="14207" xr:uid="{9F6C3544-C9B9-4DAB-B3C6-3F4CF056911A}"/>
    <cellStyle name="20% - Accent4 4 4 4" xfId="9989" xr:uid="{AABFB57A-5308-42EC-9A91-DE0CA87FFDD5}"/>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99C036E7-3664-4DFE-9B5D-9143004161B2}"/>
    <cellStyle name="20% - Accent4 4 5 2 3" xfId="12547" xr:uid="{A65678DC-5ECA-4B21-82B3-4122E0CFAB9A}"/>
    <cellStyle name="20% - Accent4 4 5 3" xfId="6191" xr:uid="{00000000-0005-0000-0000-00006A020000}"/>
    <cellStyle name="20% - Accent4 4 5 3 2" xfId="14620" xr:uid="{3485985A-CEAA-40C4-8545-6D499C0CB512}"/>
    <cellStyle name="20% - Accent4 4 5 4" xfId="10402" xr:uid="{5408FC96-0CDE-4348-B0CB-E9F0F15FD085}"/>
    <cellStyle name="20% - Accent4 4 6" xfId="2296" xr:uid="{00000000-0005-0000-0000-00006B020000}"/>
    <cellStyle name="20% - Accent4 4 6 2" xfId="6604" xr:uid="{00000000-0005-0000-0000-00006C020000}"/>
    <cellStyle name="20% - Accent4 4 6 2 2" xfId="15033" xr:uid="{CBE9D7AF-B594-4CC0-8989-C94A642795D6}"/>
    <cellStyle name="20% - Accent4 4 6 3" xfId="10815" xr:uid="{13556C5F-7EC4-409E-9B39-C4532CE5307A}"/>
    <cellStyle name="20% - Accent4 4 7" xfId="4538" xr:uid="{00000000-0005-0000-0000-00006D020000}"/>
    <cellStyle name="20% - Accent4 4 7 2" xfId="12967" xr:uid="{E998620D-091E-45E4-AA00-3CDB81A8C008}"/>
    <cellStyle name="20% - Accent4 4 8" xfId="8749" xr:uid="{546D7B14-E3E5-4C0D-A2A2-A250E667D5FB}"/>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3D728A24-28F1-4A7C-9717-7D7FB7BBF94E}"/>
    <cellStyle name="20% - Accent4 5 2 3" xfId="11301" xr:uid="{5DE621AC-137E-413B-94E8-FF7309C754E8}"/>
    <cellStyle name="20% - Accent4 5 3" xfId="4945" xr:uid="{00000000-0005-0000-0000-000071020000}"/>
    <cellStyle name="20% - Accent4 5 3 2" xfId="13374" xr:uid="{17E00D28-4886-4FE2-B0E8-B0D2E2928937}"/>
    <cellStyle name="20% - Accent4 5 4" xfId="9156" xr:uid="{D3F4F433-6678-43B0-BA8E-00B6912616FC}"/>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3BC7C1A8-5E7A-4A33-9157-C0663D9002B3}"/>
    <cellStyle name="20% - Accent4 6 2 3" xfId="11714" xr:uid="{8693EAE5-AB06-4F6D-A80B-D4F215631BC3}"/>
    <cellStyle name="20% - Accent4 6 3" xfId="5358" xr:uid="{00000000-0005-0000-0000-000075020000}"/>
    <cellStyle name="20% - Accent4 6 3 2" xfId="13787" xr:uid="{912599AC-AEBF-4DFE-8CFB-B489D2730761}"/>
    <cellStyle name="20% - Accent4 6 4" xfId="9569" xr:uid="{9CD08F87-A1AC-4EF0-941D-919C4F7E3012}"/>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AA907E53-AB29-40A3-B269-76543766A4DD}"/>
    <cellStyle name="20% - Accent4 7 2 3" xfId="12127" xr:uid="{F8106C53-5DCC-408E-A47C-692DAEB322C6}"/>
    <cellStyle name="20% - Accent4 7 3" xfId="5771" xr:uid="{00000000-0005-0000-0000-000079020000}"/>
    <cellStyle name="20% - Accent4 7 3 2" xfId="14200" xr:uid="{7EEDF3A8-16DD-4470-849A-4EE228657D43}"/>
    <cellStyle name="20% - Accent4 7 4" xfId="9982" xr:uid="{191B13E2-84E1-4D70-A73B-F4A291FC2960}"/>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2DE575C2-C435-4DB9-810D-BE5584F8726B}"/>
    <cellStyle name="20% - Accent4 8 2 3" xfId="12540" xr:uid="{540119E6-FA57-4B3F-A29A-B337D5C5378C}"/>
    <cellStyle name="20% - Accent4 8 3" xfId="6184" xr:uid="{00000000-0005-0000-0000-00007D020000}"/>
    <cellStyle name="20% - Accent4 8 3 2" xfId="14613" xr:uid="{EE1BFB78-D1E4-4B52-8C7C-A6D5562F5E6A}"/>
    <cellStyle name="20% - Accent4 8 4" xfId="10395" xr:uid="{C14FC65D-7BF1-4389-B0B2-BE8E21492941}"/>
    <cellStyle name="20% - Accent4 9" xfId="2289" xr:uid="{00000000-0005-0000-0000-00007E020000}"/>
    <cellStyle name="20% - Accent4 9 2" xfId="6597" xr:uid="{00000000-0005-0000-0000-00007F020000}"/>
    <cellStyle name="20% - Accent4 9 2 2" xfId="15026" xr:uid="{232C496F-4940-492D-8385-075BFAA66BFF}"/>
    <cellStyle name="20% - Accent4 9 3" xfId="10808" xr:uid="{F1C54A96-720B-4E60-A939-5278F5133470}"/>
    <cellStyle name="20% - Accent5" xfId="33" builtinId="46" customBuiltin="1"/>
    <cellStyle name="20% - Accent5 10" xfId="4539" xr:uid="{00000000-0005-0000-0000-000081020000}"/>
    <cellStyle name="20% - Accent5 10 2" xfId="12968" xr:uid="{1811BCB9-2616-4304-AA75-22E7DC79B698}"/>
    <cellStyle name="20% - Accent5 11" xfId="8750" xr:uid="{91D5BFF0-3BFA-4926-A5BA-A74A0238685D}"/>
    <cellStyle name="20% - Accent5 2" xfId="34" xr:uid="{00000000-0005-0000-0000-000082020000}"/>
    <cellStyle name="20% - Accent5 2 10" xfId="8751" xr:uid="{E88DA426-4127-465D-83F0-388CCD6A15D7}"/>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8D0FE03F-FDF7-4B34-8E87-84098CE5F5E7}"/>
    <cellStyle name="20% - Accent5 2 2 2 2 2 3" xfId="11312" xr:uid="{CE8BE232-3065-4ACA-A166-36C440E19067}"/>
    <cellStyle name="20% - Accent5 2 2 2 2 3" xfId="4956" xr:uid="{00000000-0005-0000-0000-000088020000}"/>
    <cellStyle name="20% - Accent5 2 2 2 2 3 2" xfId="13385" xr:uid="{8031AC07-F1CE-42FD-ACA4-0FF1BF1E862E}"/>
    <cellStyle name="20% - Accent5 2 2 2 2 4" xfId="9167" xr:uid="{D3E0C8A8-0E8F-47AB-8A5B-4F0D1422EBBE}"/>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2B70567D-65C3-4065-B334-40867BD0CEED}"/>
    <cellStyle name="20% - Accent5 2 2 2 3 2 3" xfId="11725" xr:uid="{BB1BE9C1-6763-4B8F-A8F4-20AB05B834DA}"/>
    <cellStyle name="20% - Accent5 2 2 2 3 3" xfId="5369" xr:uid="{00000000-0005-0000-0000-00008C020000}"/>
    <cellStyle name="20% - Accent5 2 2 2 3 3 2" xfId="13798" xr:uid="{80157EAD-453B-446A-8704-D219A8112460}"/>
    <cellStyle name="20% - Accent5 2 2 2 3 4" xfId="9580" xr:uid="{474103A7-3D8E-4199-9DE3-73F20783942A}"/>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F44A1739-33DF-4335-AB60-AB30E3627E12}"/>
    <cellStyle name="20% - Accent5 2 2 2 4 2 3" xfId="12138" xr:uid="{C051EF31-6DE1-466B-811A-4E2B350A42D7}"/>
    <cellStyle name="20% - Accent5 2 2 2 4 3" xfId="5782" xr:uid="{00000000-0005-0000-0000-000090020000}"/>
    <cellStyle name="20% - Accent5 2 2 2 4 3 2" xfId="14211" xr:uid="{FC450F72-47EF-4C33-B4A2-1F7BE1E79DD4}"/>
    <cellStyle name="20% - Accent5 2 2 2 4 4" xfId="9993" xr:uid="{D4D96235-D6B5-44FC-9D58-9C40296DE7DB}"/>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3FF65908-966F-4790-B98B-98A2411D375B}"/>
    <cellStyle name="20% - Accent5 2 2 2 5 2 3" xfId="12551" xr:uid="{CE70ED76-638D-44B5-B7B3-80BEAC998A4A}"/>
    <cellStyle name="20% - Accent5 2 2 2 5 3" xfId="6195" xr:uid="{00000000-0005-0000-0000-000094020000}"/>
    <cellStyle name="20% - Accent5 2 2 2 5 3 2" xfId="14624" xr:uid="{86B19A8A-D1EB-439B-AC8A-20DEFC939A69}"/>
    <cellStyle name="20% - Accent5 2 2 2 5 4" xfId="10406" xr:uid="{6B7D8E3C-5C5E-4E93-BC16-987685C2EF11}"/>
    <cellStyle name="20% - Accent5 2 2 2 6" xfId="2300" xr:uid="{00000000-0005-0000-0000-000095020000}"/>
    <cellStyle name="20% - Accent5 2 2 2 6 2" xfId="6608" xr:uid="{00000000-0005-0000-0000-000096020000}"/>
    <cellStyle name="20% - Accent5 2 2 2 6 2 2" xfId="15037" xr:uid="{CD88A8DF-033B-4015-8ABB-B85E1B821A63}"/>
    <cellStyle name="20% - Accent5 2 2 2 6 3" xfId="10819" xr:uid="{5132E893-9A7D-4943-9B3E-2250CC4865E2}"/>
    <cellStyle name="20% - Accent5 2 2 2 7" xfId="4542" xr:uid="{00000000-0005-0000-0000-000097020000}"/>
    <cellStyle name="20% - Accent5 2 2 2 7 2" xfId="12971" xr:uid="{A6376123-F261-42CB-8CC4-55C96E285FDC}"/>
    <cellStyle name="20% - Accent5 2 2 2 8" xfId="8753" xr:uid="{8679B85C-9F9C-4B28-975C-D4653E5493EC}"/>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E95E06F1-D429-4610-BE8B-6BA9CC231CC1}"/>
    <cellStyle name="20% - Accent5 2 2 3 2 3" xfId="11311" xr:uid="{C3B576CA-5E4F-478B-A962-A24583A16820}"/>
    <cellStyle name="20% - Accent5 2 2 3 3" xfId="4955" xr:uid="{00000000-0005-0000-0000-00009B020000}"/>
    <cellStyle name="20% - Accent5 2 2 3 3 2" xfId="13384" xr:uid="{3D614870-23A2-4AA3-9398-57A3BD2062A7}"/>
    <cellStyle name="20% - Accent5 2 2 3 4" xfId="9166" xr:uid="{C05FF250-0281-447B-9E95-1BE095F39414}"/>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3B7FF4C1-B23E-46B9-B89A-F05306418734}"/>
    <cellStyle name="20% - Accent5 2 2 4 2 3" xfId="11724" xr:uid="{73C36DB9-7C27-447D-8F5D-EE20DCDECF4F}"/>
    <cellStyle name="20% - Accent5 2 2 4 3" xfId="5368" xr:uid="{00000000-0005-0000-0000-00009F020000}"/>
    <cellStyle name="20% - Accent5 2 2 4 3 2" xfId="13797" xr:uid="{04B97FE5-6865-46E7-856E-D5903D3A1696}"/>
    <cellStyle name="20% - Accent5 2 2 4 4" xfId="9579" xr:uid="{380A61F1-F5FE-4CAB-BF80-7B835B9076C9}"/>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0C3EA007-4E8C-447B-97B1-1C2B405740BA}"/>
    <cellStyle name="20% - Accent5 2 2 5 2 3" xfId="12137" xr:uid="{902C9452-CA89-4936-A62B-1C008668059A}"/>
    <cellStyle name="20% - Accent5 2 2 5 3" xfId="5781" xr:uid="{00000000-0005-0000-0000-0000A3020000}"/>
    <cellStyle name="20% - Accent5 2 2 5 3 2" xfId="14210" xr:uid="{6879ADDA-D9D2-4985-BDB2-0E0974E83C20}"/>
    <cellStyle name="20% - Accent5 2 2 5 4" xfId="9992" xr:uid="{F24A6857-5B51-4F63-8946-1F0C0BD27BE5}"/>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8671C63D-FB19-4EEA-A7EB-198F3F7DD6B8}"/>
    <cellStyle name="20% - Accent5 2 2 6 2 3" xfId="12550" xr:uid="{17252FDC-0D5C-4EA6-95F5-8E0B92FB8823}"/>
    <cellStyle name="20% - Accent5 2 2 6 3" xfId="6194" xr:uid="{00000000-0005-0000-0000-0000A7020000}"/>
    <cellStyle name="20% - Accent5 2 2 6 3 2" xfId="14623" xr:uid="{78D4A19A-CB7C-43DD-956B-367EF3E9E385}"/>
    <cellStyle name="20% - Accent5 2 2 6 4" xfId="10405" xr:uid="{ADE17D9D-D2B1-4025-9AC4-746E33A294D8}"/>
    <cellStyle name="20% - Accent5 2 2 7" xfId="2299" xr:uid="{00000000-0005-0000-0000-0000A8020000}"/>
    <cellStyle name="20% - Accent5 2 2 7 2" xfId="6607" xr:uid="{00000000-0005-0000-0000-0000A9020000}"/>
    <cellStyle name="20% - Accent5 2 2 7 2 2" xfId="15036" xr:uid="{4220B05A-B1AA-4E47-807C-B6975875F434}"/>
    <cellStyle name="20% - Accent5 2 2 7 3" xfId="10818" xr:uid="{179AA367-60B5-4B4C-B434-072298439EAE}"/>
    <cellStyle name="20% - Accent5 2 2 8" xfId="4541" xr:uid="{00000000-0005-0000-0000-0000AA020000}"/>
    <cellStyle name="20% - Accent5 2 2 8 2" xfId="12970" xr:uid="{99376D68-359E-4797-B164-ACFA8B122D20}"/>
    <cellStyle name="20% - Accent5 2 2 9" xfId="8752" xr:uid="{AC9B0C5D-E587-497D-9745-B175C1DF7778}"/>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16006FFB-64A7-40FA-B741-A5955323CB62}"/>
    <cellStyle name="20% - Accent5 2 3 2 2 3" xfId="11313" xr:uid="{F70DBA3F-9225-4B7F-A6D2-7BBE9BA376B3}"/>
    <cellStyle name="20% - Accent5 2 3 2 3" xfId="4957" xr:uid="{00000000-0005-0000-0000-0000AF020000}"/>
    <cellStyle name="20% - Accent5 2 3 2 3 2" xfId="13386" xr:uid="{CA90C078-7B15-4EB6-9DCB-D7880DD83DFD}"/>
    <cellStyle name="20% - Accent5 2 3 2 4" xfId="9168" xr:uid="{89D0C55B-1D75-44AB-A848-06E48A419018}"/>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240C0EC1-1AC8-46D6-B87A-B56EA9D8D5C0}"/>
    <cellStyle name="20% - Accent5 2 3 3 2 3" xfId="11726" xr:uid="{60F78D64-CD2B-4559-B8AD-52D4FDE4B18F}"/>
    <cellStyle name="20% - Accent5 2 3 3 3" xfId="5370" xr:uid="{00000000-0005-0000-0000-0000B3020000}"/>
    <cellStyle name="20% - Accent5 2 3 3 3 2" xfId="13799" xr:uid="{4318D520-B6F0-4026-83A8-0EC461A52B79}"/>
    <cellStyle name="20% - Accent5 2 3 3 4" xfId="9581" xr:uid="{5277BE7E-6AEB-4B2B-8B60-9954F4891281}"/>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2B1365A7-04E0-4C5E-B5BB-99BC26E05172}"/>
    <cellStyle name="20% - Accent5 2 3 4 2 3" xfId="12139" xr:uid="{F341CB42-9999-4FE2-AA3A-C33870CB3BCA}"/>
    <cellStyle name="20% - Accent5 2 3 4 3" xfId="5783" xr:uid="{00000000-0005-0000-0000-0000B7020000}"/>
    <cellStyle name="20% - Accent5 2 3 4 3 2" xfId="14212" xr:uid="{1B1216F7-43D3-4901-BF3A-7516DF147114}"/>
    <cellStyle name="20% - Accent5 2 3 4 4" xfId="9994" xr:uid="{7EF00B62-072C-4FC7-B335-CD55151C28DB}"/>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5B2D0772-C633-4AE9-85FA-B95C25FEC692}"/>
    <cellStyle name="20% - Accent5 2 3 5 2 3" xfId="12552" xr:uid="{FDA9D13A-27F4-4494-B5DE-BE54504CAE22}"/>
    <cellStyle name="20% - Accent5 2 3 5 3" xfId="6196" xr:uid="{00000000-0005-0000-0000-0000BB020000}"/>
    <cellStyle name="20% - Accent5 2 3 5 3 2" xfId="14625" xr:uid="{F6F92BAF-527D-4F67-839E-A876B2C04E54}"/>
    <cellStyle name="20% - Accent5 2 3 5 4" xfId="10407" xr:uid="{6AC72F35-29A0-45B9-9963-9B3322A958DA}"/>
    <cellStyle name="20% - Accent5 2 3 6" xfId="2301" xr:uid="{00000000-0005-0000-0000-0000BC020000}"/>
    <cellStyle name="20% - Accent5 2 3 6 2" xfId="6609" xr:uid="{00000000-0005-0000-0000-0000BD020000}"/>
    <cellStyle name="20% - Accent5 2 3 6 2 2" xfId="15038" xr:uid="{F068B334-3442-4A96-B438-1591FF307B7C}"/>
    <cellStyle name="20% - Accent5 2 3 6 3" xfId="10820" xr:uid="{0F3BA2A4-B916-41A5-98A8-80A8D5749388}"/>
    <cellStyle name="20% - Accent5 2 3 7" xfId="4543" xr:uid="{00000000-0005-0000-0000-0000BE020000}"/>
    <cellStyle name="20% - Accent5 2 3 7 2" xfId="12972" xr:uid="{D40B778B-F8D1-4CF0-990A-F8E7A755ADE5}"/>
    <cellStyle name="20% - Accent5 2 3 8" xfId="8754" xr:uid="{03F401D7-C486-4845-BA46-3295AFA63E0E}"/>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9A4119FC-5D72-4C23-8463-44FA73AC9C23}"/>
    <cellStyle name="20% - Accent5 2 4 2 3" xfId="11310" xr:uid="{241868B7-8319-4564-A426-DA65025E0297}"/>
    <cellStyle name="20% - Accent5 2 4 3" xfId="4954" xr:uid="{00000000-0005-0000-0000-0000C2020000}"/>
    <cellStyle name="20% - Accent5 2 4 3 2" xfId="13383" xr:uid="{4C2EFECD-2BB2-4807-B29F-236616716B5B}"/>
    <cellStyle name="20% - Accent5 2 4 4" xfId="9165" xr:uid="{5B11BCED-3087-4C6B-8097-4FD81AAA5C00}"/>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D54AE1E4-6047-4F48-A034-4679F5E1558F}"/>
    <cellStyle name="20% - Accent5 2 5 2 3" xfId="11723" xr:uid="{56DB11A9-38EF-415A-A200-93B209681B97}"/>
    <cellStyle name="20% - Accent5 2 5 3" xfId="5367" xr:uid="{00000000-0005-0000-0000-0000C6020000}"/>
    <cellStyle name="20% - Accent5 2 5 3 2" xfId="13796" xr:uid="{CE19370A-C8E8-4F13-B655-ADFAB47F8C97}"/>
    <cellStyle name="20% - Accent5 2 5 4" xfId="9578" xr:uid="{F32F8D72-49DD-4008-A8A9-DEF5D25E9CE1}"/>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59E141CC-176A-4228-8690-90F4FF7F8D50}"/>
    <cellStyle name="20% - Accent5 2 6 2 3" xfId="12136" xr:uid="{84908741-F7AB-4DF3-994E-249C6E3B098D}"/>
    <cellStyle name="20% - Accent5 2 6 3" xfId="5780" xr:uid="{00000000-0005-0000-0000-0000CA020000}"/>
    <cellStyle name="20% - Accent5 2 6 3 2" xfId="14209" xr:uid="{660B1E4A-9BC8-4958-BAD0-B80E994301B4}"/>
    <cellStyle name="20% - Accent5 2 6 4" xfId="9991" xr:uid="{3684FC46-E439-4C3F-8C8E-AFA99851AA6F}"/>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6BB36DA3-3F91-4DD0-8F78-3DCA1709C299}"/>
    <cellStyle name="20% - Accent5 2 7 2 3" xfId="12549" xr:uid="{43DEF9BE-3240-49E1-AC94-56821145184E}"/>
    <cellStyle name="20% - Accent5 2 7 3" xfId="6193" xr:uid="{00000000-0005-0000-0000-0000CE020000}"/>
    <cellStyle name="20% - Accent5 2 7 3 2" xfId="14622" xr:uid="{8AE82E85-4DA9-4E89-835E-4B83E5B0CF84}"/>
    <cellStyle name="20% - Accent5 2 7 4" xfId="10404" xr:uid="{0ED66B50-2116-4090-ACB4-6ADFD0727A49}"/>
    <cellStyle name="20% - Accent5 2 8" xfId="2298" xr:uid="{00000000-0005-0000-0000-0000CF020000}"/>
    <cellStyle name="20% - Accent5 2 8 2" xfId="6606" xr:uid="{00000000-0005-0000-0000-0000D0020000}"/>
    <cellStyle name="20% - Accent5 2 8 2 2" xfId="15035" xr:uid="{D0920802-5B29-4104-9B26-F8CEB7931F8B}"/>
    <cellStyle name="20% - Accent5 2 8 3" xfId="10817" xr:uid="{02DE3B90-BCB5-4C1D-9575-47FCE989EDC8}"/>
    <cellStyle name="20% - Accent5 2 9" xfId="4540" xr:uid="{00000000-0005-0000-0000-0000D1020000}"/>
    <cellStyle name="20% - Accent5 2 9 2" xfId="12969" xr:uid="{B5786760-5D15-47A2-93BA-CC7B5ED5D774}"/>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1FC8804C-CB12-41C3-A0F1-AA552DCA5130}"/>
    <cellStyle name="20% - Accent5 3 2 2 2 3" xfId="11315" xr:uid="{4F988085-E69E-4BF8-9EB4-B03C2EF33F48}"/>
    <cellStyle name="20% - Accent5 3 2 2 3" xfId="4959" xr:uid="{00000000-0005-0000-0000-0000D7020000}"/>
    <cellStyle name="20% - Accent5 3 2 2 3 2" xfId="13388" xr:uid="{05288F1D-365B-4312-8235-CE0B107F1088}"/>
    <cellStyle name="20% - Accent5 3 2 2 4" xfId="9170" xr:uid="{5FDEA2C8-F55B-4FDE-9576-18B80CD743B4}"/>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72E64F27-71A1-4831-A8BC-BA66A5222711}"/>
    <cellStyle name="20% - Accent5 3 2 3 2 3" xfId="11728" xr:uid="{45222163-BBE2-450C-BD41-115538DF6CE3}"/>
    <cellStyle name="20% - Accent5 3 2 3 3" xfId="5372" xr:uid="{00000000-0005-0000-0000-0000DB020000}"/>
    <cellStyle name="20% - Accent5 3 2 3 3 2" xfId="13801" xr:uid="{29370888-0C63-4BAE-ACA1-F36A7B894D78}"/>
    <cellStyle name="20% - Accent5 3 2 3 4" xfId="9583" xr:uid="{7F13ACD0-AEC6-4960-BE4C-264692A57422}"/>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EA4F89DE-6B98-4618-A572-8C322052DC32}"/>
    <cellStyle name="20% - Accent5 3 2 4 2 3" xfId="12141" xr:uid="{42F201F1-47B8-4BA8-A9E8-2ADFC46AEC43}"/>
    <cellStyle name="20% - Accent5 3 2 4 3" xfId="5785" xr:uid="{00000000-0005-0000-0000-0000DF020000}"/>
    <cellStyle name="20% - Accent5 3 2 4 3 2" xfId="14214" xr:uid="{CEA53E47-586B-427E-B303-AB0CA50B78CE}"/>
    <cellStyle name="20% - Accent5 3 2 4 4" xfId="9996" xr:uid="{C1329650-0A00-4AE1-AAFD-9828571456B0}"/>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83D8B67E-DD21-4147-9CD2-04597F0E459C}"/>
    <cellStyle name="20% - Accent5 3 2 5 2 3" xfId="12554" xr:uid="{D46FA3FA-DC1F-48C1-B99B-FD4F30B71BC9}"/>
    <cellStyle name="20% - Accent5 3 2 5 3" xfId="6198" xr:uid="{00000000-0005-0000-0000-0000E3020000}"/>
    <cellStyle name="20% - Accent5 3 2 5 3 2" xfId="14627" xr:uid="{E3D1DC85-B387-4D6E-A64D-A6B24C6DA2A7}"/>
    <cellStyle name="20% - Accent5 3 2 5 4" xfId="10409" xr:uid="{BD974B90-401D-4D54-99A8-137D31117F8C}"/>
    <cellStyle name="20% - Accent5 3 2 6" xfId="2303" xr:uid="{00000000-0005-0000-0000-0000E4020000}"/>
    <cellStyle name="20% - Accent5 3 2 6 2" xfId="6611" xr:uid="{00000000-0005-0000-0000-0000E5020000}"/>
    <cellStyle name="20% - Accent5 3 2 6 2 2" xfId="15040" xr:uid="{00D18078-F4B3-4229-A6F3-D31CCB8D43AC}"/>
    <cellStyle name="20% - Accent5 3 2 6 3" xfId="10822" xr:uid="{68CB0818-21EA-4BBA-B66A-A3A1389F40D1}"/>
    <cellStyle name="20% - Accent5 3 2 7" xfId="4545" xr:uid="{00000000-0005-0000-0000-0000E6020000}"/>
    <cellStyle name="20% - Accent5 3 2 7 2" xfId="12974" xr:uid="{26C56D9C-D63F-477D-8761-9E62E7F01976}"/>
    <cellStyle name="20% - Accent5 3 2 8" xfId="8756" xr:uid="{18414984-5760-4424-9B4D-C18C07761719}"/>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21DA37D9-9830-4A4E-B14F-A2F6B0E68375}"/>
    <cellStyle name="20% - Accent5 3 3 2 3" xfId="11314" xr:uid="{F225E3F4-9604-49D2-9C60-54C30B1B72C9}"/>
    <cellStyle name="20% - Accent5 3 3 3" xfId="4958" xr:uid="{00000000-0005-0000-0000-0000EA020000}"/>
    <cellStyle name="20% - Accent5 3 3 3 2" xfId="13387" xr:uid="{CBB0F86B-380E-4327-8FF8-FB8A83C2D83A}"/>
    <cellStyle name="20% - Accent5 3 3 4" xfId="9169" xr:uid="{9DEFC525-5F9D-4E85-A15E-6F711808E944}"/>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F7B0F283-B5BA-4B9E-91CB-9B7593408383}"/>
    <cellStyle name="20% - Accent5 3 4 2 3" xfId="11727" xr:uid="{909F6643-7B6A-48BC-B531-4513917DC3A4}"/>
    <cellStyle name="20% - Accent5 3 4 3" xfId="5371" xr:uid="{00000000-0005-0000-0000-0000EE020000}"/>
    <cellStyle name="20% - Accent5 3 4 3 2" xfId="13800" xr:uid="{F72B6875-6909-46EB-9D51-83C525A6A84A}"/>
    <cellStyle name="20% - Accent5 3 4 4" xfId="9582" xr:uid="{ECB2D4F6-F40A-46DD-B895-105EA20717BD}"/>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5FA88FFB-6C1B-49F1-AA6F-F360AEA89EA9}"/>
    <cellStyle name="20% - Accent5 3 5 2 3" xfId="12140" xr:uid="{4908EE48-EEEA-4DD5-8A45-0AEABEC34D3D}"/>
    <cellStyle name="20% - Accent5 3 5 3" xfId="5784" xr:uid="{00000000-0005-0000-0000-0000F2020000}"/>
    <cellStyle name="20% - Accent5 3 5 3 2" xfId="14213" xr:uid="{6C2B7EDA-B87C-4C53-B9CE-629CC60F4FE8}"/>
    <cellStyle name="20% - Accent5 3 5 4" xfId="9995" xr:uid="{2C1A74BA-7C59-4585-8574-704976ADD0F1}"/>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AEAE46F7-E19E-4643-AD87-513A5751B75B}"/>
    <cellStyle name="20% - Accent5 3 6 2 3" xfId="12553" xr:uid="{0E13FBEF-8660-40C1-BFBC-CEE6767F6F28}"/>
    <cellStyle name="20% - Accent5 3 6 3" xfId="6197" xr:uid="{00000000-0005-0000-0000-0000F6020000}"/>
    <cellStyle name="20% - Accent5 3 6 3 2" xfId="14626" xr:uid="{053D5D20-C0BE-411A-931E-A9B38463CE0A}"/>
    <cellStyle name="20% - Accent5 3 6 4" xfId="10408" xr:uid="{F149477D-DE3C-4DCD-8DA1-8A5580D12CEA}"/>
    <cellStyle name="20% - Accent5 3 7" xfId="2302" xr:uid="{00000000-0005-0000-0000-0000F7020000}"/>
    <cellStyle name="20% - Accent5 3 7 2" xfId="6610" xr:uid="{00000000-0005-0000-0000-0000F8020000}"/>
    <cellStyle name="20% - Accent5 3 7 2 2" xfId="15039" xr:uid="{F377229B-6C47-4A23-84A6-B3ADD2F9D21D}"/>
    <cellStyle name="20% - Accent5 3 7 3" xfId="10821" xr:uid="{E52A06CE-924C-4006-A33F-80608C214FAA}"/>
    <cellStyle name="20% - Accent5 3 8" xfId="4544" xr:uid="{00000000-0005-0000-0000-0000F9020000}"/>
    <cellStyle name="20% - Accent5 3 8 2" xfId="12973" xr:uid="{B3E9D50C-3103-4981-9941-29763A5ABB0F}"/>
    <cellStyle name="20% - Accent5 3 9" xfId="8755" xr:uid="{380387E7-18E9-4BFC-A4CA-8B2FCAD3CBFA}"/>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3A54A41E-45D8-4E23-9102-35C7726F90A8}"/>
    <cellStyle name="20% - Accent5 4 2 2 3" xfId="11316" xr:uid="{47E5CFC9-3F39-4941-9596-9F4B5EAEBFCD}"/>
    <cellStyle name="20% - Accent5 4 2 3" xfId="4960" xr:uid="{00000000-0005-0000-0000-0000FE020000}"/>
    <cellStyle name="20% - Accent5 4 2 3 2" xfId="13389" xr:uid="{9F3596A5-DE6A-48A5-9A74-6F50BB5E92AA}"/>
    <cellStyle name="20% - Accent5 4 2 4" xfId="9171" xr:uid="{980C9332-4209-4C79-B5FA-28C0BF741A5F}"/>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1E61A10B-8C3A-4BA3-B0BE-FA8F96977642}"/>
    <cellStyle name="20% - Accent5 4 3 2 3" xfId="11729" xr:uid="{D5287AA0-1200-443D-B315-2B253D45C333}"/>
    <cellStyle name="20% - Accent5 4 3 3" xfId="5373" xr:uid="{00000000-0005-0000-0000-000002030000}"/>
    <cellStyle name="20% - Accent5 4 3 3 2" xfId="13802" xr:uid="{42B50A82-0A77-4450-B0E3-4B6D2EBBCCA1}"/>
    <cellStyle name="20% - Accent5 4 3 4" xfId="9584" xr:uid="{4F50D97A-E6DD-484E-9C68-51E1719DACCC}"/>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46F31135-C773-4F63-B789-AD36E27406B2}"/>
    <cellStyle name="20% - Accent5 4 4 2 3" xfId="12142" xr:uid="{C55AD521-C88E-4E6D-B7F9-9567D916C563}"/>
    <cellStyle name="20% - Accent5 4 4 3" xfId="5786" xr:uid="{00000000-0005-0000-0000-000006030000}"/>
    <cellStyle name="20% - Accent5 4 4 3 2" xfId="14215" xr:uid="{C6BC8D02-318E-4FC1-852D-3275FAAC05FF}"/>
    <cellStyle name="20% - Accent5 4 4 4" xfId="9997" xr:uid="{E70894CC-90D4-4481-8ECA-D00A22DF2037}"/>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7FF8388F-4F72-4E43-966D-5BEFC8453A18}"/>
    <cellStyle name="20% - Accent5 4 5 2 3" xfId="12555" xr:uid="{D159B4BA-070E-4FB2-A6FC-9A8119238E12}"/>
    <cellStyle name="20% - Accent5 4 5 3" xfId="6199" xr:uid="{00000000-0005-0000-0000-00000A030000}"/>
    <cellStyle name="20% - Accent5 4 5 3 2" xfId="14628" xr:uid="{8AB253B1-4A8C-4E25-BFBD-13706695A176}"/>
    <cellStyle name="20% - Accent5 4 5 4" xfId="10410" xr:uid="{FE822E71-3AB1-43C7-8573-E9B8F0E7BFFA}"/>
    <cellStyle name="20% - Accent5 4 6" xfId="2304" xr:uid="{00000000-0005-0000-0000-00000B030000}"/>
    <cellStyle name="20% - Accent5 4 6 2" xfId="6612" xr:uid="{00000000-0005-0000-0000-00000C030000}"/>
    <cellStyle name="20% - Accent5 4 6 2 2" xfId="15041" xr:uid="{C9F7A53E-5C8C-43EE-8A0E-312AF0D221D8}"/>
    <cellStyle name="20% - Accent5 4 6 3" xfId="10823" xr:uid="{E35D970A-505B-4384-B63A-AACC766A0701}"/>
    <cellStyle name="20% - Accent5 4 7" xfId="4546" xr:uid="{00000000-0005-0000-0000-00000D030000}"/>
    <cellStyle name="20% - Accent5 4 7 2" xfId="12975" xr:uid="{B2AD09AB-8607-4DCA-91B6-2D453AA579F3}"/>
    <cellStyle name="20% - Accent5 4 8" xfId="8757" xr:uid="{1721544B-4CD4-4A2C-A8DE-CAA35D00B00B}"/>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464DAF23-5156-4B06-9765-3FACA8B5A75D}"/>
    <cellStyle name="20% - Accent5 5 2 3" xfId="11309" xr:uid="{9CD79D47-DD8F-464A-B677-673AEABBC7D0}"/>
    <cellStyle name="20% - Accent5 5 3" xfId="4953" xr:uid="{00000000-0005-0000-0000-000011030000}"/>
    <cellStyle name="20% - Accent5 5 3 2" xfId="13382" xr:uid="{73930E63-EB98-4F18-8027-8DCCFB1C369D}"/>
    <cellStyle name="20% - Accent5 5 4" xfId="9164" xr:uid="{730340B1-0C0E-4986-9E17-7418E1628445}"/>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EB265F34-DD85-4674-B958-D965FFA94539}"/>
    <cellStyle name="20% - Accent5 6 2 3" xfId="11722" xr:uid="{CAD99E48-9584-42FF-8044-8C5F45DE281D}"/>
    <cellStyle name="20% - Accent5 6 3" xfId="5366" xr:uid="{00000000-0005-0000-0000-000015030000}"/>
    <cellStyle name="20% - Accent5 6 3 2" xfId="13795" xr:uid="{0A4A280C-E2D0-45CE-8CF8-5716CFDC4978}"/>
    <cellStyle name="20% - Accent5 6 4" xfId="9577" xr:uid="{99C9BA63-EA89-41D8-ACC1-369789844513}"/>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5912F452-09C1-4EEC-82D4-63DCE6966614}"/>
    <cellStyle name="20% - Accent5 7 2 3" xfId="12135" xr:uid="{33827402-5C5C-444E-AFF9-297D82394435}"/>
    <cellStyle name="20% - Accent5 7 3" xfId="5779" xr:uid="{00000000-0005-0000-0000-000019030000}"/>
    <cellStyle name="20% - Accent5 7 3 2" xfId="14208" xr:uid="{AEDDA021-7850-403C-9B2D-4FAAE5A0D6EB}"/>
    <cellStyle name="20% - Accent5 7 4" xfId="9990" xr:uid="{3808F692-09A7-4357-BEF3-FDA69EBC2A01}"/>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E5A04217-6C00-4F10-9DF9-4BC867F643A1}"/>
    <cellStyle name="20% - Accent5 8 2 3" xfId="12548" xr:uid="{B93D61BB-FBC8-4765-87C6-47477FD20248}"/>
    <cellStyle name="20% - Accent5 8 3" xfId="6192" xr:uid="{00000000-0005-0000-0000-00001D030000}"/>
    <cellStyle name="20% - Accent5 8 3 2" xfId="14621" xr:uid="{00A79D38-B46D-44C2-851F-48B284D774AC}"/>
    <cellStyle name="20% - Accent5 8 4" xfId="10403" xr:uid="{EB6B76B8-8EBE-4E48-B82A-73D6D934B8A4}"/>
    <cellStyle name="20% - Accent5 9" xfId="2297" xr:uid="{00000000-0005-0000-0000-00001E030000}"/>
    <cellStyle name="20% - Accent5 9 2" xfId="6605" xr:uid="{00000000-0005-0000-0000-00001F030000}"/>
    <cellStyle name="20% - Accent5 9 2 2" xfId="15034" xr:uid="{42718838-E345-4B11-BF6E-3FFEF6D8DD25}"/>
    <cellStyle name="20% - Accent5 9 3" xfId="10816" xr:uid="{C134DBC6-44A0-4373-8FF3-9410ADE05F93}"/>
    <cellStyle name="20% - Accent6" xfId="41" builtinId="50" customBuiltin="1"/>
    <cellStyle name="20% - Accent6 10" xfId="4547" xr:uid="{00000000-0005-0000-0000-000021030000}"/>
    <cellStyle name="20% - Accent6 10 2" xfId="12976" xr:uid="{C9AA6943-7AEE-43CC-9D01-31D1E9F79988}"/>
    <cellStyle name="20% - Accent6 11" xfId="8758" xr:uid="{F79BCEC3-8D12-4F0D-924C-4787016371E6}"/>
    <cellStyle name="20% - Accent6 2" xfId="42" xr:uid="{00000000-0005-0000-0000-000022030000}"/>
    <cellStyle name="20% - Accent6 2 10" xfId="8759" xr:uid="{D24DE73C-6E53-4864-AB9C-B0064C776CCF}"/>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DBAE36F0-D1D3-4A72-BD44-41DA463DE7EB}"/>
    <cellStyle name="20% - Accent6 2 2 2 2 2 3" xfId="11320" xr:uid="{CB47693C-56FF-4E41-8E12-46FE86548451}"/>
    <cellStyle name="20% - Accent6 2 2 2 2 3" xfId="4964" xr:uid="{00000000-0005-0000-0000-000028030000}"/>
    <cellStyle name="20% - Accent6 2 2 2 2 3 2" xfId="13393" xr:uid="{4042C956-50B5-4D4F-AA3D-9B147A0D6CBA}"/>
    <cellStyle name="20% - Accent6 2 2 2 2 4" xfId="9175" xr:uid="{A3BE4B1F-75F1-4B09-90A8-B9B7114FC81D}"/>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58317D8B-55F1-43E6-8A89-05FF8C4EDE52}"/>
    <cellStyle name="20% - Accent6 2 2 2 3 2 3" xfId="11733" xr:uid="{C05C0929-9565-4C4A-9FC0-78B4BAE52572}"/>
    <cellStyle name="20% - Accent6 2 2 2 3 3" xfId="5377" xr:uid="{00000000-0005-0000-0000-00002C030000}"/>
    <cellStyle name="20% - Accent6 2 2 2 3 3 2" xfId="13806" xr:uid="{283FA13A-2254-41AD-BCEA-5D96A4369048}"/>
    <cellStyle name="20% - Accent6 2 2 2 3 4" xfId="9588" xr:uid="{F8B6A9F0-300B-4FAE-9499-36715B90A968}"/>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9B707F14-387D-4159-8A2A-B93CACB83348}"/>
    <cellStyle name="20% - Accent6 2 2 2 4 2 3" xfId="12146" xr:uid="{3C5442F3-F68D-456D-B334-CEF4863F9D62}"/>
    <cellStyle name="20% - Accent6 2 2 2 4 3" xfId="5790" xr:uid="{00000000-0005-0000-0000-000030030000}"/>
    <cellStyle name="20% - Accent6 2 2 2 4 3 2" xfId="14219" xr:uid="{52D93756-7ADE-41C7-9F1A-5CB7EE3C433F}"/>
    <cellStyle name="20% - Accent6 2 2 2 4 4" xfId="10001" xr:uid="{03BB2F7C-2999-45B6-BF3A-1AD2C1B5A0C9}"/>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0337477D-F530-427E-A816-FAF9C1CBB986}"/>
    <cellStyle name="20% - Accent6 2 2 2 5 2 3" xfId="12559" xr:uid="{AB770481-D0B6-4F4A-AED5-053A249FDE52}"/>
    <cellStyle name="20% - Accent6 2 2 2 5 3" xfId="6203" xr:uid="{00000000-0005-0000-0000-000034030000}"/>
    <cellStyle name="20% - Accent6 2 2 2 5 3 2" xfId="14632" xr:uid="{E69D3EB9-729B-4E76-903A-25E91C69FF5F}"/>
    <cellStyle name="20% - Accent6 2 2 2 5 4" xfId="10414" xr:uid="{F13B0D90-FFC4-4EF9-A86B-DD2688528DB8}"/>
    <cellStyle name="20% - Accent6 2 2 2 6" xfId="2308" xr:uid="{00000000-0005-0000-0000-000035030000}"/>
    <cellStyle name="20% - Accent6 2 2 2 6 2" xfId="6616" xr:uid="{00000000-0005-0000-0000-000036030000}"/>
    <cellStyle name="20% - Accent6 2 2 2 6 2 2" xfId="15045" xr:uid="{EF2FFE98-8BA6-4293-BFE0-4E5405E4CB8A}"/>
    <cellStyle name="20% - Accent6 2 2 2 6 3" xfId="10827" xr:uid="{606D2E83-65F3-4F05-8526-6F401C0C283C}"/>
    <cellStyle name="20% - Accent6 2 2 2 7" xfId="4550" xr:uid="{00000000-0005-0000-0000-000037030000}"/>
    <cellStyle name="20% - Accent6 2 2 2 7 2" xfId="12979" xr:uid="{37589D92-DF14-4605-AF08-0EF5650410F7}"/>
    <cellStyle name="20% - Accent6 2 2 2 8" xfId="8761" xr:uid="{61B453FD-B8D3-4035-A375-5AFCDF20A54A}"/>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3163EC19-2012-416F-B4A1-6F5FB7887238}"/>
    <cellStyle name="20% - Accent6 2 2 3 2 3" xfId="11319" xr:uid="{539667D9-A812-421A-B937-8F00F343FE50}"/>
    <cellStyle name="20% - Accent6 2 2 3 3" xfId="4963" xr:uid="{00000000-0005-0000-0000-00003B030000}"/>
    <cellStyle name="20% - Accent6 2 2 3 3 2" xfId="13392" xr:uid="{45791043-71D0-4F0F-9A05-4E8A7D791F27}"/>
    <cellStyle name="20% - Accent6 2 2 3 4" xfId="9174" xr:uid="{27939B58-C4BF-4BB4-A349-F82E0B3BAD44}"/>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534D1F17-F5F6-4B36-BA58-B3FECB561D2D}"/>
    <cellStyle name="20% - Accent6 2 2 4 2 3" xfId="11732" xr:uid="{BD9B52DF-091B-4CD3-A50E-4D9C9D696ADB}"/>
    <cellStyle name="20% - Accent6 2 2 4 3" xfId="5376" xr:uid="{00000000-0005-0000-0000-00003F030000}"/>
    <cellStyle name="20% - Accent6 2 2 4 3 2" xfId="13805" xr:uid="{B4090A97-BB35-40BC-9DCC-79F2C2446B34}"/>
    <cellStyle name="20% - Accent6 2 2 4 4" xfId="9587" xr:uid="{AA917E11-DC4D-40A8-AE9E-C7628F84FC36}"/>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8F1F4C1D-4749-4B94-80C1-DFB146D79905}"/>
    <cellStyle name="20% - Accent6 2 2 5 2 3" xfId="12145" xr:uid="{585553FC-F857-4BE7-B2A9-CD7661F6AC08}"/>
    <cellStyle name="20% - Accent6 2 2 5 3" xfId="5789" xr:uid="{00000000-0005-0000-0000-000043030000}"/>
    <cellStyle name="20% - Accent6 2 2 5 3 2" xfId="14218" xr:uid="{BAC0AB65-55D0-4E6B-BAC0-E95521BC485A}"/>
    <cellStyle name="20% - Accent6 2 2 5 4" xfId="10000" xr:uid="{1E3F2110-59BE-4DC1-AB97-BFFF3206D380}"/>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E0356E32-23EA-4D7A-9110-87033D27A9AE}"/>
    <cellStyle name="20% - Accent6 2 2 6 2 3" xfId="12558" xr:uid="{D92D6226-4ACD-4DA6-84FA-1818B7CB5188}"/>
    <cellStyle name="20% - Accent6 2 2 6 3" xfId="6202" xr:uid="{00000000-0005-0000-0000-000047030000}"/>
    <cellStyle name="20% - Accent6 2 2 6 3 2" xfId="14631" xr:uid="{1600CA6D-950F-4A8A-8D0D-BEA244C0310A}"/>
    <cellStyle name="20% - Accent6 2 2 6 4" xfId="10413" xr:uid="{28D567AC-E40E-4393-A346-200645059468}"/>
    <cellStyle name="20% - Accent6 2 2 7" xfId="2307" xr:uid="{00000000-0005-0000-0000-000048030000}"/>
    <cellStyle name="20% - Accent6 2 2 7 2" xfId="6615" xr:uid="{00000000-0005-0000-0000-000049030000}"/>
    <cellStyle name="20% - Accent6 2 2 7 2 2" xfId="15044" xr:uid="{495683EC-BC2C-4B0D-BAE4-077A8DDF3856}"/>
    <cellStyle name="20% - Accent6 2 2 7 3" xfId="10826" xr:uid="{3643D8C4-BAD9-4624-868C-98EE9852D841}"/>
    <cellStyle name="20% - Accent6 2 2 8" xfId="4549" xr:uid="{00000000-0005-0000-0000-00004A030000}"/>
    <cellStyle name="20% - Accent6 2 2 8 2" xfId="12978" xr:uid="{B2AEAECF-C77F-4441-9C96-1E803E1C4AEF}"/>
    <cellStyle name="20% - Accent6 2 2 9" xfId="8760" xr:uid="{F6A2177F-C4F6-42E0-8D00-41331DE00A2B}"/>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189A5BA6-F9E2-4CD5-AB2A-E42E4A7746E7}"/>
    <cellStyle name="20% - Accent6 2 3 2 2 3" xfId="11321" xr:uid="{0F74C684-1151-4FFC-AD40-0C56B33417A5}"/>
    <cellStyle name="20% - Accent6 2 3 2 3" xfId="4965" xr:uid="{00000000-0005-0000-0000-00004F030000}"/>
    <cellStyle name="20% - Accent6 2 3 2 3 2" xfId="13394" xr:uid="{73F26730-0E36-4879-A2B7-0427A1223A15}"/>
    <cellStyle name="20% - Accent6 2 3 2 4" xfId="9176" xr:uid="{B3B20D8F-75CF-4DDF-B2D5-906FA03A6CF1}"/>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AE54C8FC-B134-48E4-8FF6-92AB6344B395}"/>
    <cellStyle name="20% - Accent6 2 3 3 2 3" xfId="11734" xr:uid="{B7C65978-0B2E-4BAE-8743-B53758D640F9}"/>
    <cellStyle name="20% - Accent6 2 3 3 3" xfId="5378" xr:uid="{00000000-0005-0000-0000-000053030000}"/>
    <cellStyle name="20% - Accent6 2 3 3 3 2" xfId="13807" xr:uid="{FA8C88FD-D4DC-48A5-B0D5-2D340030CEC2}"/>
    <cellStyle name="20% - Accent6 2 3 3 4" xfId="9589" xr:uid="{8DEB9C20-FF98-4EB1-9D72-20D694376D30}"/>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A18BF749-EBE2-4002-A25D-0830B6DAC184}"/>
    <cellStyle name="20% - Accent6 2 3 4 2 3" xfId="12147" xr:uid="{17679423-AB8E-45BB-B3DC-6837826DEC79}"/>
    <cellStyle name="20% - Accent6 2 3 4 3" xfId="5791" xr:uid="{00000000-0005-0000-0000-000057030000}"/>
    <cellStyle name="20% - Accent6 2 3 4 3 2" xfId="14220" xr:uid="{357F0C57-D9ED-4A27-8622-39809190BF8A}"/>
    <cellStyle name="20% - Accent6 2 3 4 4" xfId="10002" xr:uid="{82DE8148-A13B-4835-89A3-EA83AA836B8D}"/>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0A1FB8DA-9A5E-44D7-B6A6-8F3C02818051}"/>
    <cellStyle name="20% - Accent6 2 3 5 2 3" xfId="12560" xr:uid="{6188D392-E159-4FAF-B4AC-5973193FB3C6}"/>
    <cellStyle name="20% - Accent6 2 3 5 3" xfId="6204" xr:uid="{00000000-0005-0000-0000-00005B030000}"/>
    <cellStyle name="20% - Accent6 2 3 5 3 2" xfId="14633" xr:uid="{88EF07A1-4124-4C9B-B5CF-ABEE185DB46C}"/>
    <cellStyle name="20% - Accent6 2 3 5 4" xfId="10415" xr:uid="{2973A8B5-7C4F-4D24-B80B-322FE9F7E4E1}"/>
    <cellStyle name="20% - Accent6 2 3 6" xfId="2309" xr:uid="{00000000-0005-0000-0000-00005C030000}"/>
    <cellStyle name="20% - Accent6 2 3 6 2" xfId="6617" xr:uid="{00000000-0005-0000-0000-00005D030000}"/>
    <cellStyle name="20% - Accent6 2 3 6 2 2" xfId="15046" xr:uid="{AA16788F-0E29-42F2-B5D2-1A9DF674F743}"/>
    <cellStyle name="20% - Accent6 2 3 6 3" xfId="10828" xr:uid="{C3542E00-51FA-4DFE-9F5C-E35B15CAA7DD}"/>
    <cellStyle name="20% - Accent6 2 3 7" xfId="4551" xr:uid="{00000000-0005-0000-0000-00005E030000}"/>
    <cellStyle name="20% - Accent6 2 3 7 2" xfId="12980" xr:uid="{6762FEC3-A490-4929-975B-72CA565E415D}"/>
    <cellStyle name="20% - Accent6 2 3 8" xfId="8762" xr:uid="{6978B95F-B23B-4717-9112-DB1F40E8F3D1}"/>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8F06FA49-466B-44B2-8A9D-B0D908A63C0A}"/>
    <cellStyle name="20% - Accent6 2 4 2 3" xfId="11318" xr:uid="{0B647C22-0B7F-41F6-AAA9-8337547721DB}"/>
    <cellStyle name="20% - Accent6 2 4 3" xfId="4962" xr:uid="{00000000-0005-0000-0000-000062030000}"/>
    <cellStyle name="20% - Accent6 2 4 3 2" xfId="13391" xr:uid="{47D9CCD3-2834-4087-A043-1102C6E748ED}"/>
    <cellStyle name="20% - Accent6 2 4 4" xfId="9173" xr:uid="{3235E1E2-D7CB-4C61-A6E0-983AB0679391}"/>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1F8D6E10-706B-4F83-B118-77ED4B513FEC}"/>
    <cellStyle name="20% - Accent6 2 5 2 3" xfId="11731" xr:uid="{7F5768D4-0E6A-434E-8175-C67DBC030361}"/>
    <cellStyle name="20% - Accent6 2 5 3" xfId="5375" xr:uid="{00000000-0005-0000-0000-000066030000}"/>
    <cellStyle name="20% - Accent6 2 5 3 2" xfId="13804" xr:uid="{02E97F39-5372-4A8B-A37D-C184904BA0E6}"/>
    <cellStyle name="20% - Accent6 2 5 4" xfId="9586" xr:uid="{2D80FCE4-7056-4EA4-931D-E3CF08E657F9}"/>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4116A6E5-4561-41B3-A30F-3C7BEB1CFA02}"/>
    <cellStyle name="20% - Accent6 2 6 2 3" xfId="12144" xr:uid="{FE9039BA-A5A9-4513-B636-6D39DF76B7B3}"/>
    <cellStyle name="20% - Accent6 2 6 3" xfId="5788" xr:uid="{00000000-0005-0000-0000-00006A030000}"/>
    <cellStyle name="20% - Accent6 2 6 3 2" xfId="14217" xr:uid="{E72C9396-C6C3-4C72-8B6A-44143F28AAF4}"/>
    <cellStyle name="20% - Accent6 2 6 4" xfId="9999" xr:uid="{FA28333F-061A-41BA-83D5-8AD5B5030FB4}"/>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FB5F7FB6-2949-4AAC-BFBE-631AF630AFFD}"/>
    <cellStyle name="20% - Accent6 2 7 2 3" xfId="12557" xr:uid="{8A95A376-AC5F-4008-B14D-EABBC35AB372}"/>
    <cellStyle name="20% - Accent6 2 7 3" xfId="6201" xr:uid="{00000000-0005-0000-0000-00006E030000}"/>
    <cellStyle name="20% - Accent6 2 7 3 2" xfId="14630" xr:uid="{11B44A0E-05BF-4D39-B91C-4D283410D748}"/>
    <cellStyle name="20% - Accent6 2 7 4" xfId="10412" xr:uid="{4DCF1928-A44E-4894-99B6-64B3643EBF33}"/>
    <cellStyle name="20% - Accent6 2 8" xfId="2306" xr:uid="{00000000-0005-0000-0000-00006F030000}"/>
    <cellStyle name="20% - Accent6 2 8 2" xfId="6614" xr:uid="{00000000-0005-0000-0000-000070030000}"/>
    <cellStyle name="20% - Accent6 2 8 2 2" xfId="15043" xr:uid="{F70A26E7-9BB6-4D30-B6EC-150667C4C94B}"/>
    <cellStyle name="20% - Accent6 2 8 3" xfId="10825" xr:uid="{A129DCAC-377A-42DE-98D6-3B59A6FFFCEB}"/>
    <cellStyle name="20% - Accent6 2 9" xfId="4548" xr:uid="{00000000-0005-0000-0000-000071030000}"/>
    <cellStyle name="20% - Accent6 2 9 2" xfId="12977" xr:uid="{C8F7D616-56EE-4131-BB96-7FB6431BE2B2}"/>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16BC2242-E87E-4C56-A1C2-50984E2FFB12}"/>
    <cellStyle name="20% - Accent6 3 2 2 2 3" xfId="11323" xr:uid="{37093286-11EA-4556-A9A7-D4C2D4839BBF}"/>
    <cellStyle name="20% - Accent6 3 2 2 3" xfId="4967" xr:uid="{00000000-0005-0000-0000-000077030000}"/>
    <cellStyle name="20% - Accent6 3 2 2 3 2" xfId="13396" xr:uid="{BD324418-8F05-447B-86BE-1FB3F86E2DBB}"/>
    <cellStyle name="20% - Accent6 3 2 2 4" xfId="9178" xr:uid="{983847BE-D448-4CD2-B09D-551C53CA9D00}"/>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A131BAF6-998B-4FD4-8656-780712CBF0D2}"/>
    <cellStyle name="20% - Accent6 3 2 3 2 3" xfId="11736" xr:uid="{296B65DB-33B9-4EB2-95EB-67EFF224DC1F}"/>
    <cellStyle name="20% - Accent6 3 2 3 3" xfId="5380" xr:uid="{00000000-0005-0000-0000-00007B030000}"/>
    <cellStyle name="20% - Accent6 3 2 3 3 2" xfId="13809" xr:uid="{7FAF86D9-685F-4C7C-8B20-9D4AEC971CAF}"/>
    <cellStyle name="20% - Accent6 3 2 3 4" xfId="9591" xr:uid="{2991ED03-84E6-4B17-98A9-148E80229509}"/>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20BD4F85-BE1B-4620-81F0-29DAC45F8651}"/>
    <cellStyle name="20% - Accent6 3 2 4 2 3" xfId="12149" xr:uid="{877F1DF5-6345-4E44-9350-C613895D13A3}"/>
    <cellStyle name="20% - Accent6 3 2 4 3" xfId="5793" xr:uid="{00000000-0005-0000-0000-00007F030000}"/>
    <cellStyle name="20% - Accent6 3 2 4 3 2" xfId="14222" xr:uid="{A0A77356-2C1C-4427-AC3A-B575B9C49E49}"/>
    <cellStyle name="20% - Accent6 3 2 4 4" xfId="10004" xr:uid="{6152CD2D-DF49-455C-B352-251BA639F932}"/>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0563934B-C4AA-45C4-8810-009524B52D74}"/>
    <cellStyle name="20% - Accent6 3 2 5 2 3" xfId="12562" xr:uid="{44029A80-3A3A-43C1-AC34-A28A5D3BF7BA}"/>
    <cellStyle name="20% - Accent6 3 2 5 3" xfId="6206" xr:uid="{00000000-0005-0000-0000-000083030000}"/>
    <cellStyle name="20% - Accent6 3 2 5 3 2" xfId="14635" xr:uid="{1C310856-2C5E-48DA-BF32-378E6A9A81CE}"/>
    <cellStyle name="20% - Accent6 3 2 5 4" xfId="10417" xr:uid="{60D8600A-1813-4051-9C7D-652401A665E1}"/>
    <cellStyle name="20% - Accent6 3 2 6" xfId="2311" xr:uid="{00000000-0005-0000-0000-000084030000}"/>
    <cellStyle name="20% - Accent6 3 2 6 2" xfId="6619" xr:uid="{00000000-0005-0000-0000-000085030000}"/>
    <cellStyle name="20% - Accent6 3 2 6 2 2" xfId="15048" xr:uid="{4A2CB665-FCDB-40A0-8DE4-BDF912324CDC}"/>
    <cellStyle name="20% - Accent6 3 2 6 3" xfId="10830" xr:uid="{A4F4C7A0-CA61-456B-87C6-177474408DF7}"/>
    <cellStyle name="20% - Accent6 3 2 7" xfId="4553" xr:uid="{00000000-0005-0000-0000-000086030000}"/>
    <cellStyle name="20% - Accent6 3 2 7 2" xfId="12982" xr:uid="{65B5F052-C3A9-41AB-926C-F40E68369908}"/>
    <cellStyle name="20% - Accent6 3 2 8" xfId="8764" xr:uid="{9EA70A32-D6A6-4D77-B542-ECA76F6E1C97}"/>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99084C97-AA6B-4E73-8E64-CA5D5A8EAE1A}"/>
    <cellStyle name="20% - Accent6 3 3 2 3" xfId="11322" xr:uid="{FD92DC66-8086-45E5-A225-2F0141D23181}"/>
    <cellStyle name="20% - Accent6 3 3 3" xfId="4966" xr:uid="{00000000-0005-0000-0000-00008A030000}"/>
    <cellStyle name="20% - Accent6 3 3 3 2" xfId="13395" xr:uid="{10CB0FC6-E513-421B-B3A4-D22C14A2293F}"/>
    <cellStyle name="20% - Accent6 3 3 4" xfId="9177" xr:uid="{3CCA1C3B-FDBD-44BF-B5E5-6CE726E86ACA}"/>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375482A5-9775-4AC6-B6F3-541C3FD1D13D}"/>
    <cellStyle name="20% - Accent6 3 4 2 3" xfId="11735" xr:uid="{0DF8A251-7813-4397-AFB1-4AABD970C68D}"/>
    <cellStyle name="20% - Accent6 3 4 3" xfId="5379" xr:uid="{00000000-0005-0000-0000-00008E030000}"/>
    <cellStyle name="20% - Accent6 3 4 3 2" xfId="13808" xr:uid="{C99CD085-1F95-49DC-A3E3-5399093E441E}"/>
    <cellStyle name="20% - Accent6 3 4 4" xfId="9590" xr:uid="{76191098-4634-42BE-AC38-B6E21F4968C8}"/>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5A99620D-9BCC-40A4-B721-5021A3FAABA5}"/>
    <cellStyle name="20% - Accent6 3 5 2 3" xfId="12148" xr:uid="{111734FB-432C-463A-A890-382F84AF1C87}"/>
    <cellStyle name="20% - Accent6 3 5 3" xfId="5792" xr:uid="{00000000-0005-0000-0000-000092030000}"/>
    <cellStyle name="20% - Accent6 3 5 3 2" xfId="14221" xr:uid="{931358E2-2543-44F2-84C2-63CCF6E1D6CB}"/>
    <cellStyle name="20% - Accent6 3 5 4" xfId="10003" xr:uid="{7168638D-EDFE-421C-B295-978360EC9064}"/>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5B6025A8-9F76-450A-8714-B955ED966C4A}"/>
    <cellStyle name="20% - Accent6 3 6 2 3" xfId="12561" xr:uid="{2B5FA33E-2D72-44C3-8B55-10F33407CA2B}"/>
    <cellStyle name="20% - Accent6 3 6 3" xfId="6205" xr:uid="{00000000-0005-0000-0000-000096030000}"/>
    <cellStyle name="20% - Accent6 3 6 3 2" xfId="14634" xr:uid="{5C6F7307-2563-4865-8CEE-8FF4891AABFD}"/>
    <cellStyle name="20% - Accent6 3 6 4" xfId="10416" xr:uid="{AF52C8BE-1801-40AA-9C8C-1F52127B9605}"/>
    <cellStyle name="20% - Accent6 3 7" xfId="2310" xr:uid="{00000000-0005-0000-0000-000097030000}"/>
    <cellStyle name="20% - Accent6 3 7 2" xfId="6618" xr:uid="{00000000-0005-0000-0000-000098030000}"/>
    <cellStyle name="20% - Accent6 3 7 2 2" xfId="15047" xr:uid="{DA0BD858-08D5-493A-831A-5DE15ABAA3A3}"/>
    <cellStyle name="20% - Accent6 3 7 3" xfId="10829" xr:uid="{BFBE2A4E-8836-4CF6-96C2-DDF4790BD90D}"/>
    <cellStyle name="20% - Accent6 3 8" xfId="4552" xr:uid="{00000000-0005-0000-0000-000099030000}"/>
    <cellStyle name="20% - Accent6 3 8 2" xfId="12981" xr:uid="{B94E4E37-8936-4F2E-AFD0-82487C38A81F}"/>
    <cellStyle name="20% - Accent6 3 9" xfId="8763" xr:uid="{07D14141-712C-49A3-95CD-BDB71A15DBFC}"/>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1A7A5AB8-13E7-47C6-B1CE-3CDEFF096E66}"/>
    <cellStyle name="20% - Accent6 4 2 2 3" xfId="11324" xr:uid="{924818D2-B2EE-43E6-A6BF-45B0CB1D6487}"/>
    <cellStyle name="20% - Accent6 4 2 3" xfId="4968" xr:uid="{00000000-0005-0000-0000-00009E030000}"/>
    <cellStyle name="20% - Accent6 4 2 3 2" xfId="13397" xr:uid="{C097F4DE-0375-4274-98A5-652A9E18FD0F}"/>
    <cellStyle name="20% - Accent6 4 2 4" xfId="9179" xr:uid="{2135880C-8F52-485B-90E2-F7AF951D7AD7}"/>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686BAD8B-631B-42C4-8BB5-FE79D3555F5D}"/>
    <cellStyle name="20% - Accent6 4 3 2 3" xfId="11737" xr:uid="{C4F56193-CC0E-488E-BF02-F33805F58698}"/>
    <cellStyle name="20% - Accent6 4 3 3" xfId="5381" xr:uid="{00000000-0005-0000-0000-0000A2030000}"/>
    <cellStyle name="20% - Accent6 4 3 3 2" xfId="13810" xr:uid="{C2777783-F837-4061-86EA-1A4D19F47B8D}"/>
    <cellStyle name="20% - Accent6 4 3 4" xfId="9592" xr:uid="{E11F5E6D-4804-4C2E-BF9B-58DB013721F8}"/>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8FA8A897-36F3-484E-95DE-7A7193C093D9}"/>
    <cellStyle name="20% - Accent6 4 4 2 3" xfId="12150" xr:uid="{24CF949C-C4E9-4E26-8AB9-5F5BC35F6B76}"/>
    <cellStyle name="20% - Accent6 4 4 3" xfId="5794" xr:uid="{00000000-0005-0000-0000-0000A6030000}"/>
    <cellStyle name="20% - Accent6 4 4 3 2" xfId="14223" xr:uid="{9E456964-0E02-4F59-8508-F116274FF6FF}"/>
    <cellStyle name="20% - Accent6 4 4 4" xfId="10005" xr:uid="{C0C0BDC2-3069-4BDF-A34A-1EC72A24F84F}"/>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EA147464-00C7-4D96-ADF5-191EE53F3554}"/>
    <cellStyle name="20% - Accent6 4 5 2 3" xfId="12563" xr:uid="{E17175A2-1E79-459F-BC8C-ABF9E61F62F1}"/>
    <cellStyle name="20% - Accent6 4 5 3" xfId="6207" xr:uid="{00000000-0005-0000-0000-0000AA030000}"/>
    <cellStyle name="20% - Accent6 4 5 3 2" xfId="14636" xr:uid="{F40CDDF2-CE1B-45B1-900C-E2350866B14E}"/>
    <cellStyle name="20% - Accent6 4 5 4" xfId="10418" xr:uid="{19576453-620B-4B42-893B-705243A4475C}"/>
    <cellStyle name="20% - Accent6 4 6" xfId="2312" xr:uid="{00000000-0005-0000-0000-0000AB030000}"/>
    <cellStyle name="20% - Accent6 4 6 2" xfId="6620" xr:uid="{00000000-0005-0000-0000-0000AC030000}"/>
    <cellStyle name="20% - Accent6 4 6 2 2" xfId="15049" xr:uid="{45D8CD03-D155-44F3-B458-815C8F3ACCB8}"/>
    <cellStyle name="20% - Accent6 4 6 3" xfId="10831" xr:uid="{D19E0405-DE00-4FDF-8191-4843B517FF6B}"/>
    <cellStyle name="20% - Accent6 4 7" xfId="4554" xr:uid="{00000000-0005-0000-0000-0000AD030000}"/>
    <cellStyle name="20% - Accent6 4 7 2" xfId="12983" xr:uid="{C543A9C7-DBE5-4F01-B223-99A86D98DDFF}"/>
    <cellStyle name="20% - Accent6 4 8" xfId="8765" xr:uid="{F4679925-6708-4FCE-A1D7-69D1B606F119}"/>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14574728-7238-40B6-ACFD-686BF90BA864}"/>
    <cellStyle name="20% - Accent6 5 2 3" xfId="11317" xr:uid="{64DE77EB-1DBE-4FB3-A22B-D3BB25707C94}"/>
    <cellStyle name="20% - Accent6 5 3" xfId="4961" xr:uid="{00000000-0005-0000-0000-0000B1030000}"/>
    <cellStyle name="20% - Accent6 5 3 2" xfId="13390" xr:uid="{B411B05F-8BEE-4DA7-B91D-7E9209D24DF3}"/>
    <cellStyle name="20% - Accent6 5 4" xfId="9172" xr:uid="{F3317C0E-92C8-4776-903C-26F03F0D654F}"/>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6648AEA5-38E5-435D-A0F3-721E9296529F}"/>
    <cellStyle name="20% - Accent6 6 2 3" xfId="11730" xr:uid="{D8F6C857-908D-4BE8-B400-63916065E13D}"/>
    <cellStyle name="20% - Accent6 6 3" xfId="5374" xr:uid="{00000000-0005-0000-0000-0000B5030000}"/>
    <cellStyle name="20% - Accent6 6 3 2" xfId="13803" xr:uid="{97CC7865-B6C0-43AB-969E-CB0117F89E84}"/>
    <cellStyle name="20% - Accent6 6 4" xfId="9585" xr:uid="{B700397B-385D-46CD-8B79-4F8ED6AAE297}"/>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03F25E2E-EB0E-4F2B-B474-C47FA2F2FA32}"/>
    <cellStyle name="20% - Accent6 7 2 3" xfId="12143" xr:uid="{F058DC1A-FC6C-4671-AB45-A29762469329}"/>
    <cellStyle name="20% - Accent6 7 3" xfId="5787" xr:uid="{00000000-0005-0000-0000-0000B9030000}"/>
    <cellStyle name="20% - Accent6 7 3 2" xfId="14216" xr:uid="{A394E58E-5B47-4245-91F9-6BD759E77AB4}"/>
    <cellStyle name="20% - Accent6 7 4" xfId="9998" xr:uid="{CA5DAFEC-8D57-43D3-B2F8-CF3A8AEDED62}"/>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75C09DB1-EFCA-48A3-B7DE-2BE6DF1325FC}"/>
    <cellStyle name="20% - Accent6 8 2 3" xfId="12556" xr:uid="{147C1312-39F4-47C5-8601-B034120382D5}"/>
    <cellStyle name="20% - Accent6 8 3" xfId="6200" xr:uid="{00000000-0005-0000-0000-0000BD030000}"/>
    <cellStyle name="20% - Accent6 8 3 2" xfId="14629" xr:uid="{A7C0DAC6-D72C-4BAD-8569-7CBB477632F5}"/>
    <cellStyle name="20% - Accent6 8 4" xfId="10411" xr:uid="{7E8A226C-A1C7-41E1-9CFF-89D75DDD4466}"/>
    <cellStyle name="20% - Accent6 9" xfId="2305" xr:uid="{00000000-0005-0000-0000-0000BE030000}"/>
    <cellStyle name="20% - Accent6 9 2" xfId="6613" xr:uid="{00000000-0005-0000-0000-0000BF030000}"/>
    <cellStyle name="20% - Accent6 9 2 2" xfId="15042" xr:uid="{7FED4081-16D1-4545-9EFC-6F534EDF791E}"/>
    <cellStyle name="20% - Accent6 9 3" xfId="10824" xr:uid="{8DD6C605-CB5E-4638-9655-D915DAD67EDD}"/>
    <cellStyle name="40% - Accent1" xfId="49" builtinId="31" customBuiltin="1"/>
    <cellStyle name="40% - Accent1 10" xfId="4555" xr:uid="{00000000-0005-0000-0000-0000C1030000}"/>
    <cellStyle name="40% - Accent1 10 2" xfId="12984" xr:uid="{52265C83-F589-4344-888E-5E7B7F1A46DA}"/>
    <cellStyle name="40% - Accent1 11" xfId="8766" xr:uid="{4E9A95C8-0DFC-4220-AB91-20CEB60C3EF6}"/>
    <cellStyle name="40% - Accent1 2" xfId="50" xr:uid="{00000000-0005-0000-0000-0000C2030000}"/>
    <cellStyle name="40% - Accent1 2 10" xfId="8767" xr:uid="{84F31608-0518-46D0-83C4-52BFFF4CE3E7}"/>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BC72E240-351A-41BC-91C5-F5A4EB571841}"/>
    <cellStyle name="40% - Accent1 2 2 2 2 2 3" xfId="11328" xr:uid="{B1766933-1F26-4550-A26E-A195C5A5F7DF}"/>
    <cellStyle name="40% - Accent1 2 2 2 2 3" xfId="4972" xr:uid="{00000000-0005-0000-0000-0000C8030000}"/>
    <cellStyle name="40% - Accent1 2 2 2 2 3 2" xfId="13401" xr:uid="{ABB53954-3AF7-439D-886D-3F968A9780F3}"/>
    <cellStyle name="40% - Accent1 2 2 2 2 4" xfId="9183" xr:uid="{1C1624A2-D253-4208-A0DE-EF4378BC7F59}"/>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EFEF79DB-5295-4D25-A454-8BBE659B4C12}"/>
    <cellStyle name="40% - Accent1 2 2 2 3 2 3" xfId="11741" xr:uid="{7A0A3C37-0CCA-4E6C-AE73-FE2644DCD5D2}"/>
    <cellStyle name="40% - Accent1 2 2 2 3 3" xfId="5385" xr:uid="{00000000-0005-0000-0000-0000CC030000}"/>
    <cellStyle name="40% - Accent1 2 2 2 3 3 2" xfId="13814" xr:uid="{F3CE6E7E-8B8E-4F41-A262-95D893EE09A9}"/>
    <cellStyle name="40% - Accent1 2 2 2 3 4" xfId="9596" xr:uid="{7448F8CE-3960-4236-9396-38FCCEE20685}"/>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A9880F2A-963A-43E5-ADC2-A7041A968C11}"/>
    <cellStyle name="40% - Accent1 2 2 2 4 2 3" xfId="12154" xr:uid="{F0F9C51D-A0B7-46B7-BCE8-138C7E06791A}"/>
    <cellStyle name="40% - Accent1 2 2 2 4 3" xfId="5798" xr:uid="{00000000-0005-0000-0000-0000D0030000}"/>
    <cellStyle name="40% - Accent1 2 2 2 4 3 2" xfId="14227" xr:uid="{00582AB7-45FF-4F99-8AB2-FABEF7DD0898}"/>
    <cellStyle name="40% - Accent1 2 2 2 4 4" xfId="10009" xr:uid="{C1E299E9-925D-4E25-AA1C-B900B9878AA1}"/>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F5625FB4-08B8-4C7B-8695-A71B8EA88A0E}"/>
    <cellStyle name="40% - Accent1 2 2 2 5 2 3" xfId="12567" xr:uid="{19926149-0AA3-46DA-B43D-D0CEB54D1567}"/>
    <cellStyle name="40% - Accent1 2 2 2 5 3" xfId="6211" xr:uid="{00000000-0005-0000-0000-0000D4030000}"/>
    <cellStyle name="40% - Accent1 2 2 2 5 3 2" xfId="14640" xr:uid="{2BDA3900-DF70-4004-BD9D-94DD465AEEB4}"/>
    <cellStyle name="40% - Accent1 2 2 2 5 4" xfId="10422" xr:uid="{5117DB42-BB59-47A8-9453-8110E2E83CDB}"/>
    <cellStyle name="40% - Accent1 2 2 2 6" xfId="2316" xr:uid="{00000000-0005-0000-0000-0000D5030000}"/>
    <cellStyle name="40% - Accent1 2 2 2 6 2" xfId="6624" xr:uid="{00000000-0005-0000-0000-0000D6030000}"/>
    <cellStyle name="40% - Accent1 2 2 2 6 2 2" xfId="15053" xr:uid="{DA54680A-A5B1-46CB-84B9-9852D61EE0E1}"/>
    <cellStyle name="40% - Accent1 2 2 2 6 3" xfId="10835" xr:uid="{2321E4F0-8403-43C7-A458-D2CA3E5E62DD}"/>
    <cellStyle name="40% - Accent1 2 2 2 7" xfId="4558" xr:uid="{00000000-0005-0000-0000-0000D7030000}"/>
    <cellStyle name="40% - Accent1 2 2 2 7 2" xfId="12987" xr:uid="{F117B180-073A-4895-9F24-2866E5FE1A25}"/>
    <cellStyle name="40% - Accent1 2 2 2 8" xfId="8769" xr:uid="{FE603DA8-69E4-4E6F-8F2E-04CF24AC9E4E}"/>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1416E63B-B581-402A-9269-96EB372B0A12}"/>
    <cellStyle name="40% - Accent1 2 2 3 2 3" xfId="11327" xr:uid="{698C7A5B-FF34-47F8-95EB-075350DE5F62}"/>
    <cellStyle name="40% - Accent1 2 2 3 3" xfId="4971" xr:uid="{00000000-0005-0000-0000-0000DB030000}"/>
    <cellStyle name="40% - Accent1 2 2 3 3 2" xfId="13400" xr:uid="{5EA54EC3-20B4-4FEC-A967-297918202C39}"/>
    <cellStyle name="40% - Accent1 2 2 3 4" xfId="9182" xr:uid="{2CCE45B2-7D5D-4346-874B-6AA96C6D62B3}"/>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7AFDB54F-3461-4E1B-9DE6-0637E5183621}"/>
    <cellStyle name="40% - Accent1 2 2 4 2 3" xfId="11740" xr:uid="{FCD69676-F5F9-494A-AD87-E59A6559CF87}"/>
    <cellStyle name="40% - Accent1 2 2 4 3" xfId="5384" xr:uid="{00000000-0005-0000-0000-0000DF030000}"/>
    <cellStyle name="40% - Accent1 2 2 4 3 2" xfId="13813" xr:uid="{D2EC108C-51D4-43A2-A216-49AC7F4F7785}"/>
    <cellStyle name="40% - Accent1 2 2 4 4" xfId="9595" xr:uid="{45E8172D-FB01-43B4-A330-5CBC0A1A730D}"/>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2987CDC7-F1B4-4708-BF90-F966671EDCCD}"/>
    <cellStyle name="40% - Accent1 2 2 5 2 3" xfId="12153" xr:uid="{FA2E2F7C-552B-49DB-A666-1FB17C9B3C74}"/>
    <cellStyle name="40% - Accent1 2 2 5 3" xfId="5797" xr:uid="{00000000-0005-0000-0000-0000E3030000}"/>
    <cellStyle name="40% - Accent1 2 2 5 3 2" xfId="14226" xr:uid="{A89C4601-3BEB-4F27-96DC-3416A3F70704}"/>
    <cellStyle name="40% - Accent1 2 2 5 4" xfId="10008" xr:uid="{A35873C2-88B7-4E2F-B71A-9C4767D6C05A}"/>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18F02E08-AB76-491A-921D-3B4D0A57624F}"/>
    <cellStyle name="40% - Accent1 2 2 6 2 3" xfId="12566" xr:uid="{15614CC7-5F66-423D-A00B-522F2C367C46}"/>
    <cellStyle name="40% - Accent1 2 2 6 3" xfId="6210" xr:uid="{00000000-0005-0000-0000-0000E7030000}"/>
    <cellStyle name="40% - Accent1 2 2 6 3 2" xfId="14639" xr:uid="{5F250544-D8DD-4C9A-AFAD-28ADC27F21D4}"/>
    <cellStyle name="40% - Accent1 2 2 6 4" xfId="10421" xr:uid="{3A1E3248-CE74-4185-AD1C-D7DBD3274EDC}"/>
    <cellStyle name="40% - Accent1 2 2 7" xfId="2315" xr:uid="{00000000-0005-0000-0000-0000E8030000}"/>
    <cellStyle name="40% - Accent1 2 2 7 2" xfId="6623" xr:uid="{00000000-0005-0000-0000-0000E9030000}"/>
    <cellStyle name="40% - Accent1 2 2 7 2 2" xfId="15052" xr:uid="{193B43D2-EC2E-4031-B7D5-0EACB93CA49F}"/>
    <cellStyle name="40% - Accent1 2 2 7 3" xfId="10834" xr:uid="{0A85E5A3-32AF-4D32-B64B-D202EA6AF706}"/>
    <cellStyle name="40% - Accent1 2 2 8" xfId="4557" xr:uid="{00000000-0005-0000-0000-0000EA030000}"/>
    <cellStyle name="40% - Accent1 2 2 8 2" xfId="12986" xr:uid="{A1B7F685-E26B-4CB1-89B1-9648D347782F}"/>
    <cellStyle name="40% - Accent1 2 2 9" xfId="8768" xr:uid="{2246E0BA-39F8-4580-A06A-47321B80AF23}"/>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6FA15EB8-7D5A-4557-B007-1E5F997B94AF}"/>
    <cellStyle name="40% - Accent1 2 3 2 2 3" xfId="11329" xr:uid="{0A9BAE7A-2CC8-40DF-A0B4-AC8BE270C0B0}"/>
    <cellStyle name="40% - Accent1 2 3 2 3" xfId="4973" xr:uid="{00000000-0005-0000-0000-0000EF030000}"/>
    <cellStyle name="40% - Accent1 2 3 2 3 2" xfId="13402" xr:uid="{653C111D-2F39-4EE4-8718-39B58D02BFFE}"/>
    <cellStyle name="40% - Accent1 2 3 2 4" xfId="9184" xr:uid="{C8C53827-A565-4658-B85B-82617935C462}"/>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8C661CE5-7B3B-4BB0-B7C0-A0914E430DD0}"/>
    <cellStyle name="40% - Accent1 2 3 3 2 3" xfId="11742" xr:uid="{82929854-F6F5-4214-947B-7552DFAAC5BC}"/>
    <cellStyle name="40% - Accent1 2 3 3 3" xfId="5386" xr:uid="{00000000-0005-0000-0000-0000F3030000}"/>
    <cellStyle name="40% - Accent1 2 3 3 3 2" xfId="13815" xr:uid="{4A8A91FE-D964-476B-A4AA-B9CE376A8816}"/>
    <cellStyle name="40% - Accent1 2 3 3 4" xfId="9597" xr:uid="{CE568C93-07D6-4495-86A5-0864C7BD7F83}"/>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F2E5A2CC-3D66-41FC-8607-DBC1B0C9EBAD}"/>
    <cellStyle name="40% - Accent1 2 3 4 2 3" xfId="12155" xr:uid="{C5A6DE24-34F5-4E78-B129-C7922F2F25A1}"/>
    <cellStyle name="40% - Accent1 2 3 4 3" xfId="5799" xr:uid="{00000000-0005-0000-0000-0000F7030000}"/>
    <cellStyle name="40% - Accent1 2 3 4 3 2" xfId="14228" xr:uid="{9AB224A2-1C4A-459D-B1EB-C47957AE3A7E}"/>
    <cellStyle name="40% - Accent1 2 3 4 4" xfId="10010" xr:uid="{730CDA4A-CDFA-483C-A023-A023A93A2D19}"/>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E14CFC3A-B9D2-4489-8755-1E49CD306F78}"/>
    <cellStyle name="40% - Accent1 2 3 5 2 3" xfId="12568" xr:uid="{63D22F82-9AAF-4455-826A-9E5919DC7B3E}"/>
    <cellStyle name="40% - Accent1 2 3 5 3" xfId="6212" xr:uid="{00000000-0005-0000-0000-0000FB030000}"/>
    <cellStyle name="40% - Accent1 2 3 5 3 2" xfId="14641" xr:uid="{0375718E-BFD5-4AB4-9A29-878F88A1EC04}"/>
    <cellStyle name="40% - Accent1 2 3 5 4" xfId="10423" xr:uid="{70C88FEE-8EA2-46B8-A833-5DDCB83557AD}"/>
    <cellStyle name="40% - Accent1 2 3 6" xfId="2317" xr:uid="{00000000-0005-0000-0000-0000FC030000}"/>
    <cellStyle name="40% - Accent1 2 3 6 2" xfId="6625" xr:uid="{00000000-0005-0000-0000-0000FD030000}"/>
    <cellStyle name="40% - Accent1 2 3 6 2 2" xfId="15054" xr:uid="{317E3160-D1A1-4B23-BA7E-534A46832602}"/>
    <cellStyle name="40% - Accent1 2 3 6 3" xfId="10836" xr:uid="{FA2F8311-5AFE-49B6-89A3-934D8540E703}"/>
    <cellStyle name="40% - Accent1 2 3 7" xfId="4559" xr:uid="{00000000-0005-0000-0000-0000FE030000}"/>
    <cellStyle name="40% - Accent1 2 3 7 2" xfId="12988" xr:uid="{CAF45B21-6809-47BB-9658-918F482DF044}"/>
    <cellStyle name="40% - Accent1 2 3 8" xfId="8770" xr:uid="{F00F8E25-235C-46BB-9B80-21F610EFC2DC}"/>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5C6B67D9-C007-4E06-9AE0-A5A4F41ABD42}"/>
    <cellStyle name="40% - Accent1 2 4 2 3" xfId="11326" xr:uid="{537CE5A0-D650-4196-9EAA-47660875E734}"/>
    <cellStyle name="40% - Accent1 2 4 3" xfId="4970" xr:uid="{00000000-0005-0000-0000-000002040000}"/>
    <cellStyle name="40% - Accent1 2 4 3 2" xfId="13399" xr:uid="{BC251A77-7C7F-4E78-971F-CAB1DA4742DE}"/>
    <cellStyle name="40% - Accent1 2 4 4" xfId="9181" xr:uid="{BB999ED2-CBAE-456C-80F3-61A6E2D4D893}"/>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26C5DCF9-F40E-4698-B77A-9888BD4DDB6D}"/>
    <cellStyle name="40% - Accent1 2 5 2 3" xfId="11739" xr:uid="{0ACB5C7B-ACCD-437B-B5B4-7ACBE64DFDAC}"/>
    <cellStyle name="40% - Accent1 2 5 3" xfId="5383" xr:uid="{00000000-0005-0000-0000-000006040000}"/>
    <cellStyle name="40% - Accent1 2 5 3 2" xfId="13812" xr:uid="{CE90D13F-D369-48DB-82BD-C33A92AF6566}"/>
    <cellStyle name="40% - Accent1 2 5 4" xfId="9594" xr:uid="{AB688C21-67BD-44BE-BA53-E9FBC1F7C964}"/>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A3FE1393-32A2-442E-854A-FCAFA4955374}"/>
    <cellStyle name="40% - Accent1 2 6 2 3" xfId="12152" xr:uid="{59DF50E3-B783-4FC0-AD77-ACFAAA995FE0}"/>
    <cellStyle name="40% - Accent1 2 6 3" xfId="5796" xr:uid="{00000000-0005-0000-0000-00000A040000}"/>
    <cellStyle name="40% - Accent1 2 6 3 2" xfId="14225" xr:uid="{486F05EC-9BB6-4CBE-B79B-C224D66E45CD}"/>
    <cellStyle name="40% - Accent1 2 6 4" xfId="10007" xr:uid="{B2358B4E-2B82-4DD3-AA9C-21BF8D8E3426}"/>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0ACED082-A97E-4072-B900-4593CD2DED46}"/>
    <cellStyle name="40% - Accent1 2 7 2 3" xfId="12565" xr:uid="{DCAC2478-0901-4F05-888D-48F8D0F6E914}"/>
    <cellStyle name="40% - Accent1 2 7 3" xfId="6209" xr:uid="{00000000-0005-0000-0000-00000E040000}"/>
    <cellStyle name="40% - Accent1 2 7 3 2" xfId="14638" xr:uid="{E159ED01-99FF-469A-924C-9EB720B757E6}"/>
    <cellStyle name="40% - Accent1 2 7 4" xfId="10420" xr:uid="{E4D62C5A-46AD-4E43-931F-B77E791BEF10}"/>
    <cellStyle name="40% - Accent1 2 8" xfId="2314" xr:uid="{00000000-0005-0000-0000-00000F040000}"/>
    <cellStyle name="40% - Accent1 2 8 2" xfId="6622" xr:uid="{00000000-0005-0000-0000-000010040000}"/>
    <cellStyle name="40% - Accent1 2 8 2 2" xfId="15051" xr:uid="{574C9336-64DA-41D3-8128-2F498FAAECCE}"/>
    <cellStyle name="40% - Accent1 2 8 3" xfId="10833" xr:uid="{EC87D231-6B63-4AFA-88F6-B0B2AE85730B}"/>
    <cellStyle name="40% - Accent1 2 9" xfId="4556" xr:uid="{00000000-0005-0000-0000-000011040000}"/>
    <cellStyle name="40% - Accent1 2 9 2" xfId="12985" xr:uid="{A68ECCD1-EF18-4CEA-ACE1-77BA686465DD}"/>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94573BA4-4E30-4B0F-84C6-E3D6F6E415C6}"/>
    <cellStyle name="40% - Accent1 3 2 2 2 3" xfId="11331" xr:uid="{5F2508A0-C082-4BBD-A8B5-3458FE919C40}"/>
    <cellStyle name="40% - Accent1 3 2 2 3" xfId="4975" xr:uid="{00000000-0005-0000-0000-000017040000}"/>
    <cellStyle name="40% - Accent1 3 2 2 3 2" xfId="13404" xr:uid="{3FE8DC0D-7715-4CAE-B535-91F16379CA1D}"/>
    <cellStyle name="40% - Accent1 3 2 2 4" xfId="9186" xr:uid="{59EB28A5-A6D0-4F57-8EAA-162B90B52096}"/>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533A86A4-A7B6-4F4A-94E0-FE378FD87910}"/>
    <cellStyle name="40% - Accent1 3 2 3 2 3" xfId="11744" xr:uid="{9552F83F-7408-4A1C-BFBD-D193635666C5}"/>
    <cellStyle name="40% - Accent1 3 2 3 3" xfId="5388" xr:uid="{00000000-0005-0000-0000-00001B040000}"/>
    <cellStyle name="40% - Accent1 3 2 3 3 2" xfId="13817" xr:uid="{255301CB-BCE9-400F-861D-BD13BA9A2128}"/>
    <cellStyle name="40% - Accent1 3 2 3 4" xfId="9599" xr:uid="{434A6CEA-9DB7-4FE9-86E1-AABA9DA0C643}"/>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AD66D017-8ED2-48C8-B295-C3D8D1C4673B}"/>
    <cellStyle name="40% - Accent1 3 2 4 2 3" xfId="12157" xr:uid="{ED706E91-DF87-4F34-BDD8-77583C43A77B}"/>
    <cellStyle name="40% - Accent1 3 2 4 3" xfId="5801" xr:uid="{00000000-0005-0000-0000-00001F040000}"/>
    <cellStyle name="40% - Accent1 3 2 4 3 2" xfId="14230" xr:uid="{3758E95B-CB96-41FC-9C56-A04082BD6007}"/>
    <cellStyle name="40% - Accent1 3 2 4 4" xfId="10012" xr:uid="{ADEFEF51-5889-4EF5-BD4A-FC02B568044A}"/>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F2FF6354-5EDC-4624-B795-B79EE4F9EB52}"/>
    <cellStyle name="40% - Accent1 3 2 5 2 3" xfId="12570" xr:uid="{DD8FDF18-4429-4C26-A6D8-97BFDB69B145}"/>
    <cellStyle name="40% - Accent1 3 2 5 3" xfId="6214" xr:uid="{00000000-0005-0000-0000-000023040000}"/>
    <cellStyle name="40% - Accent1 3 2 5 3 2" xfId="14643" xr:uid="{128E7AD9-0B34-4176-A5D3-71243EC7B748}"/>
    <cellStyle name="40% - Accent1 3 2 5 4" xfId="10425" xr:uid="{9E9445E8-EFF6-4107-9DD4-4FCA466BFA73}"/>
    <cellStyle name="40% - Accent1 3 2 6" xfId="2319" xr:uid="{00000000-0005-0000-0000-000024040000}"/>
    <cellStyle name="40% - Accent1 3 2 6 2" xfId="6627" xr:uid="{00000000-0005-0000-0000-000025040000}"/>
    <cellStyle name="40% - Accent1 3 2 6 2 2" xfId="15056" xr:uid="{56F789B9-155D-4839-AAB2-404F38D78833}"/>
    <cellStyle name="40% - Accent1 3 2 6 3" xfId="10838" xr:uid="{21BFD140-38F5-4415-A909-B20BCED9B73C}"/>
    <cellStyle name="40% - Accent1 3 2 7" xfId="4561" xr:uid="{00000000-0005-0000-0000-000026040000}"/>
    <cellStyle name="40% - Accent1 3 2 7 2" xfId="12990" xr:uid="{EFD6F630-8411-46F6-A339-B20191782FE5}"/>
    <cellStyle name="40% - Accent1 3 2 8" xfId="8772" xr:uid="{2A7E3770-A3DC-478E-A886-41A933536ECB}"/>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9856D438-098C-43F4-82FD-5BEBD7A4D814}"/>
    <cellStyle name="40% - Accent1 3 3 2 3" xfId="11330" xr:uid="{E67EF8AD-9D00-4D14-A2D1-E9976ABEB766}"/>
    <cellStyle name="40% - Accent1 3 3 3" xfId="4974" xr:uid="{00000000-0005-0000-0000-00002A040000}"/>
    <cellStyle name="40% - Accent1 3 3 3 2" xfId="13403" xr:uid="{93CCA310-FB8F-4701-9EC0-CB426544CDCA}"/>
    <cellStyle name="40% - Accent1 3 3 4" xfId="9185" xr:uid="{6C495B7D-6339-4B1C-8C10-4AAA0C0B53EA}"/>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586F0A3C-E4F4-488C-AAE3-A441504D9C64}"/>
    <cellStyle name="40% - Accent1 3 4 2 3" xfId="11743" xr:uid="{20DE69E6-A552-4526-B78E-E22D734BB409}"/>
    <cellStyle name="40% - Accent1 3 4 3" xfId="5387" xr:uid="{00000000-0005-0000-0000-00002E040000}"/>
    <cellStyle name="40% - Accent1 3 4 3 2" xfId="13816" xr:uid="{804966B9-B969-4E7E-B94B-E0A8894EA2FF}"/>
    <cellStyle name="40% - Accent1 3 4 4" xfId="9598" xr:uid="{C5D970D8-9F66-44C1-8C98-3CC67C9826D7}"/>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AFE9F5C0-2F96-4E35-8F7F-CCACEA870161}"/>
    <cellStyle name="40% - Accent1 3 5 2 3" xfId="12156" xr:uid="{AE1AEC17-31AB-4BC3-A091-FD6EBF7D5B77}"/>
    <cellStyle name="40% - Accent1 3 5 3" xfId="5800" xr:uid="{00000000-0005-0000-0000-000032040000}"/>
    <cellStyle name="40% - Accent1 3 5 3 2" xfId="14229" xr:uid="{C7C5FCD6-9AA1-432B-A9CA-1A34353E7626}"/>
    <cellStyle name="40% - Accent1 3 5 4" xfId="10011" xr:uid="{F7612A25-0B24-4449-ADB7-BA69176CE2DD}"/>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5075DE86-7FCC-4D2F-BB08-7A383EB1A519}"/>
    <cellStyle name="40% - Accent1 3 6 2 3" xfId="12569" xr:uid="{9AAF17BD-CD48-48B7-A422-545BB4379997}"/>
    <cellStyle name="40% - Accent1 3 6 3" xfId="6213" xr:uid="{00000000-0005-0000-0000-000036040000}"/>
    <cellStyle name="40% - Accent1 3 6 3 2" xfId="14642" xr:uid="{5BDE55DB-E960-4C12-A0BB-9458831D9F53}"/>
    <cellStyle name="40% - Accent1 3 6 4" xfId="10424" xr:uid="{34C504D5-2C9F-4301-8C38-0A0F7EE2AC05}"/>
    <cellStyle name="40% - Accent1 3 7" xfId="2318" xr:uid="{00000000-0005-0000-0000-000037040000}"/>
    <cellStyle name="40% - Accent1 3 7 2" xfId="6626" xr:uid="{00000000-0005-0000-0000-000038040000}"/>
    <cellStyle name="40% - Accent1 3 7 2 2" xfId="15055" xr:uid="{7EC27BE9-57F8-4A22-9BF3-C61A3150679E}"/>
    <cellStyle name="40% - Accent1 3 7 3" xfId="10837" xr:uid="{5BFEA249-3E11-4CAD-BBED-F83075970745}"/>
    <cellStyle name="40% - Accent1 3 8" xfId="4560" xr:uid="{00000000-0005-0000-0000-000039040000}"/>
    <cellStyle name="40% - Accent1 3 8 2" xfId="12989" xr:uid="{90719776-3D87-481C-AD54-ECA3FF3133E3}"/>
    <cellStyle name="40% - Accent1 3 9" xfId="8771" xr:uid="{F4946E19-0432-4D6D-8CF2-297090A39FFC}"/>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FBA5238A-4334-4CEA-B6D8-4FEB518DE29D}"/>
    <cellStyle name="40% - Accent1 4 2 2 3" xfId="11332" xr:uid="{DCE9F5BC-CE69-4B79-BE76-C8B693B208B5}"/>
    <cellStyle name="40% - Accent1 4 2 3" xfId="4976" xr:uid="{00000000-0005-0000-0000-00003E040000}"/>
    <cellStyle name="40% - Accent1 4 2 3 2" xfId="13405" xr:uid="{795D07FC-69AE-42B7-A3A6-A198223B1B38}"/>
    <cellStyle name="40% - Accent1 4 2 4" xfId="9187" xr:uid="{2C043476-A122-48E7-AADB-7BD6116E5DA2}"/>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35C8ACF4-CD63-4B36-A576-D55C1E4D61DB}"/>
    <cellStyle name="40% - Accent1 4 3 2 3" xfId="11745" xr:uid="{36C5D886-2CC5-45CB-8CAA-FCA643FD576A}"/>
    <cellStyle name="40% - Accent1 4 3 3" xfId="5389" xr:uid="{00000000-0005-0000-0000-000042040000}"/>
    <cellStyle name="40% - Accent1 4 3 3 2" xfId="13818" xr:uid="{54F5890C-8ED6-4376-9286-DE37C7B29E87}"/>
    <cellStyle name="40% - Accent1 4 3 4" xfId="9600" xr:uid="{4B42BF93-FC86-42EF-BAB0-DF4DEAB55310}"/>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A0DAA8C2-7B8A-48F0-922F-C841DDDBC277}"/>
    <cellStyle name="40% - Accent1 4 4 2 3" xfId="12158" xr:uid="{BA7DA204-C51E-4934-B901-7529A5E27466}"/>
    <cellStyle name="40% - Accent1 4 4 3" xfId="5802" xr:uid="{00000000-0005-0000-0000-000046040000}"/>
    <cellStyle name="40% - Accent1 4 4 3 2" xfId="14231" xr:uid="{18908D48-7774-4166-AC2E-C46128E3CE0D}"/>
    <cellStyle name="40% - Accent1 4 4 4" xfId="10013" xr:uid="{E78AA717-54D5-4E98-943A-C9808CD12D59}"/>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006464D7-7DAC-4B62-A318-180DCAEE5AD2}"/>
    <cellStyle name="40% - Accent1 4 5 2 3" xfId="12571" xr:uid="{2F3FA969-8055-4AC8-8ECA-33BE58604BA1}"/>
    <cellStyle name="40% - Accent1 4 5 3" xfId="6215" xr:uid="{00000000-0005-0000-0000-00004A040000}"/>
    <cellStyle name="40% - Accent1 4 5 3 2" xfId="14644" xr:uid="{9746C676-4F89-4583-9047-813081D67B53}"/>
    <cellStyle name="40% - Accent1 4 5 4" xfId="10426" xr:uid="{13393627-6366-481A-94D2-4E313FB535AC}"/>
    <cellStyle name="40% - Accent1 4 6" xfId="2320" xr:uid="{00000000-0005-0000-0000-00004B040000}"/>
    <cellStyle name="40% - Accent1 4 6 2" xfId="6628" xr:uid="{00000000-0005-0000-0000-00004C040000}"/>
    <cellStyle name="40% - Accent1 4 6 2 2" xfId="15057" xr:uid="{5BE29AAF-01ED-460B-86AD-823D3EC808C1}"/>
    <cellStyle name="40% - Accent1 4 6 3" xfId="10839" xr:uid="{25E14D89-CF99-4869-89BB-FCA87D98C39C}"/>
    <cellStyle name="40% - Accent1 4 7" xfId="4562" xr:uid="{00000000-0005-0000-0000-00004D040000}"/>
    <cellStyle name="40% - Accent1 4 7 2" xfId="12991" xr:uid="{12BAA8D9-275D-43EA-9F03-63696A518CB5}"/>
    <cellStyle name="40% - Accent1 4 8" xfId="8773" xr:uid="{CF624C93-236B-4744-9C85-13A1123A7713}"/>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4AE636EB-31C9-4B0A-A80D-C45C308724F4}"/>
    <cellStyle name="40% - Accent1 5 2 3" xfId="11325" xr:uid="{485D1352-6CA0-4411-AEF9-98693E803261}"/>
    <cellStyle name="40% - Accent1 5 3" xfId="4969" xr:uid="{00000000-0005-0000-0000-000051040000}"/>
    <cellStyle name="40% - Accent1 5 3 2" xfId="13398" xr:uid="{0355D5A7-C514-46CA-A488-9A2291B8EBBE}"/>
    <cellStyle name="40% - Accent1 5 4" xfId="9180" xr:uid="{77E3BB9C-4B43-414F-8A10-76BFD69B0D16}"/>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AB7A8161-F412-44EC-A1E7-8B52D1AFF746}"/>
    <cellStyle name="40% - Accent1 6 2 3" xfId="11738" xr:uid="{D14C1313-0735-47E3-B8AF-7C19988FDD5E}"/>
    <cellStyle name="40% - Accent1 6 3" xfId="5382" xr:uid="{00000000-0005-0000-0000-000055040000}"/>
    <cellStyle name="40% - Accent1 6 3 2" xfId="13811" xr:uid="{7B69978F-5350-4860-9596-AB4ABF82F615}"/>
    <cellStyle name="40% - Accent1 6 4" xfId="9593" xr:uid="{E077C1BF-E0DB-4933-890D-5ADEF6B875B0}"/>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E2E0CF9A-E66F-4CCA-977B-40BA48735F12}"/>
    <cellStyle name="40% - Accent1 7 2 3" xfId="12151" xr:uid="{22A324CB-39FD-43D3-968A-83E2B9C38F45}"/>
    <cellStyle name="40% - Accent1 7 3" xfId="5795" xr:uid="{00000000-0005-0000-0000-000059040000}"/>
    <cellStyle name="40% - Accent1 7 3 2" xfId="14224" xr:uid="{421CD6F7-A7ED-4920-9E43-5ADD84930D3E}"/>
    <cellStyle name="40% - Accent1 7 4" xfId="10006" xr:uid="{BE2A7358-3BFB-4A96-85DA-42DA9614D083}"/>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DC36EFDD-AF06-4D61-AB1B-6DA0AA17251F}"/>
    <cellStyle name="40% - Accent1 8 2 3" xfId="12564" xr:uid="{A9CEA4BB-50A1-471A-8A47-4538223AB626}"/>
    <cellStyle name="40% - Accent1 8 3" xfId="6208" xr:uid="{00000000-0005-0000-0000-00005D040000}"/>
    <cellStyle name="40% - Accent1 8 3 2" xfId="14637" xr:uid="{73150099-11A5-44E8-8E1C-8F43F9C1037E}"/>
    <cellStyle name="40% - Accent1 8 4" xfId="10419" xr:uid="{0EE71768-0E2E-419A-A08F-2D906DC49C6C}"/>
    <cellStyle name="40% - Accent1 9" xfId="2313" xr:uid="{00000000-0005-0000-0000-00005E040000}"/>
    <cellStyle name="40% - Accent1 9 2" xfId="6621" xr:uid="{00000000-0005-0000-0000-00005F040000}"/>
    <cellStyle name="40% - Accent1 9 2 2" xfId="15050" xr:uid="{6DC43D43-CBFF-4C1E-9B34-9C6F038D42FE}"/>
    <cellStyle name="40% - Accent1 9 3" xfId="10832" xr:uid="{D160A4E3-92ED-4797-8CA2-591402980B69}"/>
    <cellStyle name="40% - Accent2" xfId="57" builtinId="35" customBuiltin="1"/>
    <cellStyle name="40% - Accent2 10" xfId="4563" xr:uid="{00000000-0005-0000-0000-000061040000}"/>
    <cellStyle name="40% - Accent2 10 2" xfId="12992" xr:uid="{7EB48354-7501-4129-9A29-4D192EC3F7FD}"/>
    <cellStyle name="40% - Accent2 11" xfId="8774" xr:uid="{C4FE632D-A4EC-4070-B1B3-A2EC88B66B45}"/>
    <cellStyle name="40% - Accent2 2" xfId="58" xr:uid="{00000000-0005-0000-0000-000062040000}"/>
    <cellStyle name="40% - Accent2 2 10" xfId="8775" xr:uid="{48144060-1014-443F-850E-21EF06044D36}"/>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911E3C71-59C4-4388-BA75-9A769211BA0D}"/>
    <cellStyle name="40% - Accent2 2 2 2 2 2 3" xfId="11336" xr:uid="{DFCDF62D-704B-4B3B-B1C0-158289758356}"/>
    <cellStyle name="40% - Accent2 2 2 2 2 3" xfId="4980" xr:uid="{00000000-0005-0000-0000-000068040000}"/>
    <cellStyle name="40% - Accent2 2 2 2 2 3 2" xfId="13409" xr:uid="{A277CC42-6AAC-43BB-9726-876BFA2B18CA}"/>
    <cellStyle name="40% - Accent2 2 2 2 2 4" xfId="9191" xr:uid="{7D276EA9-5FBC-4091-A495-884AB95113A6}"/>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F5E882C6-0C17-4320-BCAB-61B165FFCE58}"/>
    <cellStyle name="40% - Accent2 2 2 2 3 2 3" xfId="11749" xr:uid="{8571FDA5-B841-4BEB-ABDF-E7AD0C4C29DD}"/>
    <cellStyle name="40% - Accent2 2 2 2 3 3" xfId="5393" xr:uid="{00000000-0005-0000-0000-00006C040000}"/>
    <cellStyle name="40% - Accent2 2 2 2 3 3 2" xfId="13822" xr:uid="{B9DBE3F5-7127-4AD5-8230-E3AC2EB4AB4E}"/>
    <cellStyle name="40% - Accent2 2 2 2 3 4" xfId="9604" xr:uid="{EB822A6C-4FF8-42B5-94DB-F6F8BBC0F89D}"/>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A3A85671-ED9C-431D-87E1-5672A94EB850}"/>
    <cellStyle name="40% - Accent2 2 2 2 4 2 3" xfId="12162" xr:uid="{622536E4-6813-4FA5-A5C3-437353902965}"/>
    <cellStyle name="40% - Accent2 2 2 2 4 3" xfId="5806" xr:uid="{00000000-0005-0000-0000-000070040000}"/>
    <cellStyle name="40% - Accent2 2 2 2 4 3 2" xfId="14235" xr:uid="{6F19B39D-676D-4F9F-97BF-30DB805459A8}"/>
    <cellStyle name="40% - Accent2 2 2 2 4 4" xfId="10017" xr:uid="{863D822B-9E80-4697-A680-C8FBFA27C432}"/>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EA0C7B89-4591-4B16-827F-0528DACBECA8}"/>
    <cellStyle name="40% - Accent2 2 2 2 5 2 3" xfId="12575" xr:uid="{0A02B507-51FD-4FA4-A3D8-71BCFE4EE9DC}"/>
    <cellStyle name="40% - Accent2 2 2 2 5 3" xfId="6219" xr:uid="{00000000-0005-0000-0000-000074040000}"/>
    <cellStyle name="40% - Accent2 2 2 2 5 3 2" xfId="14648" xr:uid="{19999DE0-0543-4FBC-8752-7B05DC46069C}"/>
    <cellStyle name="40% - Accent2 2 2 2 5 4" xfId="10430" xr:uid="{769642A2-959C-42C1-969D-0D619909AF92}"/>
    <cellStyle name="40% - Accent2 2 2 2 6" xfId="2324" xr:uid="{00000000-0005-0000-0000-000075040000}"/>
    <cellStyle name="40% - Accent2 2 2 2 6 2" xfId="6632" xr:uid="{00000000-0005-0000-0000-000076040000}"/>
    <cellStyle name="40% - Accent2 2 2 2 6 2 2" xfId="15061" xr:uid="{DDE33EF8-B1A6-4A7A-ACD9-C9893C233E60}"/>
    <cellStyle name="40% - Accent2 2 2 2 6 3" xfId="10843" xr:uid="{4482E240-1AB6-41E6-9491-57946D05F685}"/>
    <cellStyle name="40% - Accent2 2 2 2 7" xfId="4566" xr:uid="{00000000-0005-0000-0000-000077040000}"/>
    <cellStyle name="40% - Accent2 2 2 2 7 2" xfId="12995" xr:uid="{AEE5BBA6-998A-4890-943E-929EC14E2A17}"/>
    <cellStyle name="40% - Accent2 2 2 2 8" xfId="8777" xr:uid="{5D4030F1-45CC-46F4-8ED1-04C7EE41030E}"/>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DBBAAE6F-6E34-473C-8349-4377CCA4A41D}"/>
    <cellStyle name="40% - Accent2 2 2 3 2 3" xfId="11335" xr:uid="{92A03A86-CC37-4D50-80FF-A26E5859E66D}"/>
    <cellStyle name="40% - Accent2 2 2 3 3" xfId="4979" xr:uid="{00000000-0005-0000-0000-00007B040000}"/>
    <cellStyle name="40% - Accent2 2 2 3 3 2" xfId="13408" xr:uid="{3E59E15A-894E-41DC-A2D4-2CBBBF2A9DEB}"/>
    <cellStyle name="40% - Accent2 2 2 3 4" xfId="9190" xr:uid="{EB625284-F6FC-4A8C-A2A6-9C0389E41BF6}"/>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BFE974C0-7DD8-45EB-BC5F-EC3EE1CD8BC6}"/>
    <cellStyle name="40% - Accent2 2 2 4 2 3" xfId="11748" xr:uid="{7AC2D3DC-E539-4409-AACC-93743427F7E1}"/>
    <cellStyle name="40% - Accent2 2 2 4 3" xfId="5392" xr:uid="{00000000-0005-0000-0000-00007F040000}"/>
    <cellStyle name="40% - Accent2 2 2 4 3 2" xfId="13821" xr:uid="{63ED045C-0430-47E2-B22B-237C97676C0B}"/>
    <cellStyle name="40% - Accent2 2 2 4 4" xfId="9603" xr:uid="{EEB007C0-A53E-40AD-B514-2142B09B4C1A}"/>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C824DC0F-DE3F-447D-A086-1E3F93C6A49C}"/>
    <cellStyle name="40% - Accent2 2 2 5 2 3" xfId="12161" xr:uid="{8BB317B4-EBB2-42CB-A946-0D6A8845AC03}"/>
    <cellStyle name="40% - Accent2 2 2 5 3" xfId="5805" xr:uid="{00000000-0005-0000-0000-000083040000}"/>
    <cellStyle name="40% - Accent2 2 2 5 3 2" xfId="14234" xr:uid="{C776A916-483C-4ABB-9CEE-1B32F52C2CE4}"/>
    <cellStyle name="40% - Accent2 2 2 5 4" xfId="10016" xr:uid="{5C64ADCA-8D40-451F-923B-BEFF31660FA7}"/>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B2BEC715-3817-4DCB-AD83-BDCE128DB485}"/>
    <cellStyle name="40% - Accent2 2 2 6 2 3" xfId="12574" xr:uid="{67FFBF48-8F95-42E8-89D5-90B63F68E62C}"/>
    <cellStyle name="40% - Accent2 2 2 6 3" xfId="6218" xr:uid="{00000000-0005-0000-0000-000087040000}"/>
    <cellStyle name="40% - Accent2 2 2 6 3 2" xfId="14647" xr:uid="{702A1779-B250-483F-B571-5DFDC0FB64E0}"/>
    <cellStyle name="40% - Accent2 2 2 6 4" xfId="10429" xr:uid="{E0FA0130-B99B-4A35-A684-52E05CF11A2E}"/>
    <cellStyle name="40% - Accent2 2 2 7" xfId="2323" xr:uid="{00000000-0005-0000-0000-000088040000}"/>
    <cellStyle name="40% - Accent2 2 2 7 2" xfId="6631" xr:uid="{00000000-0005-0000-0000-000089040000}"/>
    <cellStyle name="40% - Accent2 2 2 7 2 2" xfId="15060" xr:uid="{727FD723-480F-4DD7-948E-FF015610E142}"/>
    <cellStyle name="40% - Accent2 2 2 7 3" xfId="10842" xr:uid="{4D075081-6EEE-4F1E-BC42-96B65BCA8887}"/>
    <cellStyle name="40% - Accent2 2 2 8" xfId="4565" xr:uid="{00000000-0005-0000-0000-00008A040000}"/>
    <cellStyle name="40% - Accent2 2 2 8 2" xfId="12994" xr:uid="{02A2BB3A-6BB2-4772-9A20-5E69BEFD29FE}"/>
    <cellStyle name="40% - Accent2 2 2 9" xfId="8776" xr:uid="{E61BF727-69D9-486A-9144-AC9AE9EE0A4B}"/>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374E9A00-27E4-4515-B048-648097DF66FD}"/>
    <cellStyle name="40% - Accent2 2 3 2 2 3" xfId="11337" xr:uid="{2B9CF51B-665E-4A57-907A-925B27FF3EED}"/>
    <cellStyle name="40% - Accent2 2 3 2 3" xfId="4981" xr:uid="{00000000-0005-0000-0000-00008F040000}"/>
    <cellStyle name="40% - Accent2 2 3 2 3 2" xfId="13410" xr:uid="{4E68A0B0-17B3-43E0-869E-1B01D1D772D7}"/>
    <cellStyle name="40% - Accent2 2 3 2 4" xfId="9192" xr:uid="{8CA86096-C853-4FCF-9C71-04B8E94765C4}"/>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6973E049-68F5-4386-BAA1-FBD571824104}"/>
    <cellStyle name="40% - Accent2 2 3 3 2 3" xfId="11750" xr:uid="{B90F3684-30E7-48BD-930D-EA0ADC54788C}"/>
    <cellStyle name="40% - Accent2 2 3 3 3" xfId="5394" xr:uid="{00000000-0005-0000-0000-000093040000}"/>
    <cellStyle name="40% - Accent2 2 3 3 3 2" xfId="13823" xr:uid="{31A9AD15-E5F9-4749-9462-17C41590F825}"/>
    <cellStyle name="40% - Accent2 2 3 3 4" xfId="9605" xr:uid="{ED8B69EF-25D1-40F1-B297-77D31864899F}"/>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E1F6B3C1-F2A5-4B2A-9F4F-FD3DA27F745A}"/>
    <cellStyle name="40% - Accent2 2 3 4 2 3" xfId="12163" xr:uid="{C6889C8A-BD3B-4499-B2B8-62BDA7382862}"/>
    <cellStyle name="40% - Accent2 2 3 4 3" xfId="5807" xr:uid="{00000000-0005-0000-0000-000097040000}"/>
    <cellStyle name="40% - Accent2 2 3 4 3 2" xfId="14236" xr:uid="{4D64AB9B-05AC-4D58-8E22-814E01802869}"/>
    <cellStyle name="40% - Accent2 2 3 4 4" xfId="10018" xr:uid="{3687F8C9-A22E-4E00-9AE0-027A5C91DD61}"/>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F165BDA3-D156-4FE6-B788-CF5110D6B407}"/>
    <cellStyle name="40% - Accent2 2 3 5 2 3" xfId="12576" xr:uid="{B0B2BEF1-51A0-4D28-A683-56C98F60F026}"/>
    <cellStyle name="40% - Accent2 2 3 5 3" xfId="6220" xr:uid="{00000000-0005-0000-0000-00009B040000}"/>
    <cellStyle name="40% - Accent2 2 3 5 3 2" xfId="14649" xr:uid="{F2DD287D-CDEA-4A01-B7D6-79EFAC07F819}"/>
    <cellStyle name="40% - Accent2 2 3 5 4" xfId="10431" xr:uid="{268DDCF4-A212-4BD8-8F60-675DB04D70B2}"/>
    <cellStyle name="40% - Accent2 2 3 6" xfId="2325" xr:uid="{00000000-0005-0000-0000-00009C040000}"/>
    <cellStyle name="40% - Accent2 2 3 6 2" xfId="6633" xr:uid="{00000000-0005-0000-0000-00009D040000}"/>
    <cellStyle name="40% - Accent2 2 3 6 2 2" xfId="15062" xr:uid="{321477B9-1217-40D6-B0AC-19C3B9B00C23}"/>
    <cellStyle name="40% - Accent2 2 3 6 3" xfId="10844" xr:uid="{034D99AE-D85A-4DB2-947C-E46315E98182}"/>
    <cellStyle name="40% - Accent2 2 3 7" xfId="4567" xr:uid="{00000000-0005-0000-0000-00009E040000}"/>
    <cellStyle name="40% - Accent2 2 3 7 2" xfId="12996" xr:uid="{631DBB81-7360-4044-AD69-B35D6A6484B8}"/>
    <cellStyle name="40% - Accent2 2 3 8" xfId="8778" xr:uid="{C00090C5-B81E-4B64-B5D2-FF08A167F248}"/>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44E09623-7A34-45A5-9858-E24E92826210}"/>
    <cellStyle name="40% - Accent2 2 4 2 3" xfId="11334" xr:uid="{D7FB3E0C-B36C-4027-87E2-C6D9B4092812}"/>
    <cellStyle name="40% - Accent2 2 4 3" xfId="4978" xr:uid="{00000000-0005-0000-0000-0000A2040000}"/>
    <cellStyle name="40% - Accent2 2 4 3 2" xfId="13407" xr:uid="{94C3B940-0353-46BE-9933-8B824A96B6F9}"/>
    <cellStyle name="40% - Accent2 2 4 4" xfId="9189" xr:uid="{CB44BC16-0039-4A9B-AA78-EDF29637AF9B}"/>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3D15E422-7D54-4D22-9643-6D271F94FCAB}"/>
    <cellStyle name="40% - Accent2 2 5 2 3" xfId="11747" xr:uid="{F895B677-1B43-4993-BB72-17C9DE4930CE}"/>
    <cellStyle name="40% - Accent2 2 5 3" xfId="5391" xr:uid="{00000000-0005-0000-0000-0000A6040000}"/>
    <cellStyle name="40% - Accent2 2 5 3 2" xfId="13820" xr:uid="{971881F5-0F07-42C2-81EB-3E0484B9FEBA}"/>
    <cellStyle name="40% - Accent2 2 5 4" xfId="9602" xr:uid="{25368353-AEE8-48A2-8772-BA8057A5693F}"/>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6BC007AF-BEF9-46A4-A8AC-E9E80A4A949C}"/>
    <cellStyle name="40% - Accent2 2 6 2 3" xfId="12160" xr:uid="{3818A0AF-72A3-44E8-A5EC-5EFAF0A79B27}"/>
    <cellStyle name="40% - Accent2 2 6 3" xfId="5804" xr:uid="{00000000-0005-0000-0000-0000AA040000}"/>
    <cellStyle name="40% - Accent2 2 6 3 2" xfId="14233" xr:uid="{4115B7F4-095E-4A65-8A89-78C76B9FCCC8}"/>
    <cellStyle name="40% - Accent2 2 6 4" xfId="10015" xr:uid="{3113E720-AC06-4193-9924-B64D2F3D07B3}"/>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0DCBA3DD-2153-4FE4-B2AD-856EB75E5B1B}"/>
    <cellStyle name="40% - Accent2 2 7 2 3" xfId="12573" xr:uid="{3D9F1EC0-5204-4D39-B5C8-532C58FD332D}"/>
    <cellStyle name="40% - Accent2 2 7 3" xfId="6217" xr:uid="{00000000-0005-0000-0000-0000AE040000}"/>
    <cellStyle name="40% - Accent2 2 7 3 2" xfId="14646" xr:uid="{8A2AC0BF-23C8-4DC1-8DE5-D15DC67B9362}"/>
    <cellStyle name="40% - Accent2 2 7 4" xfId="10428" xr:uid="{D94B80EB-D66A-4374-A5B6-6C2B20211BD8}"/>
    <cellStyle name="40% - Accent2 2 8" xfId="2322" xr:uid="{00000000-0005-0000-0000-0000AF040000}"/>
    <cellStyle name="40% - Accent2 2 8 2" xfId="6630" xr:uid="{00000000-0005-0000-0000-0000B0040000}"/>
    <cellStyle name="40% - Accent2 2 8 2 2" xfId="15059" xr:uid="{EE4BF153-86D1-4297-9078-78E495B3E43D}"/>
    <cellStyle name="40% - Accent2 2 8 3" xfId="10841" xr:uid="{65F1C9C4-5818-4CCE-9617-F7CB322DF5A8}"/>
    <cellStyle name="40% - Accent2 2 9" xfId="4564" xr:uid="{00000000-0005-0000-0000-0000B1040000}"/>
    <cellStyle name="40% - Accent2 2 9 2" xfId="12993" xr:uid="{BEFFD6A1-EB73-4662-BC16-3EC89466DF17}"/>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88407714-3891-44C9-8874-5B651DC97A15}"/>
    <cellStyle name="40% - Accent2 3 2 2 2 3" xfId="11339" xr:uid="{0085A708-5458-41C0-A05E-E667B9164AF1}"/>
    <cellStyle name="40% - Accent2 3 2 2 3" xfId="4983" xr:uid="{00000000-0005-0000-0000-0000B7040000}"/>
    <cellStyle name="40% - Accent2 3 2 2 3 2" xfId="13412" xr:uid="{66ABC4AE-3640-420F-AAD0-BE000477175B}"/>
    <cellStyle name="40% - Accent2 3 2 2 4" xfId="9194" xr:uid="{143482DC-7A28-4905-AC1B-C6BCA9D6EAD3}"/>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BA71DBF7-4D87-4970-B7E2-52CA81CF0DB9}"/>
    <cellStyle name="40% - Accent2 3 2 3 2 3" xfId="11752" xr:uid="{FE499421-B47C-4C3E-9A92-FB6C1F269AD9}"/>
    <cellStyle name="40% - Accent2 3 2 3 3" xfId="5396" xr:uid="{00000000-0005-0000-0000-0000BB040000}"/>
    <cellStyle name="40% - Accent2 3 2 3 3 2" xfId="13825" xr:uid="{68BF5C7A-8FDA-4304-9C79-56C4EF6DA31B}"/>
    <cellStyle name="40% - Accent2 3 2 3 4" xfId="9607" xr:uid="{86D68E87-4266-46A2-8AB5-68387F0D53DA}"/>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6EDDD8BE-290D-41F0-B1A4-D7C47BDED837}"/>
    <cellStyle name="40% - Accent2 3 2 4 2 3" xfId="12165" xr:uid="{31CD0332-037B-4305-8E18-DB127D49980A}"/>
    <cellStyle name="40% - Accent2 3 2 4 3" xfId="5809" xr:uid="{00000000-0005-0000-0000-0000BF040000}"/>
    <cellStyle name="40% - Accent2 3 2 4 3 2" xfId="14238" xr:uid="{2B12AD44-6D64-440D-87E1-90BB6E593C8B}"/>
    <cellStyle name="40% - Accent2 3 2 4 4" xfId="10020" xr:uid="{3EFEB943-509F-484C-94CE-74DCBA2FABD6}"/>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42A9450E-83F6-4CD5-8E48-84B55C248F29}"/>
    <cellStyle name="40% - Accent2 3 2 5 2 3" xfId="12578" xr:uid="{D4BA7853-2C14-45D7-890D-F48A3708E5C7}"/>
    <cellStyle name="40% - Accent2 3 2 5 3" xfId="6222" xr:uid="{00000000-0005-0000-0000-0000C3040000}"/>
    <cellStyle name="40% - Accent2 3 2 5 3 2" xfId="14651" xr:uid="{7983A552-8E91-4DCA-B469-B4BF91E7E721}"/>
    <cellStyle name="40% - Accent2 3 2 5 4" xfId="10433" xr:uid="{575F43B1-B824-42AA-8FCE-C57896DB545C}"/>
    <cellStyle name="40% - Accent2 3 2 6" xfId="2327" xr:uid="{00000000-0005-0000-0000-0000C4040000}"/>
    <cellStyle name="40% - Accent2 3 2 6 2" xfId="6635" xr:uid="{00000000-0005-0000-0000-0000C5040000}"/>
    <cellStyle name="40% - Accent2 3 2 6 2 2" xfId="15064" xr:uid="{69F10C9B-24F1-4C4D-AF29-20E5E5979A62}"/>
    <cellStyle name="40% - Accent2 3 2 6 3" xfId="10846" xr:uid="{10E3C283-F64D-4008-B84D-464C486EA8B0}"/>
    <cellStyle name="40% - Accent2 3 2 7" xfId="4569" xr:uid="{00000000-0005-0000-0000-0000C6040000}"/>
    <cellStyle name="40% - Accent2 3 2 7 2" xfId="12998" xr:uid="{7896D598-659E-4524-8065-1A7204FB136A}"/>
    <cellStyle name="40% - Accent2 3 2 8" xfId="8780" xr:uid="{1832F087-21F9-4107-ACCA-42C4AFA6EAC3}"/>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B6ED1CE6-608A-48EA-AF45-14036FA1494A}"/>
    <cellStyle name="40% - Accent2 3 3 2 3" xfId="11338" xr:uid="{301178B9-D5EC-4F22-9BCA-080A6BC48161}"/>
    <cellStyle name="40% - Accent2 3 3 3" xfId="4982" xr:uid="{00000000-0005-0000-0000-0000CA040000}"/>
    <cellStyle name="40% - Accent2 3 3 3 2" xfId="13411" xr:uid="{E583AB27-641F-444B-9CF2-E61211255684}"/>
    <cellStyle name="40% - Accent2 3 3 4" xfId="9193" xr:uid="{B1DD8BC5-4425-4202-BCDE-888730B087AE}"/>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691C947B-3ED1-4507-BDAB-BA2F774FA70E}"/>
    <cellStyle name="40% - Accent2 3 4 2 3" xfId="11751" xr:uid="{7A09A673-FECB-4715-A452-B36CC5513B32}"/>
    <cellStyle name="40% - Accent2 3 4 3" xfId="5395" xr:uid="{00000000-0005-0000-0000-0000CE040000}"/>
    <cellStyle name="40% - Accent2 3 4 3 2" xfId="13824" xr:uid="{BDA11797-C41C-494D-AA10-B2BD3932F9A0}"/>
    <cellStyle name="40% - Accent2 3 4 4" xfId="9606" xr:uid="{6EE6CD34-7547-48E0-8C0B-54D25A3A66E7}"/>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154F7C90-1EAC-4693-8BF1-DA575CD70F1D}"/>
    <cellStyle name="40% - Accent2 3 5 2 3" xfId="12164" xr:uid="{86C1FEBB-A6C3-4C12-987F-9CEBC3C8C925}"/>
    <cellStyle name="40% - Accent2 3 5 3" xfId="5808" xr:uid="{00000000-0005-0000-0000-0000D2040000}"/>
    <cellStyle name="40% - Accent2 3 5 3 2" xfId="14237" xr:uid="{B6F2FE3F-54AA-457B-9ED0-A6AE5A37DA3E}"/>
    <cellStyle name="40% - Accent2 3 5 4" xfId="10019" xr:uid="{02FE4E70-EA56-4C19-888E-A0B881F588A7}"/>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FB9CF5A5-F021-412A-B4EA-2A2B663A320F}"/>
    <cellStyle name="40% - Accent2 3 6 2 3" xfId="12577" xr:uid="{CC832271-0502-4C5A-812E-631A6E4D2289}"/>
    <cellStyle name="40% - Accent2 3 6 3" xfId="6221" xr:uid="{00000000-0005-0000-0000-0000D6040000}"/>
    <cellStyle name="40% - Accent2 3 6 3 2" xfId="14650" xr:uid="{6AA3A170-667E-4B6B-9590-AF5657E9E72B}"/>
    <cellStyle name="40% - Accent2 3 6 4" xfId="10432" xr:uid="{F6D4EF8A-FEF8-4D13-BECE-FAFAFDFA3C34}"/>
    <cellStyle name="40% - Accent2 3 7" xfId="2326" xr:uid="{00000000-0005-0000-0000-0000D7040000}"/>
    <cellStyle name="40% - Accent2 3 7 2" xfId="6634" xr:uid="{00000000-0005-0000-0000-0000D8040000}"/>
    <cellStyle name="40% - Accent2 3 7 2 2" xfId="15063" xr:uid="{BD71DDE1-5493-4179-9884-EFB065559AB9}"/>
    <cellStyle name="40% - Accent2 3 7 3" xfId="10845" xr:uid="{E91823DF-9FDF-42EF-B493-131F477BB249}"/>
    <cellStyle name="40% - Accent2 3 8" xfId="4568" xr:uid="{00000000-0005-0000-0000-0000D9040000}"/>
    <cellStyle name="40% - Accent2 3 8 2" xfId="12997" xr:uid="{31F968C3-23EB-43F6-BB35-86743B377C59}"/>
    <cellStyle name="40% - Accent2 3 9" xfId="8779" xr:uid="{30800C2D-26FA-43A3-9E33-113452F5CD3A}"/>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21D2366C-7BA3-404A-BD6A-10521F076F17}"/>
    <cellStyle name="40% - Accent2 4 2 2 3" xfId="11340" xr:uid="{C334298E-16F0-4367-B60C-FB432CECB1A0}"/>
    <cellStyle name="40% - Accent2 4 2 3" xfId="4984" xr:uid="{00000000-0005-0000-0000-0000DE040000}"/>
    <cellStyle name="40% - Accent2 4 2 3 2" xfId="13413" xr:uid="{28681643-66EE-423E-B173-FA3E324F6452}"/>
    <cellStyle name="40% - Accent2 4 2 4" xfId="9195" xr:uid="{63978BD7-A05F-4206-9028-85CCE763A367}"/>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BB948399-3C0B-42B2-8E37-9EFE240412F2}"/>
    <cellStyle name="40% - Accent2 4 3 2 3" xfId="11753" xr:uid="{A62B5BBD-BB1C-417C-A31B-B5C8B7A0CA71}"/>
    <cellStyle name="40% - Accent2 4 3 3" xfId="5397" xr:uid="{00000000-0005-0000-0000-0000E2040000}"/>
    <cellStyle name="40% - Accent2 4 3 3 2" xfId="13826" xr:uid="{8B6146D0-3CBB-4581-BC76-DCBC638C093E}"/>
    <cellStyle name="40% - Accent2 4 3 4" xfId="9608" xr:uid="{2AEEA24E-19A1-4CA1-A09C-A2D744E7FED9}"/>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876138F8-A6CC-481F-92E3-C293B77D12F9}"/>
    <cellStyle name="40% - Accent2 4 4 2 3" xfId="12166" xr:uid="{F8E3753F-6F4E-44B7-91A4-961209315AE1}"/>
    <cellStyle name="40% - Accent2 4 4 3" xfId="5810" xr:uid="{00000000-0005-0000-0000-0000E6040000}"/>
    <cellStyle name="40% - Accent2 4 4 3 2" xfId="14239" xr:uid="{68BD8D8F-0D90-456F-8871-5C7776C4207E}"/>
    <cellStyle name="40% - Accent2 4 4 4" xfId="10021" xr:uid="{199EB107-2A9D-41FE-96C3-D44DC14318D4}"/>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10FEDF4F-E6BC-4BC6-88C2-70BF417AD8D2}"/>
    <cellStyle name="40% - Accent2 4 5 2 3" xfId="12579" xr:uid="{E3394E15-3FEE-4E90-879B-8551CFD63510}"/>
    <cellStyle name="40% - Accent2 4 5 3" xfId="6223" xr:uid="{00000000-0005-0000-0000-0000EA040000}"/>
    <cellStyle name="40% - Accent2 4 5 3 2" xfId="14652" xr:uid="{9F42B445-BC3A-4A03-BE2C-5719EA0DDAEA}"/>
    <cellStyle name="40% - Accent2 4 5 4" xfId="10434" xr:uid="{CBFBC30F-EED0-4447-BFA5-7B2AE63F8EA5}"/>
    <cellStyle name="40% - Accent2 4 6" xfId="2328" xr:uid="{00000000-0005-0000-0000-0000EB040000}"/>
    <cellStyle name="40% - Accent2 4 6 2" xfId="6636" xr:uid="{00000000-0005-0000-0000-0000EC040000}"/>
    <cellStyle name="40% - Accent2 4 6 2 2" xfId="15065" xr:uid="{A9D0095B-AA9E-4974-9362-263D27EDD1BD}"/>
    <cellStyle name="40% - Accent2 4 6 3" xfId="10847" xr:uid="{FA32BB33-3B99-45F3-984B-86D70535F319}"/>
    <cellStyle name="40% - Accent2 4 7" xfId="4570" xr:uid="{00000000-0005-0000-0000-0000ED040000}"/>
    <cellStyle name="40% - Accent2 4 7 2" xfId="12999" xr:uid="{10B5CBCB-94E0-429A-9A22-B4FA9B25C1AC}"/>
    <cellStyle name="40% - Accent2 4 8" xfId="8781" xr:uid="{83EDBBEC-EAA8-4E6E-B82B-F3E71A375D7D}"/>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C135136A-BD73-46D2-9AA8-67F4AF7D72BB}"/>
    <cellStyle name="40% - Accent2 5 2 3" xfId="11333" xr:uid="{4F88E7BD-E30F-4483-AA86-0AB9573461D9}"/>
    <cellStyle name="40% - Accent2 5 3" xfId="4977" xr:uid="{00000000-0005-0000-0000-0000F1040000}"/>
    <cellStyle name="40% - Accent2 5 3 2" xfId="13406" xr:uid="{1D9B6DF1-A431-4B0F-89FA-62116AE1D330}"/>
    <cellStyle name="40% - Accent2 5 4" xfId="9188" xr:uid="{0CF29621-910A-4275-BBCC-87CA776449CB}"/>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BDCFD827-C1AC-4B91-B102-9D256195EDEE}"/>
    <cellStyle name="40% - Accent2 6 2 3" xfId="11746" xr:uid="{0FBF16D6-4EF5-45DB-AB4A-E61F09AD2361}"/>
    <cellStyle name="40% - Accent2 6 3" xfId="5390" xr:uid="{00000000-0005-0000-0000-0000F5040000}"/>
    <cellStyle name="40% - Accent2 6 3 2" xfId="13819" xr:uid="{257A804A-60F7-4B9B-9743-35EBE61C18F7}"/>
    <cellStyle name="40% - Accent2 6 4" xfId="9601" xr:uid="{7B2474A8-6A40-46C8-87C7-C4EA1BB0FC2B}"/>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ED3C302D-1C1C-4412-9F23-07E6DF88832A}"/>
    <cellStyle name="40% - Accent2 7 2 3" xfId="12159" xr:uid="{045BB0AF-C23D-488B-B49D-805D56950158}"/>
    <cellStyle name="40% - Accent2 7 3" xfId="5803" xr:uid="{00000000-0005-0000-0000-0000F9040000}"/>
    <cellStyle name="40% - Accent2 7 3 2" xfId="14232" xr:uid="{D2FD57F9-1D10-462D-8DAE-74D8B3E42D75}"/>
    <cellStyle name="40% - Accent2 7 4" xfId="10014" xr:uid="{11F7281D-D598-4C17-8B98-13D84C77AE2E}"/>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37585636-8053-432F-B2DB-F6639B566D6E}"/>
    <cellStyle name="40% - Accent2 8 2 3" xfId="12572" xr:uid="{A12C3F22-2B97-43E9-BEA9-CA1D8B6AC9CE}"/>
    <cellStyle name="40% - Accent2 8 3" xfId="6216" xr:uid="{00000000-0005-0000-0000-0000FD040000}"/>
    <cellStyle name="40% - Accent2 8 3 2" xfId="14645" xr:uid="{2B0F70DC-BC34-4E45-8AB8-69E3B44C1AD1}"/>
    <cellStyle name="40% - Accent2 8 4" xfId="10427" xr:uid="{46AE154B-2FB1-4F75-BC82-918F664EAA5F}"/>
    <cellStyle name="40% - Accent2 9" xfId="2321" xr:uid="{00000000-0005-0000-0000-0000FE040000}"/>
    <cellStyle name="40% - Accent2 9 2" xfId="6629" xr:uid="{00000000-0005-0000-0000-0000FF040000}"/>
    <cellStyle name="40% - Accent2 9 2 2" xfId="15058" xr:uid="{C07461A7-B7D6-4324-931B-1B019662AE85}"/>
    <cellStyle name="40% - Accent2 9 3" xfId="10840" xr:uid="{CBE625FD-4A01-4A04-8C4F-34DFC61491C8}"/>
    <cellStyle name="40% - Accent3" xfId="65" builtinId="39" customBuiltin="1"/>
    <cellStyle name="40% - Accent3 10" xfId="4571" xr:uid="{00000000-0005-0000-0000-000001050000}"/>
    <cellStyle name="40% - Accent3 10 2" xfId="13000" xr:uid="{DBD24683-AD63-4B94-8E05-1C9AF15D97AF}"/>
    <cellStyle name="40% - Accent3 11" xfId="8782" xr:uid="{669336D9-7D12-4843-9395-E281E0E07FC9}"/>
    <cellStyle name="40% - Accent3 2" xfId="66" xr:uid="{00000000-0005-0000-0000-000002050000}"/>
    <cellStyle name="40% - Accent3 2 10" xfId="8783" xr:uid="{A35267CD-76A3-4476-9E27-8BE2FC6FA284}"/>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08F47702-9FCA-446E-8199-F842989C3D62}"/>
    <cellStyle name="40% - Accent3 2 2 2 2 2 3" xfId="11344" xr:uid="{C2799326-A1E7-4599-ACFF-86D65EDAA848}"/>
    <cellStyle name="40% - Accent3 2 2 2 2 3" xfId="4988" xr:uid="{00000000-0005-0000-0000-000008050000}"/>
    <cellStyle name="40% - Accent3 2 2 2 2 3 2" xfId="13417" xr:uid="{6A54F70F-7204-4041-BB4D-0A85CA32BA5B}"/>
    <cellStyle name="40% - Accent3 2 2 2 2 4" xfId="9199" xr:uid="{44D5202D-94DD-411E-9D64-4BFFF7E626F9}"/>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BA1FFC3D-DB2F-48C4-983C-5A214CA8682D}"/>
    <cellStyle name="40% - Accent3 2 2 2 3 2 3" xfId="11757" xr:uid="{3211442F-2AA2-4401-B4EF-AC3A14B5E33F}"/>
    <cellStyle name="40% - Accent3 2 2 2 3 3" xfId="5401" xr:uid="{00000000-0005-0000-0000-00000C050000}"/>
    <cellStyle name="40% - Accent3 2 2 2 3 3 2" xfId="13830" xr:uid="{468F8AF0-BD71-46A0-A4A0-DD7116F7D695}"/>
    <cellStyle name="40% - Accent3 2 2 2 3 4" xfId="9612" xr:uid="{2D05CD34-EA70-405C-8341-D8C80AB08245}"/>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FC695F6C-EDEC-48F9-8BB1-50A4DCBF94D1}"/>
    <cellStyle name="40% - Accent3 2 2 2 4 2 3" xfId="12170" xr:uid="{17A6D3D6-4B36-4148-A5E4-D4018CF78AC4}"/>
    <cellStyle name="40% - Accent3 2 2 2 4 3" xfId="5814" xr:uid="{00000000-0005-0000-0000-000010050000}"/>
    <cellStyle name="40% - Accent3 2 2 2 4 3 2" xfId="14243" xr:uid="{DC6CA2F7-86B8-4125-87CC-62CCDB7BF2CD}"/>
    <cellStyle name="40% - Accent3 2 2 2 4 4" xfId="10025" xr:uid="{52B89232-42EA-424A-87B6-9E9AA16545EF}"/>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198237DE-7AC3-4AE8-8526-A79CD5E7B226}"/>
    <cellStyle name="40% - Accent3 2 2 2 5 2 3" xfId="12583" xr:uid="{942FFF96-974D-4452-A8ED-4DB2FEC9F1C4}"/>
    <cellStyle name="40% - Accent3 2 2 2 5 3" xfId="6227" xr:uid="{00000000-0005-0000-0000-000014050000}"/>
    <cellStyle name="40% - Accent3 2 2 2 5 3 2" xfId="14656" xr:uid="{B3F00A1B-4F8B-47F0-B9B6-D00A2880474D}"/>
    <cellStyle name="40% - Accent3 2 2 2 5 4" xfId="10438" xr:uid="{F2530DB8-6D28-4CE6-9B46-8C49C813281C}"/>
    <cellStyle name="40% - Accent3 2 2 2 6" xfId="2332" xr:uid="{00000000-0005-0000-0000-000015050000}"/>
    <cellStyle name="40% - Accent3 2 2 2 6 2" xfId="6640" xr:uid="{00000000-0005-0000-0000-000016050000}"/>
    <cellStyle name="40% - Accent3 2 2 2 6 2 2" xfId="15069" xr:uid="{18132FFA-64E7-4F22-98CD-82B8E670C74B}"/>
    <cellStyle name="40% - Accent3 2 2 2 6 3" xfId="10851" xr:uid="{A356B74A-E891-4766-8471-685BF7AC3687}"/>
    <cellStyle name="40% - Accent3 2 2 2 7" xfId="4574" xr:uid="{00000000-0005-0000-0000-000017050000}"/>
    <cellStyle name="40% - Accent3 2 2 2 7 2" xfId="13003" xr:uid="{6FF1D004-D4F1-45BC-B193-7B64D5FDF6AB}"/>
    <cellStyle name="40% - Accent3 2 2 2 8" xfId="8785" xr:uid="{39375628-1127-4AC5-858B-30FBB0F40D34}"/>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E3F92194-3444-4310-BCAD-EBE6AD797D66}"/>
    <cellStyle name="40% - Accent3 2 2 3 2 3" xfId="11343" xr:uid="{F34C2047-06D6-4AF7-B6BF-9A733A0BEA37}"/>
    <cellStyle name="40% - Accent3 2 2 3 3" xfId="4987" xr:uid="{00000000-0005-0000-0000-00001B050000}"/>
    <cellStyle name="40% - Accent3 2 2 3 3 2" xfId="13416" xr:uid="{360798E9-C401-45F9-AD06-040C7E6974C8}"/>
    <cellStyle name="40% - Accent3 2 2 3 4" xfId="9198" xr:uid="{63C373E6-61D3-4216-B2F2-69A14373310B}"/>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0563FCD3-6052-4F5D-8361-982922A740D1}"/>
    <cellStyle name="40% - Accent3 2 2 4 2 3" xfId="11756" xr:uid="{5D2D2577-B49C-4276-8FB0-9168D02D3B0A}"/>
    <cellStyle name="40% - Accent3 2 2 4 3" xfId="5400" xr:uid="{00000000-0005-0000-0000-00001F050000}"/>
    <cellStyle name="40% - Accent3 2 2 4 3 2" xfId="13829" xr:uid="{C7149C12-3ED8-480E-BCBD-71CBA1951D6A}"/>
    <cellStyle name="40% - Accent3 2 2 4 4" xfId="9611" xr:uid="{E81738E2-359E-436B-9609-7F1D55959D0E}"/>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DDDCD8C4-272B-40BA-AF69-16D250AC1491}"/>
    <cellStyle name="40% - Accent3 2 2 5 2 3" xfId="12169" xr:uid="{77B2E5D2-4A2A-45BA-A10A-9B6B45B648CF}"/>
    <cellStyle name="40% - Accent3 2 2 5 3" xfId="5813" xr:uid="{00000000-0005-0000-0000-000023050000}"/>
    <cellStyle name="40% - Accent3 2 2 5 3 2" xfId="14242" xr:uid="{5CE8F7F6-7A11-4BB8-84A4-8C8416874859}"/>
    <cellStyle name="40% - Accent3 2 2 5 4" xfId="10024" xr:uid="{BB64D1AA-FB0B-4C50-8568-1795C4EB01E7}"/>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5E3200B8-76A3-4126-8EFF-B1E533A9FF9F}"/>
    <cellStyle name="40% - Accent3 2 2 6 2 3" xfId="12582" xr:uid="{165C9E5C-AF8D-400D-A4A7-CFF9D8917EA1}"/>
    <cellStyle name="40% - Accent3 2 2 6 3" xfId="6226" xr:uid="{00000000-0005-0000-0000-000027050000}"/>
    <cellStyle name="40% - Accent3 2 2 6 3 2" xfId="14655" xr:uid="{8359730A-C0C7-44E5-BD5A-0BD37C1178CA}"/>
    <cellStyle name="40% - Accent3 2 2 6 4" xfId="10437" xr:uid="{00DAE792-C596-46BE-9DDA-E85FBDBAD4C9}"/>
    <cellStyle name="40% - Accent3 2 2 7" xfId="2331" xr:uid="{00000000-0005-0000-0000-000028050000}"/>
    <cellStyle name="40% - Accent3 2 2 7 2" xfId="6639" xr:uid="{00000000-0005-0000-0000-000029050000}"/>
    <cellStyle name="40% - Accent3 2 2 7 2 2" xfId="15068" xr:uid="{7CBA71FC-0E34-402E-B749-9169D804079B}"/>
    <cellStyle name="40% - Accent3 2 2 7 3" xfId="10850" xr:uid="{A567F907-9315-472F-8FC0-401BBEF125CC}"/>
    <cellStyle name="40% - Accent3 2 2 8" xfId="4573" xr:uid="{00000000-0005-0000-0000-00002A050000}"/>
    <cellStyle name="40% - Accent3 2 2 8 2" xfId="13002" xr:uid="{D6734D2D-54A1-4867-81CB-454CDEB9133C}"/>
    <cellStyle name="40% - Accent3 2 2 9" xfId="8784" xr:uid="{11B0495E-29CE-4A19-9B53-9CD8886055FA}"/>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26B1415D-7078-42CE-AE6E-EAEDCB9C81A4}"/>
    <cellStyle name="40% - Accent3 2 3 2 2 3" xfId="11345" xr:uid="{3D9E5541-4610-4E23-852D-43D115694052}"/>
    <cellStyle name="40% - Accent3 2 3 2 3" xfId="4989" xr:uid="{00000000-0005-0000-0000-00002F050000}"/>
    <cellStyle name="40% - Accent3 2 3 2 3 2" xfId="13418" xr:uid="{E246B16B-484D-4F2D-9991-3E39F5DA7F74}"/>
    <cellStyle name="40% - Accent3 2 3 2 4" xfId="9200" xr:uid="{D4BFAEE8-CA13-47DA-A179-9F3D96910118}"/>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0D106219-F198-41E0-BB80-765D404E37B2}"/>
    <cellStyle name="40% - Accent3 2 3 3 2 3" xfId="11758" xr:uid="{97D049C8-D85D-4FE9-9852-3AB6DC393F90}"/>
    <cellStyle name="40% - Accent3 2 3 3 3" xfId="5402" xr:uid="{00000000-0005-0000-0000-000033050000}"/>
    <cellStyle name="40% - Accent3 2 3 3 3 2" xfId="13831" xr:uid="{24300122-40FC-4357-9083-F9A3CB82417B}"/>
    <cellStyle name="40% - Accent3 2 3 3 4" xfId="9613" xr:uid="{2DBFD684-A36D-4B98-8CDE-3E8B91A50FC7}"/>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14C37EAD-A3C0-4D8E-8D20-3FC50BD991E5}"/>
    <cellStyle name="40% - Accent3 2 3 4 2 3" xfId="12171" xr:uid="{557DC0BA-D63C-4CED-A8D9-785F3A09E826}"/>
    <cellStyle name="40% - Accent3 2 3 4 3" xfId="5815" xr:uid="{00000000-0005-0000-0000-000037050000}"/>
    <cellStyle name="40% - Accent3 2 3 4 3 2" xfId="14244" xr:uid="{B64E8268-793A-4EB8-A398-1A8C20AC0A06}"/>
    <cellStyle name="40% - Accent3 2 3 4 4" xfId="10026" xr:uid="{9AA47B4F-A303-47F1-ACE5-CB7ADF01D42F}"/>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C4CCCEF4-E2F4-468F-9762-5514D7BC8FC2}"/>
    <cellStyle name="40% - Accent3 2 3 5 2 3" xfId="12584" xr:uid="{9D63B9E2-1624-4DBC-AB83-1AB25EF831C7}"/>
    <cellStyle name="40% - Accent3 2 3 5 3" xfId="6228" xr:uid="{00000000-0005-0000-0000-00003B050000}"/>
    <cellStyle name="40% - Accent3 2 3 5 3 2" xfId="14657" xr:uid="{76BB86A9-66DC-4063-8EBE-0649C9E4D119}"/>
    <cellStyle name="40% - Accent3 2 3 5 4" xfId="10439" xr:uid="{4AC412AE-315B-48BF-B7D2-53AB4EA525A4}"/>
    <cellStyle name="40% - Accent3 2 3 6" xfId="2333" xr:uid="{00000000-0005-0000-0000-00003C050000}"/>
    <cellStyle name="40% - Accent3 2 3 6 2" xfId="6641" xr:uid="{00000000-0005-0000-0000-00003D050000}"/>
    <cellStyle name="40% - Accent3 2 3 6 2 2" xfId="15070" xr:uid="{B740270E-CE1C-46F1-BD4E-6DC40DF4688B}"/>
    <cellStyle name="40% - Accent3 2 3 6 3" xfId="10852" xr:uid="{D177D546-74BF-40ED-9681-91412A323006}"/>
    <cellStyle name="40% - Accent3 2 3 7" xfId="4575" xr:uid="{00000000-0005-0000-0000-00003E050000}"/>
    <cellStyle name="40% - Accent3 2 3 7 2" xfId="13004" xr:uid="{11D5A0F2-7416-44F2-921E-A3E3A4F68B31}"/>
    <cellStyle name="40% - Accent3 2 3 8" xfId="8786" xr:uid="{AA44859D-B476-4874-853B-2AFA7752D24A}"/>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1EEA0CBE-CB6D-4C61-92BF-853D604B18A7}"/>
    <cellStyle name="40% - Accent3 2 4 2 3" xfId="11342" xr:uid="{0FD392D5-4E49-44F5-956B-A8B666DE434E}"/>
    <cellStyle name="40% - Accent3 2 4 3" xfId="4986" xr:uid="{00000000-0005-0000-0000-000042050000}"/>
    <cellStyle name="40% - Accent3 2 4 3 2" xfId="13415" xr:uid="{7ED04326-3E35-41CE-8183-105013F4A02F}"/>
    <cellStyle name="40% - Accent3 2 4 4" xfId="9197" xr:uid="{549FA0E2-EA1D-4D1B-9CAD-D2E0F13ECC16}"/>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A249D6B4-BB7E-4BC6-9D47-4FA383CB7C4C}"/>
    <cellStyle name="40% - Accent3 2 5 2 3" xfId="11755" xr:uid="{791A1955-125A-421C-99A7-1FCBADCCBB36}"/>
    <cellStyle name="40% - Accent3 2 5 3" xfId="5399" xr:uid="{00000000-0005-0000-0000-000046050000}"/>
    <cellStyle name="40% - Accent3 2 5 3 2" xfId="13828" xr:uid="{1FB3DE23-B100-4904-93FD-4C1201C443C5}"/>
    <cellStyle name="40% - Accent3 2 5 4" xfId="9610" xr:uid="{F6CFFB5C-6461-4417-8D38-D9FFDB3F2A8F}"/>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DD2461FE-AFD0-410A-A90C-3D7283D2A125}"/>
    <cellStyle name="40% - Accent3 2 6 2 3" xfId="12168" xr:uid="{947C78F2-5FD4-41D8-8334-0A7274BFD964}"/>
    <cellStyle name="40% - Accent3 2 6 3" xfId="5812" xr:uid="{00000000-0005-0000-0000-00004A050000}"/>
    <cellStyle name="40% - Accent3 2 6 3 2" xfId="14241" xr:uid="{38C5CEED-87CB-4FAA-A648-AD4A27361A1A}"/>
    <cellStyle name="40% - Accent3 2 6 4" xfId="10023" xr:uid="{D13F0ACF-41E6-423A-85AB-7AB72DBA95E8}"/>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AA2E6EB8-A613-487A-9E6B-7B1F1FC2CE46}"/>
    <cellStyle name="40% - Accent3 2 7 2 3" xfId="12581" xr:uid="{A7943463-2BC2-42B7-800D-08F67E55E2A1}"/>
    <cellStyle name="40% - Accent3 2 7 3" xfId="6225" xr:uid="{00000000-0005-0000-0000-00004E050000}"/>
    <cellStyle name="40% - Accent3 2 7 3 2" xfId="14654" xr:uid="{0ADD2F8C-E08F-4553-8510-B5DB75495C58}"/>
    <cellStyle name="40% - Accent3 2 7 4" xfId="10436" xr:uid="{C25FF62A-A248-40F0-A9DD-7F64D7A8FC11}"/>
    <cellStyle name="40% - Accent3 2 8" xfId="2330" xr:uid="{00000000-0005-0000-0000-00004F050000}"/>
    <cellStyle name="40% - Accent3 2 8 2" xfId="6638" xr:uid="{00000000-0005-0000-0000-000050050000}"/>
    <cellStyle name="40% - Accent3 2 8 2 2" xfId="15067" xr:uid="{8BBD0DAB-6134-46FB-AA35-B64D400067AF}"/>
    <cellStyle name="40% - Accent3 2 8 3" xfId="10849" xr:uid="{5F14E236-4524-4BAA-A893-56E2EF3D4804}"/>
    <cellStyle name="40% - Accent3 2 9" xfId="4572" xr:uid="{00000000-0005-0000-0000-000051050000}"/>
    <cellStyle name="40% - Accent3 2 9 2" xfId="13001" xr:uid="{AEA0D5AE-5B3E-4995-B46E-80F893869FE6}"/>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7F6CF07C-3FD0-4B25-9102-2F892E16F3F2}"/>
    <cellStyle name="40% - Accent3 3 2 2 2 3" xfId="11347" xr:uid="{6DBC82BE-BF78-4D04-BED5-60998313594B}"/>
    <cellStyle name="40% - Accent3 3 2 2 3" xfId="4991" xr:uid="{00000000-0005-0000-0000-000057050000}"/>
    <cellStyle name="40% - Accent3 3 2 2 3 2" xfId="13420" xr:uid="{770FF2FD-E6EA-4496-86C4-195A00D95BB5}"/>
    <cellStyle name="40% - Accent3 3 2 2 4" xfId="9202" xr:uid="{1E518C0B-398D-4931-95AB-B25F3DCA1C9F}"/>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9496E346-8EB8-4311-A599-DD5AC0245F5C}"/>
    <cellStyle name="40% - Accent3 3 2 3 2 3" xfId="11760" xr:uid="{01865A4A-23C5-4391-AE20-890BE8697C11}"/>
    <cellStyle name="40% - Accent3 3 2 3 3" xfId="5404" xr:uid="{00000000-0005-0000-0000-00005B050000}"/>
    <cellStyle name="40% - Accent3 3 2 3 3 2" xfId="13833" xr:uid="{0FBC1363-5C50-4786-BCFD-D1779166A6CE}"/>
    <cellStyle name="40% - Accent3 3 2 3 4" xfId="9615" xr:uid="{A900A34F-BDE0-48AF-8C85-A37C19329D09}"/>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23E0CE9B-B8F6-419F-A630-F827763BE96A}"/>
    <cellStyle name="40% - Accent3 3 2 4 2 3" xfId="12173" xr:uid="{D98D710E-8231-400E-9288-994B9C5EF52A}"/>
    <cellStyle name="40% - Accent3 3 2 4 3" xfId="5817" xr:uid="{00000000-0005-0000-0000-00005F050000}"/>
    <cellStyle name="40% - Accent3 3 2 4 3 2" xfId="14246" xr:uid="{12C19DFC-9706-46B1-BDD2-7B0622C3C73A}"/>
    <cellStyle name="40% - Accent3 3 2 4 4" xfId="10028" xr:uid="{F62D8BF1-7F90-4C8F-8B52-3D996FBDC1E4}"/>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2E40DDA9-40AF-46C7-A386-F2B396F05696}"/>
    <cellStyle name="40% - Accent3 3 2 5 2 3" xfId="12586" xr:uid="{98F1ADFC-6107-41B8-B2FE-C938A5E9EB6C}"/>
    <cellStyle name="40% - Accent3 3 2 5 3" xfId="6230" xr:uid="{00000000-0005-0000-0000-000063050000}"/>
    <cellStyle name="40% - Accent3 3 2 5 3 2" xfId="14659" xr:uid="{370E3212-6DAC-42D4-8AEB-9E0F114583C1}"/>
    <cellStyle name="40% - Accent3 3 2 5 4" xfId="10441" xr:uid="{CD83746B-C84B-4C79-BCCD-82FA528B925D}"/>
    <cellStyle name="40% - Accent3 3 2 6" xfId="2335" xr:uid="{00000000-0005-0000-0000-000064050000}"/>
    <cellStyle name="40% - Accent3 3 2 6 2" xfId="6643" xr:uid="{00000000-0005-0000-0000-000065050000}"/>
    <cellStyle name="40% - Accent3 3 2 6 2 2" xfId="15072" xr:uid="{A36FFD9B-1D6F-4C1A-BA09-733622D56862}"/>
    <cellStyle name="40% - Accent3 3 2 6 3" xfId="10854" xr:uid="{C3EAD95B-6DF1-410F-9ABA-3BDEB505DF33}"/>
    <cellStyle name="40% - Accent3 3 2 7" xfId="4577" xr:uid="{00000000-0005-0000-0000-000066050000}"/>
    <cellStyle name="40% - Accent3 3 2 7 2" xfId="13006" xr:uid="{735FA48A-79F6-47AB-AF8D-28096A7D3929}"/>
    <cellStyle name="40% - Accent3 3 2 8" xfId="8788" xr:uid="{93C8FB7A-1B88-40C4-86F1-05281EB5D3A5}"/>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713890F4-6F0A-4389-BAD4-702CC3F3C275}"/>
    <cellStyle name="40% - Accent3 3 3 2 3" xfId="11346" xr:uid="{5E3E057E-69EF-4741-9E8F-E163CA07C54F}"/>
    <cellStyle name="40% - Accent3 3 3 3" xfId="4990" xr:uid="{00000000-0005-0000-0000-00006A050000}"/>
    <cellStyle name="40% - Accent3 3 3 3 2" xfId="13419" xr:uid="{9269839D-37D4-49E9-A8B9-FD6182C06C4B}"/>
    <cellStyle name="40% - Accent3 3 3 4" xfId="9201" xr:uid="{BB8EDB77-7BCC-451F-818A-005173EBB272}"/>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A8F76958-0A25-4910-BC82-0B51CA147721}"/>
    <cellStyle name="40% - Accent3 3 4 2 3" xfId="11759" xr:uid="{3B59A93E-4985-4FCE-9DE5-9EF9982EA3F4}"/>
    <cellStyle name="40% - Accent3 3 4 3" xfId="5403" xr:uid="{00000000-0005-0000-0000-00006E050000}"/>
    <cellStyle name="40% - Accent3 3 4 3 2" xfId="13832" xr:uid="{A5017B2E-0344-497A-A21C-5E981766B731}"/>
    <cellStyle name="40% - Accent3 3 4 4" xfId="9614" xr:uid="{3759CEA2-9893-467E-864B-B0F5E8BB56A2}"/>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AA489D57-0BEC-4E58-96DF-60CA06C399BB}"/>
    <cellStyle name="40% - Accent3 3 5 2 3" xfId="12172" xr:uid="{B0DF777A-1D49-41AF-8EDF-3BA7F9B4073D}"/>
    <cellStyle name="40% - Accent3 3 5 3" xfId="5816" xr:uid="{00000000-0005-0000-0000-000072050000}"/>
    <cellStyle name="40% - Accent3 3 5 3 2" xfId="14245" xr:uid="{5D70BE3E-F9C2-46EA-94F5-F7250007AACC}"/>
    <cellStyle name="40% - Accent3 3 5 4" xfId="10027" xr:uid="{04662E9F-5B27-499F-85BB-69D465742DA2}"/>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46AFA742-B871-4D56-9405-8AFED7E58B88}"/>
    <cellStyle name="40% - Accent3 3 6 2 3" xfId="12585" xr:uid="{D9916BFD-49D0-4339-9BCF-2BAA702E23EE}"/>
    <cellStyle name="40% - Accent3 3 6 3" xfId="6229" xr:uid="{00000000-0005-0000-0000-000076050000}"/>
    <cellStyle name="40% - Accent3 3 6 3 2" xfId="14658" xr:uid="{AD323B9B-185C-40E6-A959-05E3CB47F892}"/>
    <cellStyle name="40% - Accent3 3 6 4" xfId="10440" xr:uid="{A79BE266-D626-400C-9485-94238A695B1A}"/>
    <cellStyle name="40% - Accent3 3 7" xfId="2334" xr:uid="{00000000-0005-0000-0000-000077050000}"/>
    <cellStyle name="40% - Accent3 3 7 2" xfId="6642" xr:uid="{00000000-0005-0000-0000-000078050000}"/>
    <cellStyle name="40% - Accent3 3 7 2 2" xfId="15071" xr:uid="{BBB71467-9CE8-402E-9880-E2FC35B1FCA8}"/>
    <cellStyle name="40% - Accent3 3 7 3" xfId="10853" xr:uid="{A9C38B13-32D1-4ECF-9EDE-83E440B77668}"/>
    <cellStyle name="40% - Accent3 3 8" xfId="4576" xr:uid="{00000000-0005-0000-0000-000079050000}"/>
    <cellStyle name="40% - Accent3 3 8 2" xfId="13005" xr:uid="{5C935900-EE91-4BEE-9E17-0716ED204D8D}"/>
    <cellStyle name="40% - Accent3 3 9" xfId="8787" xr:uid="{4F618E75-98D4-4F1B-8737-BAA06D505195}"/>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4DFA2039-656B-47E1-A79F-BACE20A03A87}"/>
    <cellStyle name="40% - Accent3 4 2 2 3" xfId="11348" xr:uid="{4D08B345-0A1E-41A2-971F-B44D77990EF7}"/>
    <cellStyle name="40% - Accent3 4 2 3" xfId="4992" xr:uid="{00000000-0005-0000-0000-00007E050000}"/>
    <cellStyle name="40% - Accent3 4 2 3 2" xfId="13421" xr:uid="{76725C85-461B-4F68-8897-982F71CC5C29}"/>
    <cellStyle name="40% - Accent3 4 2 4" xfId="9203" xr:uid="{5CBDD065-29F5-4C95-97EF-238B0E58000A}"/>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37D58233-E4C5-4F89-836F-BA6920A556FA}"/>
    <cellStyle name="40% - Accent3 4 3 2 3" xfId="11761" xr:uid="{72AF9DAE-6DB2-4BC0-AE2E-8CE3D9CBAB16}"/>
    <cellStyle name="40% - Accent3 4 3 3" xfId="5405" xr:uid="{00000000-0005-0000-0000-000082050000}"/>
    <cellStyle name="40% - Accent3 4 3 3 2" xfId="13834" xr:uid="{DA4CCD8D-DEC9-4435-B92B-F1DB11D82BD9}"/>
    <cellStyle name="40% - Accent3 4 3 4" xfId="9616" xr:uid="{DC1568AB-4325-4DCD-9114-A23611B15C2A}"/>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1F861A8E-7E4F-4691-B852-1717ABA97A72}"/>
    <cellStyle name="40% - Accent3 4 4 2 3" xfId="12174" xr:uid="{B4566D0F-9115-464B-AC5B-FA3F86E41B22}"/>
    <cellStyle name="40% - Accent3 4 4 3" xfId="5818" xr:uid="{00000000-0005-0000-0000-000086050000}"/>
    <cellStyle name="40% - Accent3 4 4 3 2" xfId="14247" xr:uid="{848EBC5E-CD55-4F65-8A56-8A2B4B172228}"/>
    <cellStyle name="40% - Accent3 4 4 4" xfId="10029" xr:uid="{697080CD-CDDD-4E5B-81FE-14C75970F0EB}"/>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3C7A60FB-FD99-4B6B-8869-BAF9CBC33A8E}"/>
    <cellStyle name="40% - Accent3 4 5 2 3" xfId="12587" xr:uid="{E23222B7-DA98-4F85-8917-A345A7852BED}"/>
    <cellStyle name="40% - Accent3 4 5 3" xfId="6231" xr:uid="{00000000-0005-0000-0000-00008A050000}"/>
    <cellStyle name="40% - Accent3 4 5 3 2" xfId="14660" xr:uid="{99CB4F53-4AB7-4B15-A1E1-C7B2BA852809}"/>
    <cellStyle name="40% - Accent3 4 5 4" xfId="10442" xr:uid="{6EC67566-3C8E-4169-A808-D82200117B7A}"/>
    <cellStyle name="40% - Accent3 4 6" xfId="2336" xr:uid="{00000000-0005-0000-0000-00008B050000}"/>
    <cellStyle name="40% - Accent3 4 6 2" xfId="6644" xr:uid="{00000000-0005-0000-0000-00008C050000}"/>
    <cellStyle name="40% - Accent3 4 6 2 2" xfId="15073" xr:uid="{A88DCE1C-D70A-42A8-B715-A350140922DA}"/>
    <cellStyle name="40% - Accent3 4 6 3" xfId="10855" xr:uid="{8014C9A6-647A-452C-81DE-FF1F88605ECD}"/>
    <cellStyle name="40% - Accent3 4 7" xfId="4578" xr:uid="{00000000-0005-0000-0000-00008D050000}"/>
    <cellStyle name="40% - Accent3 4 7 2" xfId="13007" xr:uid="{3D010EB5-C6BA-4819-A9BC-146E6CD4E577}"/>
    <cellStyle name="40% - Accent3 4 8" xfId="8789" xr:uid="{B27303EF-64F4-480A-A10E-951F6157FDD4}"/>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491FB621-C99A-4ACF-A7B3-2083656E9902}"/>
    <cellStyle name="40% - Accent3 5 2 3" xfId="11341" xr:uid="{424C6EB9-8B35-4F72-80B1-5082EE583723}"/>
    <cellStyle name="40% - Accent3 5 3" xfId="4985" xr:uid="{00000000-0005-0000-0000-000091050000}"/>
    <cellStyle name="40% - Accent3 5 3 2" xfId="13414" xr:uid="{E6207FA5-711D-4861-BB7A-00F55CD688C2}"/>
    <cellStyle name="40% - Accent3 5 4" xfId="9196" xr:uid="{DA768AE0-78C1-48E6-AC22-4EAE74190E14}"/>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957DF584-F3DA-4CA7-8ECE-3C883A8BA634}"/>
    <cellStyle name="40% - Accent3 6 2 3" xfId="11754" xr:uid="{89562C31-D350-4C26-84DB-AFA65060BCD5}"/>
    <cellStyle name="40% - Accent3 6 3" xfId="5398" xr:uid="{00000000-0005-0000-0000-000095050000}"/>
    <cellStyle name="40% - Accent3 6 3 2" xfId="13827" xr:uid="{A1C693CA-CEF8-49A0-9830-61C312ABDA41}"/>
    <cellStyle name="40% - Accent3 6 4" xfId="9609" xr:uid="{A0874FD5-90F9-4903-BF97-EA5E05FB0876}"/>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6454DF9E-48EE-4C5E-A28D-58D5F1EE0870}"/>
    <cellStyle name="40% - Accent3 7 2 3" xfId="12167" xr:uid="{FF7A24E6-F4D3-4455-9385-08FA8305DF62}"/>
    <cellStyle name="40% - Accent3 7 3" xfId="5811" xr:uid="{00000000-0005-0000-0000-000099050000}"/>
    <cellStyle name="40% - Accent3 7 3 2" xfId="14240" xr:uid="{6B254709-110B-4B0F-A9DE-1A2B9FD1DE3D}"/>
    <cellStyle name="40% - Accent3 7 4" xfId="10022" xr:uid="{A85FEF63-DE35-4B75-9F98-CF0909A7E02D}"/>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260602F5-5015-48DA-8A8D-DFF87B6753EB}"/>
    <cellStyle name="40% - Accent3 8 2 3" xfId="12580" xr:uid="{A0095B23-0B04-4065-8F20-FF66891038C6}"/>
    <cellStyle name="40% - Accent3 8 3" xfId="6224" xr:uid="{00000000-0005-0000-0000-00009D050000}"/>
    <cellStyle name="40% - Accent3 8 3 2" xfId="14653" xr:uid="{30A2A446-20B6-40EE-8B90-DF4300666F02}"/>
    <cellStyle name="40% - Accent3 8 4" xfId="10435" xr:uid="{32ADE603-C470-4B75-9F3C-2439A2D3D690}"/>
    <cellStyle name="40% - Accent3 9" xfId="2329" xr:uid="{00000000-0005-0000-0000-00009E050000}"/>
    <cellStyle name="40% - Accent3 9 2" xfId="6637" xr:uid="{00000000-0005-0000-0000-00009F050000}"/>
    <cellStyle name="40% - Accent3 9 2 2" xfId="15066" xr:uid="{572A13FE-5941-49CD-B642-124BC31BC330}"/>
    <cellStyle name="40% - Accent3 9 3" xfId="10848" xr:uid="{13924A48-8613-4472-9DB9-9EDFC1E9402B}"/>
    <cellStyle name="40% - Accent4" xfId="73" builtinId="43" customBuiltin="1"/>
    <cellStyle name="40% - Accent4 10" xfId="4579" xr:uid="{00000000-0005-0000-0000-0000A1050000}"/>
    <cellStyle name="40% - Accent4 10 2" xfId="13008" xr:uid="{AECC8B08-38B0-4C67-BF80-7789E02818FF}"/>
    <cellStyle name="40% - Accent4 11" xfId="8790" xr:uid="{F48CA484-DD3D-41AC-A0BE-04D93C45C95A}"/>
    <cellStyle name="40% - Accent4 2" xfId="74" xr:uid="{00000000-0005-0000-0000-0000A2050000}"/>
    <cellStyle name="40% - Accent4 2 10" xfId="8791" xr:uid="{004191B6-38CC-47E0-BFEC-FBB3BF07D5F3}"/>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6946B07B-6C54-4F2B-8E7D-8D8EDFC61918}"/>
    <cellStyle name="40% - Accent4 2 2 2 2 2 3" xfId="11352" xr:uid="{50503220-9282-4ED0-9B08-9228F6C7F115}"/>
    <cellStyle name="40% - Accent4 2 2 2 2 3" xfId="4996" xr:uid="{00000000-0005-0000-0000-0000A8050000}"/>
    <cellStyle name="40% - Accent4 2 2 2 2 3 2" xfId="13425" xr:uid="{F220D7EF-27D2-4FFD-849E-C49195CA1D41}"/>
    <cellStyle name="40% - Accent4 2 2 2 2 4" xfId="9207" xr:uid="{DE494A42-2877-4A61-AD73-81AEEDA023DF}"/>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0621C559-ED9B-4032-8412-53DB7CC3C369}"/>
    <cellStyle name="40% - Accent4 2 2 2 3 2 3" xfId="11765" xr:uid="{3ABC5AA6-3ECD-47EE-9BAB-4D3EEA37EAC6}"/>
    <cellStyle name="40% - Accent4 2 2 2 3 3" xfId="5409" xr:uid="{00000000-0005-0000-0000-0000AC050000}"/>
    <cellStyle name="40% - Accent4 2 2 2 3 3 2" xfId="13838" xr:uid="{8B28FEA8-2B6A-4DEA-AEF3-F95F1F24A8FD}"/>
    <cellStyle name="40% - Accent4 2 2 2 3 4" xfId="9620" xr:uid="{F3D6C871-6985-4207-A0FC-F9EB2C7717FC}"/>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54A35CF3-584F-4EF0-B741-D6ACE6298454}"/>
    <cellStyle name="40% - Accent4 2 2 2 4 2 3" xfId="12178" xr:uid="{EB3E470F-511C-4E22-8C11-C844BDC97C1D}"/>
    <cellStyle name="40% - Accent4 2 2 2 4 3" xfId="5822" xr:uid="{00000000-0005-0000-0000-0000B0050000}"/>
    <cellStyle name="40% - Accent4 2 2 2 4 3 2" xfId="14251" xr:uid="{AB3C99A7-9820-4A3E-919B-536F950ADF0B}"/>
    <cellStyle name="40% - Accent4 2 2 2 4 4" xfId="10033" xr:uid="{2B7F64C7-F46B-4D88-9B98-5B3C9C35E1CF}"/>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846019E8-4A58-486A-AFB5-CBD3CDF2FF3C}"/>
    <cellStyle name="40% - Accent4 2 2 2 5 2 3" xfId="12591" xr:uid="{4BA2A3AB-F109-4532-8DCE-1907AC8BA000}"/>
    <cellStyle name="40% - Accent4 2 2 2 5 3" xfId="6235" xr:uid="{00000000-0005-0000-0000-0000B4050000}"/>
    <cellStyle name="40% - Accent4 2 2 2 5 3 2" xfId="14664" xr:uid="{9EFBB38D-9CF6-41A6-88AA-D2278433DBEE}"/>
    <cellStyle name="40% - Accent4 2 2 2 5 4" xfId="10446" xr:uid="{7E9A89D4-3CC5-4AC9-A7FD-DCFC1019F388}"/>
    <cellStyle name="40% - Accent4 2 2 2 6" xfId="2340" xr:uid="{00000000-0005-0000-0000-0000B5050000}"/>
    <cellStyle name="40% - Accent4 2 2 2 6 2" xfId="6648" xr:uid="{00000000-0005-0000-0000-0000B6050000}"/>
    <cellStyle name="40% - Accent4 2 2 2 6 2 2" xfId="15077" xr:uid="{9302C76A-4BB2-4238-92BE-4BA3B23A1E07}"/>
    <cellStyle name="40% - Accent4 2 2 2 6 3" xfId="10859" xr:uid="{A94AA42D-5560-4E54-9E1C-D08208385D9B}"/>
    <cellStyle name="40% - Accent4 2 2 2 7" xfId="4582" xr:uid="{00000000-0005-0000-0000-0000B7050000}"/>
    <cellStyle name="40% - Accent4 2 2 2 7 2" xfId="13011" xr:uid="{E1997591-1679-495E-A7B0-282F9F6BA31B}"/>
    <cellStyle name="40% - Accent4 2 2 2 8" xfId="8793" xr:uid="{9E9FDCED-DF62-4262-9851-31C0A582D5B9}"/>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C3066F2D-AD2A-4A40-A536-3DBE94B1059E}"/>
    <cellStyle name="40% - Accent4 2 2 3 2 3" xfId="11351" xr:uid="{3FF56501-4D2B-426F-B5F6-CFE4FEBA5DE8}"/>
    <cellStyle name="40% - Accent4 2 2 3 3" xfId="4995" xr:uid="{00000000-0005-0000-0000-0000BB050000}"/>
    <cellStyle name="40% - Accent4 2 2 3 3 2" xfId="13424" xr:uid="{BBBFCCDE-3DB7-44D3-9D93-228691939CF2}"/>
    <cellStyle name="40% - Accent4 2 2 3 4" xfId="9206" xr:uid="{92C76D2A-F84D-416F-B81D-3D500F3116FF}"/>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54489960-CE3F-4CAC-873B-B28ACF24AE1E}"/>
    <cellStyle name="40% - Accent4 2 2 4 2 3" xfId="11764" xr:uid="{73F35788-A718-4CFE-945F-15C9B8F6631A}"/>
    <cellStyle name="40% - Accent4 2 2 4 3" xfId="5408" xr:uid="{00000000-0005-0000-0000-0000BF050000}"/>
    <cellStyle name="40% - Accent4 2 2 4 3 2" xfId="13837" xr:uid="{3EE4D93F-85DA-44E8-A83D-D2BB611EDEC1}"/>
    <cellStyle name="40% - Accent4 2 2 4 4" xfId="9619" xr:uid="{4E466061-B3B2-446A-A8FA-CC9173189558}"/>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CE3653BC-D45F-418A-90F1-23B0D329AB3B}"/>
    <cellStyle name="40% - Accent4 2 2 5 2 3" xfId="12177" xr:uid="{348073DE-B4D5-40BB-9A50-7DE5AD118A1C}"/>
    <cellStyle name="40% - Accent4 2 2 5 3" xfId="5821" xr:uid="{00000000-0005-0000-0000-0000C3050000}"/>
    <cellStyle name="40% - Accent4 2 2 5 3 2" xfId="14250" xr:uid="{28310A5E-1E6D-4442-B47B-B4A72A6EFB2F}"/>
    <cellStyle name="40% - Accent4 2 2 5 4" xfId="10032" xr:uid="{AEFC0545-8C13-45BA-8D87-DB3CA1AB71A5}"/>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AECA8D40-088D-400F-BB45-BDB72E5AF3AD}"/>
    <cellStyle name="40% - Accent4 2 2 6 2 3" xfId="12590" xr:uid="{7FFFBCEA-BE76-4A84-A328-7AC9E7A86F52}"/>
    <cellStyle name="40% - Accent4 2 2 6 3" xfId="6234" xr:uid="{00000000-0005-0000-0000-0000C7050000}"/>
    <cellStyle name="40% - Accent4 2 2 6 3 2" xfId="14663" xr:uid="{47F86DC3-500D-49BE-9EBE-DD9929B207B3}"/>
    <cellStyle name="40% - Accent4 2 2 6 4" xfId="10445" xr:uid="{33A2874C-305A-4D9F-924F-1C03AFA2B696}"/>
    <cellStyle name="40% - Accent4 2 2 7" xfId="2339" xr:uid="{00000000-0005-0000-0000-0000C8050000}"/>
    <cellStyle name="40% - Accent4 2 2 7 2" xfId="6647" xr:uid="{00000000-0005-0000-0000-0000C9050000}"/>
    <cellStyle name="40% - Accent4 2 2 7 2 2" xfId="15076" xr:uid="{961E0CBB-5940-4866-BDE1-0B5EF4D50626}"/>
    <cellStyle name="40% - Accent4 2 2 7 3" xfId="10858" xr:uid="{C5C642E8-C765-45DB-802B-5CD264B867B1}"/>
    <cellStyle name="40% - Accent4 2 2 8" xfId="4581" xr:uid="{00000000-0005-0000-0000-0000CA050000}"/>
    <cellStyle name="40% - Accent4 2 2 8 2" xfId="13010" xr:uid="{8B79D3FD-22B3-4623-AC89-048032FE90D4}"/>
    <cellStyle name="40% - Accent4 2 2 9" xfId="8792" xr:uid="{30B0FA92-7006-4761-8C9A-562C994FC234}"/>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E35EDC03-B556-46B1-BB4B-FBBEA07AAD5D}"/>
    <cellStyle name="40% - Accent4 2 3 2 2 3" xfId="11353" xr:uid="{678C196F-3278-4E9E-8DD8-6B1BC71AB082}"/>
    <cellStyle name="40% - Accent4 2 3 2 3" xfId="4997" xr:uid="{00000000-0005-0000-0000-0000CF050000}"/>
    <cellStyle name="40% - Accent4 2 3 2 3 2" xfId="13426" xr:uid="{C553DE16-4883-4745-A985-E29F9DBEBC10}"/>
    <cellStyle name="40% - Accent4 2 3 2 4" xfId="9208" xr:uid="{6C9AF949-AFC8-42B8-A8DE-1D426B6CDB70}"/>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A7D9D41A-F3BB-44C1-9C05-268738568B0A}"/>
    <cellStyle name="40% - Accent4 2 3 3 2 3" xfId="11766" xr:uid="{11D541A4-DC5E-4168-80A7-AF1BF648C5ED}"/>
    <cellStyle name="40% - Accent4 2 3 3 3" xfId="5410" xr:uid="{00000000-0005-0000-0000-0000D3050000}"/>
    <cellStyle name="40% - Accent4 2 3 3 3 2" xfId="13839" xr:uid="{C40105AB-E808-4079-88D0-6FB4CB88C59D}"/>
    <cellStyle name="40% - Accent4 2 3 3 4" xfId="9621" xr:uid="{23410976-138E-4DCF-B78F-8F0E3B78B89F}"/>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11F22670-D605-4842-8540-125A8FF34A7E}"/>
    <cellStyle name="40% - Accent4 2 3 4 2 3" xfId="12179" xr:uid="{A5DCD9E8-9728-4AA1-B58A-0BC6FF6E7F05}"/>
    <cellStyle name="40% - Accent4 2 3 4 3" xfId="5823" xr:uid="{00000000-0005-0000-0000-0000D7050000}"/>
    <cellStyle name="40% - Accent4 2 3 4 3 2" xfId="14252" xr:uid="{FFF71CEE-A3E1-47CE-B056-D3D90B66AF97}"/>
    <cellStyle name="40% - Accent4 2 3 4 4" xfId="10034" xr:uid="{00ABC23A-4418-42F9-A308-A5E622D5BAF2}"/>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D9A5A872-BCD7-494D-85B6-1C5EB314616F}"/>
    <cellStyle name="40% - Accent4 2 3 5 2 3" xfId="12592" xr:uid="{04C2A8AC-96D0-4AA2-BE5B-76DA3C51F5E3}"/>
    <cellStyle name="40% - Accent4 2 3 5 3" xfId="6236" xr:uid="{00000000-0005-0000-0000-0000DB050000}"/>
    <cellStyle name="40% - Accent4 2 3 5 3 2" xfId="14665" xr:uid="{C4D0A587-3E77-4007-972B-523809CB7DF4}"/>
    <cellStyle name="40% - Accent4 2 3 5 4" xfId="10447" xr:uid="{FD823027-7EF1-4952-8B86-F026116DC9EE}"/>
    <cellStyle name="40% - Accent4 2 3 6" xfId="2341" xr:uid="{00000000-0005-0000-0000-0000DC050000}"/>
    <cellStyle name="40% - Accent4 2 3 6 2" xfId="6649" xr:uid="{00000000-0005-0000-0000-0000DD050000}"/>
    <cellStyle name="40% - Accent4 2 3 6 2 2" xfId="15078" xr:uid="{6E726D3C-91ED-419B-8D5F-74E0F9827B44}"/>
    <cellStyle name="40% - Accent4 2 3 6 3" xfId="10860" xr:uid="{EFF9E582-CF94-45E7-AE35-2EE04C21B201}"/>
    <cellStyle name="40% - Accent4 2 3 7" xfId="4583" xr:uid="{00000000-0005-0000-0000-0000DE050000}"/>
    <cellStyle name="40% - Accent4 2 3 7 2" xfId="13012" xr:uid="{2A2C8C48-821D-4EAC-B42C-035DE828AFF4}"/>
    <cellStyle name="40% - Accent4 2 3 8" xfId="8794" xr:uid="{33C20239-E969-45DA-9C4B-4197F8E479D3}"/>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D100A27A-08D8-4AE6-9C87-D2C8FD26FBE3}"/>
    <cellStyle name="40% - Accent4 2 4 2 3" xfId="11350" xr:uid="{6F5E53ED-D731-46A1-9A78-60EA8A564EC4}"/>
    <cellStyle name="40% - Accent4 2 4 3" xfId="4994" xr:uid="{00000000-0005-0000-0000-0000E2050000}"/>
    <cellStyle name="40% - Accent4 2 4 3 2" xfId="13423" xr:uid="{75181B0A-8DBE-4826-A40C-9E71574BFD87}"/>
    <cellStyle name="40% - Accent4 2 4 4" xfId="9205" xr:uid="{B6FEBFD5-B499-44DF-A991-09B6FA762C20}"/>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0304E5B1-E1AF-468E-A8C9-2E0A2DC37DBD}"/>
    <cellStyle name="40% - Accent4 2 5 2 3" xfId="11763" xr:uid="{196EC308-94D4-45E0-909C-8888475D2E2B}"/>
    <cellStyle name="40% - Accent4 2 5 3" xfId="5407" xr:uid="{00000000-0005-0000-0000-0000E6050000}"/>
    <cellStyle name="40% - Accent4 2 5 3 2" xfId="13836" xr:uid="{2C8ED0BF-A2E8-47A8-84F1-EC302D4DB224}"/>
    <cellStyle name="40% - Accent4 2 5 4" xfId="9618" xr:uid="{F592E7E3-EE62-4D4A-BD2E-C6D8EFAF4890}"/>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21A8F628-6047-4AFA-9561-338E492D5379}"/>
    <cellStyle name="40% - Accent4 2 6 2 3" xfId="12176" xr:uid="{2FE7D5A7-BAF4-4EA1-8A85-60ABBA1827AB}"/>
    <cellStyle name="40% - Accent4 2 6 3" xfId="5820" xr:uid="{00000000-0005-0000-0000-0000EA050000}"/>
    <cellStyle name="40% - Accent4 2 6 3 2" xfId="14249" xr:uid="{D4791A9B-CA6A-4CB1-892D-5FE3392600C8}"/>
    <cellStyle name="40% - Accent4 2 6 4" xfId="10031" xr:uid="{FAD9D987-DE60-49BC-AB08-A6A53CD40765}"/>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2623648F-2078-4386-8AF0-6C442632C300}"/>
    <cellStyle name="40% - Accent4 2 7 2 3" xfId="12589" xr:uid="{43AFBD96-4773-444D-890D-F65202401042}"/>
    <cellStyle name="40% - Accent4 2 7 3" xfId="6233" xr:uid="{00000000-0005-0000-0000-0000EE050000}"/>
    <cellStyle name="40% - Accent4 2 7 3 2" xfId="14662" xr:uid="{DF90E921-E03B-4578-9B71-1A8527DD8762}"/>
    <cellStyle name="40% - Accent4 2 7 4" xfId="10444" xr:uid="{F312C980-6A6C-44E1-92A8-530E2B77F7F0}"/>
    <cellStyle name="40% - Accent4 2 8" xfId="2338" xr:uid="{00000000-0005-0000-0000-0000EF050000}"/>
    <cellStyle name="40% - Accent4 2 8 2" xfId="6646" xr:uid="{00000000-0005-0000-0000-0000F0050000}"/>
    <cellStyle name="40% - Accent4 2 8 2 2" xfId="15075" xr:uid="{D77B95BA-D81E-4875-AC27-D75253D15853}"/>
    <cellStyle name="40% - Accent4 2 8 3" xfId="10857" xr:uid="{902941B6-F317-4195-9E48-4ECCC24BF8E9}"/>
    <cellStyle name="40% - Accent4 2 9" xfId="4580" xr:uid="{00000000-0005-0000-0000-0000F1050000}"/>
    <cellStyle name="40% - Accent4 2 9 2" xfId="13009" xr:uid="{7EA94BE0-6495-42CE-A8BB-667ADDBF7286}"/>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04EB1D80-644D-4FB8-BFAA-9BA4EFFAAFCF}"/>
    <cellStyle name="40% - Accent4 3 2 2 2 3" xfId="11355" xr:uid="{8031DA77-4BE0-4CC9-AD1F-A98B1EACB161}"/>
    <cellStyle name="40% - Accent4 3 2 2 3" xfId="4999" xr:uid="{00000000-0005-0000-0000-0000F7050000}"/>
    <cellStyle name="40% - Accent4 3 2 2 3 2" xfId="13428" xr:uid="{4E6A4EEB-D114-4423-8140-67B7F522067A}"/>
    <cellStyle name="40% - Accent4 3 2 2 4" xfId="9210" xr:uid="{3DD9BE26-0B69-40BC-8F2D-D90EFC77B5A2}"/>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C55F1DEF-3336-4754-8312-C0E466F33AED}"/>
    <cellStyle name="40% - Accent4 3 2 3 2 3" xfId="11768" xr:uid="{FA55CE42-131F-47E9-8530-5EA1295B8807}"/>
    <cellStyle name="40% - Accent4 3 2 3 3" xfId="5412" xr:uid="{00000000-0005-0000-0000-0000FB050000}"/>
    <cellStyle name="40% - Accent4 3 2 3 3 2" xfId="13841" xr:uid="{0AE54F96-EBDC-4ECF-8B4E-3EEE9998A6ED}"/>
    <cellStyle name="40% - Accent4 3 2 3 4" xfId="9623" xr:uid="{80818B92-5F2C-444F-80FD-9128301E3E98}"/>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96581306-09B6-4D72-9662-2E2C7F12D41F}"/>
    <cellStyle name="40% - Accent4 3 2 4 2 3" xfId="12181" xr:uid="{C4E18887-8C75-4C76-8A69-38568E572546}"/>
    <cellStyle name="40% - Accent4 3 2 4 3" xfId="5825" xr:uid="{00000000-0005-0000-0000-0000FF050000}"/>
    <cellStyle name="40% - Accent4 3 2 4 3 2" xfId="14254" xr:uid="{576FE306-A2C5-4BC2-969F-24D926B9365E}"/>
    <cellStyle name="40% - Accent4 3 2 4 4" xfId="10036" xr:uid="{58984775-1A22-4F22-BE61-495186C4506B}"/>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96E6884B-3881-4082-939E-BB930765BB71}"/>
    <cellStyle name="40% - Accent4 3 2 5 2 3" xfId="12594" xr:uid="{A6AF4341-8B3E-454A-946C-0D703A63A555}"/>
    <cellStyle name="40% - Accent4 3 2 5 3" xfId="6238" xr:uid="{00000000-0005-0000-0000-000003060000}"/>
    <cellStyle name="40% - Accent4 3 2 5 3 2" xfId="14667" xr:uid="{D3BC833A-FC87-4023-AB5C-2B706CE31A66}"/>
    <cellStyle name="40% - Accent4 3 2 5 4" xfId="10449" xr:uid="{F682FBE3-C3D4-43C5-A3B0-DEF5C6C43B43}"/>
    <cellStyle name="40% - Accent4 3 2 6" xfId="2343" xr:uid="{00000000-0005-0000-0000-000004060000}"/>
    <cellStyle name="40% - Accent4 3 2 6 2" xfId="6651" xr:uid="{00000000-0005-0000-0000-000005060000}"/>
    <cellStyle name="40% - Accent4 3 2 6 2 2" xfId="15080" xr:uid="{B4709939-3CDD-4E26-8D17-379C78B3E78E}"/>
    <cellStyle name="40% - Accent4 3 2 6 3" xfId="10862" xr:uid="{A30EE5FA-97B0-41EA-98B9-78D56A7C2D23}"/>
    <cellStyle name="40% - Accent4 3 2 7" xfId="4585" xr:uid="{00000000-0005-0000-0000-000006060000}"/>
    <cellStyle name="40% - Accent4 3 2 7 2" xfId="13014" xr:uid="{2458111D-CB46-4580-853F-7ACEE73C1A42}"/>
    <cellStyle name="40% - Accent4 3 2 8" xfId="8796" xr:uid="{8493A0AD-2AEA-40EA-A61D-9927C62933F6}"/>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A929C638-8758-4268-8D50-12D1E6E52699}"/>
    <cellStyle name="40% - Accent4 3 3 2 3" xfId="11354" xr:uid="{2118D28E-1EC7-4582-92B1-A522E6039BD6}"/>
    <cellStyle name="40% - Accent4 3 3 3" xfId="4998" xr:uid="{00000000-0005-0000-0000-00000A060000}"/>
    <cellStyle name="40% - Accent4 3 3 3 2" xfId="13427" xr:uid="{5F5CC19E-A910-49A3-9E5A-3BA4F24FA41F}"/>
    <cellStyle name="40% - Accent4 3 3 4" xfId="9209" xr:uid="{14F1436F-9A16-4C12-847B-839420ACAE73}"/>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AD9461D2-A66A-46F3-9217-7FE2C6E77EE6}"/>
    <cellStyle name="40% - Accent4 3 4 2 3" xfId="11767" xr:uid="{01767275-6BCB-4DE9-9FC1-3F56840AB418}"/>
    <cellStyle name="40% - Accent4 3 4 3" xfId="5411" xr:uid="{00000000-0005-0000-0000-00000E060000}"/>
    <cellStyle name="40% - Accent4 3 4 3 2" xfId="13840" xr:uid="{AF561C15-2855-47EC-8CCF-1B79C8D51146}"/>
    <cellStyle name="40% - Accent4 3 4 4" xfId="9622" xr:uid="{9822EDF8-0576-4A83-9D69-348F8AE78BB4}"/>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49D2FD04-6EC2-4CFE-9CC1-0DFBC8BE008B}"/>
    <cellStyle name="40% - Accent4 3 5 2 3" xfId="12180" xr:uid="{E56A03F6-A4F3-4EF8-B9C4-D4FF18745636}"/>
    <cellStyle name="40% - Accent4 3 5 3" xfId="5824" xr:uid="{00000000-0005-0000-0000-000012060000}"/>
    <cellStyle name="40% - Accent4 3 5 3 2" xfId="14253" xr:uid="{84B99C9C-E451-4ACB-8E86-5E6A2E3CAF0B}"/>
    <cellStyle name="40% - Accent4 3 5 4" xfId="10035" xr:uid="{73A63EEC-B043-4DC3-90E5-E7F1FF52DBE9}"/>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61B0AFAD-FF99-4764-BFB2-1EE4C6B361D9}"/>
    <cellStyle name="40% - Accent4 3 6 2 3" xfId="12593" xr:uid="{9D7270D3-CADF-4C82-979C-4D98E531D43A}"/>
    <cellStyle name="40% - Accent4 3 6 3" xfId="6237" xr:uid="{00000000-0005-0000-0000-000016060000}"/>
    <cellStyle name="40% - Accent4 3 6 3 2" xfId="14666" xr:uid="{BB096F3E-FDDD-46B3-9C2F-D6A5ABF8F910}"/>
    <cellStyle name="40% - Accent4 3 6 4" xfId="10448" xr:uid="{5C8DAF49-A8C3-462E-B21C-54A4A1EF64A7}"/>
    <cellStyle name="40% - Accent4 3 7" xfId="2342" xr:uid="{00000000-0005-0000-0000-000017060000}"/>
    <cellStyle name="40% - Accent4 3 7 2" xfId="6650" xr:uid="{00000000-0005-0000-0000-000018060000}"/>
    <cellStyle name="40% - Accent4 3 7 2 2" xfId="15079" xr:uid="{8AC3E42C-3EA9-4C2F-9FD5-FF75A7701955}"/>
    <cellStyle name="40% - Accent4 3 7 3" xfId="10861" xr:uid="{8C5EA706-4CEB-4E6C-ACF4-A07DA9F8FE97}"/>
    <cellStyle name="40% - Accent4 3 8" xfId="4584" xr:uid="{00000000-0005-0000-0000-000019060000}"/>
    <cellStyle name="40% - Accent4 3 8 2" xfId="13013" xr:uid="{D6D2BBBF-AFAC-450E-A2DC-B72151713764}"/>
    <cellStyle name="40% - Accent4 3 9" xfId="8795" xr:uid="{74DD2FAC-0B91-4A40-A6B5-6DF565373BA4}"/>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0DD01312-86C9-439A-AEE1-7BBC9EB6E947}"/>
    <cellStyle name="40% - Accent4 4 2 2 3" xfId="11356" xr:uid="{F64502DE-8E18-4539-B44B-11205CBB70D8}"/>
    <cellStyle name="40% - Accent4 4 2 3" xfId="5000" xr:uid="{00000000-0005-0000-0000-00001E060000}"/>
    <cellStyle name="40% - Accent4 4 2 3 2" xfId="13429" xr:uid="{F0B23663-03BC-4CB5-AA31-911C9216E776}"/>
    <cellStyle name="40% - Accent4 4 2 4" xfId="9211" xr:uid="{81D68406-5581-45DC-B9E0-BC1D7D8CB3B4}"/>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D9E98696-D0BD-466F-89BA-D26FFF101FED}"/>
    <cellStyle name="40% - Accent4 4 3 2 3" xfId="11769" xr:uid="{C97D4E14-48B3-45F4-A96B-59B09EF838D6}"/>
    <cellStyle name="40% - Accent4 4 3 3" xfId="5413" xr:uid="{00000000-0005-0000-0000-000022060000}"/>
    <cellStyle name="40% - Accent4 4 3 3 2" xfId="13842" xr:uid="{9986F33E-0FF1-4628-BE3A-A4A910CD3119}"/>
    <cellStyle name="40% - Accent4 4 3 4" xfId="9624" xr:uid="{B76B8E21-A647-40A0-899C-1B3761127E28}"/>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CBB6B1E4-4AEA-4BE3-825F-59E56A08B0B2}"/>
    <cellStyle name="40% - Accent4 4 4 2 3" xfId="12182" xr:uid="{35633E74-CDF9-4B7B-80EF-0599BCB1E571}"/>
    <cellStyle name="40% - Accent4 4 4 3" xfId="5826" xr:uid="{00000000-0005-0000-0000-000026060000}"/>
    <cellStyle name="40% - Accent4 4 4 3 2" xfId="14255" xr:uid="{284372CA-ED63-40FE-B178-36F9A387FED5}"/>
    <cellStyle name="40% - Accent4 4 4 4" xfId="10037" xr:uid="{7EA0FBED-6F48-4121-BF69-A413A055798C}"/>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C8C07F1A-5C59-4939-84B5-045E0286F256}"/>
    <cellStyle name="40% - Accent4 4 5 2 3" xfId="12595" xr:uid="{83058140-97E5-4912-8535-38D447AB4245}"/>
    <cellStyle name="40% - Accent4 4 5 3" xfId="6239" xr:uid="{00000000-0005-0000-0000-00002A060000}"/>
    <cellStyle name="40% - Accent4 4 5 3 2" xfId="14668" xr:uid="{57A9B32F-908D-450E-82AB-1CBE8B0DC387}"/>
    <cellStyle name="40% - Accent4 4 5 4" xfId="10450" xr:uid="{D2ABB64D-CEBB-466E-A382-C7534E66EE24}"/>
    <cellStyle name="40% - Accent4 4 6" xfId="2344" xr:uid="{00000000-0005-0000-0000-00002B060000}"/>
    <cellStyle name="40% - Accent4 4 6 2" xfId="6652" xr:uid="{00000000-0005-0000-0000-00002C060000}"/>
    <cellStyle name="40% - Accent4 4 6 2 2" xfId="15081" xr:uid="{F9C27B44-AF54-4111-99B9-7C3EF5E0D7CD}"/>
    <cellStyle name="40% - Accent4 4 6 3" xfId="10863" xr:uid="{C3F5A546-6CC3-41C6-90E8-91C0210F7157}"/>
    <cellStyle name="40% - Accent4 4 7" xfId="4586" xr:uid="{00000000-0005-0000-0000-00002D060000}"/>
    <cellStyle name="40% - Accent4 4 7 2" xfId="13015" xr:uid="{58A38787-44ED-4092-923F-B090AFCCC88E}"/>
    <cellStyle name="40% - Accent4 4 8" xfId="8797" xr:uid="{211977D9-B93C-4804-B794-07C9942DACA2}"/>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DA7FB037-1B8E-4C59-9644-DC411447CDA6}"/>
    <cellStyle name="40% - Accent4 5 2 3" xfId="11349" xr:uid="{0E5749FC-26E8-4B89-BDAB-22174B65A574}"/>
    <cellStyle name="40% - Accent4 5 3" xfId="4993" xr:uid="{00000000-0005-0000-0000-000031060000}"/>
    <cellStyle name="40% - Accent4 5 3 2" xfId="13422" xr:uid="{3C879A48-2C3E-4D8A-864F-0A8E1AC69468}"/>
    <cellStyle name="40% - Accent4 5 4" xfId="9204" xr:uid="{746AC22D-EAA2-45D4-8B9C-E872FBFBFE49}"/>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26872EF6-686F-4743-B7AA-E42730D290C5}"/>
    <cellStyle name="40% - Accent4 6 2 3" xfId="11762" xr:uid="{F61CB492-07D3-4CFC-98AC-D7E5396C01EC}"/>
    <cellStyle name="40% - Accent4 6 3" xfId="5406" xr:uid="{00000000-0005-0000-0000-000035060000}"/>
    <cellStyle name="40% - Accent4 6 3 2" xfId="13835" xr:uid="{D33CCE31-FA1B-436A-87A8-9E21294DAC94}"/>
    <cellStyle name="40% - Accent4 6 4" xfId="9617" xr:uid="{C7952E7E-6B19-4852-A8A6-025E7890B2EF}"/>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11A6501F-1D43-4E91-B4D3-BFC5ED57A646}"/>
    <cellStyle name="40% - Accent4 7 2 3" xfId="12175" xr:uid="{1229BD5C-DAC5-4332-9AE4-84714B778F99}"/>
    <cellStyle name="40% - Accent4 7 3" xfId="5819" xr:uid="{00000000-0005-0000-0000-000039060000}"/>
    <cellStyle name="40% - Accent4 7 3 2" xfId="14248" xr:uid="{30642517-3906-4740-A7FD-3BFC35BB427A}"/>
    <cellStyle name="40% - Accent4 7 4" xfId="10030" xr:uid="{03CAC075-61E8-4256-B887-0C4374DDC536}"/>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540BE35E-51D7-4873-96C0-BDD7D820C936}"/>
    <cellStyle name="40% - Accent4 8 2 3" xfId="12588" xr:uid="{C4E7CF36-4B95-4C56-A3B1-2A10D9019B4F}"/>
    <cellStyle name="40% - Accent4 8 3" xfId="6232" xr:uid="{00000000-0005-0000-0000-00003D060000}"/>
    <cellStyle name="40% - Accent4 8 3 2" xfId="14661" xr:uid="{4D8FF088-B9C9-4C2E-B36F-B46BC009B3F1}"/>
    <cellStyle name="40% - Accent4 8 4" xfId="10443" xr:uid="{6C2F0065-28C5-4C0C-BB4E-748CBC7B0102}"/>
    <cellStyle name="40% - Accent4 9" xfId="2337" xr:uid="{00000000-0005-0000-0000-00003E060000}"/>
    <cellStyle name="40% - Accent4 9 2" xfId="6645" xr:uid="{00000000-0005-0000-0000-00003F060000}"/>
    <cellStyle name="40% - Accent4 9 2 2" xfId="15074" xr:uid="{921E1B32-E277-4A04-B64B-0BA2D93EC3E5}"/>
    <cellStyle name="40% - Accent4 9 3" xfId="10856" xr:uid="{AA28A6FE-4B68-4AE7-A17B-CA0E12D0E3A4}"/>
    <cellStyle name="40% - Accent5" xfId="81" builtinId="47" customBuiltin="1"/>
    <cellStyle name="40% - Accent5 10" xfId="4587" xr:uid="{00000000-0005-0000-0000-000041060000}"/>
    <cellStyle name="40% - Accent5 10 2" xfId="13016" xr:uid="{AA81C6B3-5038-485B-BE32-997A8EB9BECF}"/>
    <cellStyle name="40% - Accent5 11" xfId="8798" xr:uid="{78171DC8-EDD6-444B-8E81-445A4C7AF794}"/>
    <cellStyle name="40% - Accent5 2" xfId="82" xr:uid="{00000000-0005-0000-0000-000042060000}"/>
    <cellStyle name="40% - Accent5 2 10" xfId="8799" xr:uid="{174049F0-29BD-41A2-A524-CB313159699F}"/>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0558F977-0235-441E-8635-F1C9DBC7E5FC}"/>
    <cellStyle name="40% - Accent5 2 2 2 2 2 3" xfId="11360" xr:uid="{8B092184-56AB-4DD0-8DBC-D23ABDEAF41A}"/>
    <cellStyle name="40% - Accent5 2 2 2 2 3" xfId="5004" xr:uid="{00000000-0005-0000-0000-000048060000}"/>
    <cellStyle name="40% - Accent5 2 2 2 2 3 2" xfId="13433" xr:uid="{E97A2F12-4238-4122-9F72-CA2279421EDB}"/>
    <cellStyle name="40% - Accent5 2 2 2 2 4" xfId="9215" xr:uid="{13EEA297-0566-425C-A444-3423F0322C6B}"/>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A00254EE-F5BA-46D5-A6E8-E00D84332C47}"/>
    <cellStyle name="40% - Accent5 2 2 2 3 2 3" xfId="11773" xr:uid="{FE1F1228-7C3E-49A6-977E-031B20677583}"/>
    <cellStyle name="40% - Accent5 2 2 2 3 3" xfId="5417" xr:uid="{00000000-0005-0000-0000-00004C060000}"/>
    <cellStyle name="40% - Accent5 2 2 2 3 3 2" xfId="13846" xr:uid="{1EB1FD17-A2FE-4A60-9A99-D867D928DCB1}"/>
    <cellStyle name="40% - Accent5 2 2 2 3 4" xfId="9628" xr:uid="{AD0FFDCB-5825-4DDE-A40D-5368459A6926}"/>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4B0FFA4A-05D9-4603-A7E4-ABAF018F2D92}"/>
    <cellStyle name="40% - Accent5 2 2 2 4 2 3" xfId="12186" xr:uid="{28CF7704-6FE4-4950-9E0E-6174F52997FB}"/>
    <cellStyle name="40% - Accent5 2 2 2 4 3" xfId="5830" xr:uid="{00000000-0005-0000-0000-000050060000}"/>
    <cellStyle name="40% - Accent5 2 2 2 4 3 2" xfId="14259" xr:uid="{2D6FEE86-60B3-4D96-B8D9-1D253FC1BD6B}"/>
    <cellStyle name="40% - Accent5 2 2 2 4 4" xfId="10041" xr:uid="{28FA6C86-582B-4256-AFB0-C7F441DFEA9A}"/>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9B105850-0D76-4B15-A63E-356F10C6F63E}"/>
    <cellStyle name="40% - Accent5 2 2 2 5 2 3" xfId="12599" xr:uid="{84D1428A-3A5F-493E-8A46-399D586EB0CA}"/>
    <cellStyle name="40% - Accent5 2 2 2 5 3" xfId="6243" xr:uid="{00000000-0005-0000-0000-000054060000}"/>
    <cellStyle name="40% - Accent5 2 2 2 5 3 2" xfId="14672" xr:uid="{B55F344F-50E1-4279-B81C-5BEC9797ECF8}"/>
    <cellStyle name="40% - Accent5 2 2 2 5 4" xfId="10454" xr:uid="{F5AE2D87-6908-4F39-B8BC-DED5F01CC861}"/>
    <cellStyle name="40% - Accent5 2 2 2 6" xfId="2348" xr:uid="{00000000-0005-0000-0000-000055060000}"/>
    <cellStyle name="40% - Accent5 2 2 2 6 2" xfId="6656" xr:uid="{00000000-0005-0000-0000-000056060000}"/>
    <cellStyle name="40% - Accent5 2 2 2 6 2 2" xfId="15085" xr:uid="{026E3D26-AFEC-424F-9F14-BA5F5D22DA3E}"/>
    <cellStyle name="40% - Accent5 2 2 2 6 3" xfId="10867" xr:uid="{1CB1AAAC-8F63-442E-993C-EA0331550D23}"/>
    <cellStyle name="40% - Accent5 2 2 2 7" xfId="4590" xr:uid="{00000000-0005-0000-0000-000057060000}"/>
    <cellStyle name="40% - Accent5 2 2 2 7 2" xfId="13019" xr:uid="{2487EF05-E36F-4F2B-95C3-863BE01E4FF5}"/>
    <cellStyle name="40% - Accent5 2 2 2 8" xfId="8801" xr:uid="{B5AF496E-BDB6-48C9-952B-C82E5FD8D691}"/>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D051254B-1DFE-4C0B-A591-5823A852008D}"/>
    <cellStyle name="40% - Accent5 2 2 3 2 3" xfId="11359" xr:uid="{128D7C9A-7D39-4E27-A252-F2309303A4D2}"/>
    <cellStyle name="40% - Accent5 2 2 3 3" xfId="5003" xr:uid="{00000000-0005-0000-0000-00005B060000}"/>
    <cellStyle name="40% - Accent5 2 2 3 3 2" xfId="13432" xr:uid="{BBFD754D-118C-4D65-9C88-0F0343544798}"/>
    <cellStyle name="40% - Accent5 2 2 3 4" xfId="9214" xr:uid="{EF055627-157F-45F5-AA1B-21C5D9AEB515}"/>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5AC4F5E0-940C-4E4F-8484-AEBAB77E0D98}"/>
    <cellStyle name="40% - Accent5 2 2 4 2 3" xfId="11772" xr:uid="{C1A2EAED-170B-4707-847F-2EACB275CBE7}"/>
    <cellStyle name="40% - Accent5 2 2 4 3" xfId="5416" xr:uid="{00000000-0005-0000-0000-00005F060000}"/>
    <cellStyle name="40% - Accent5 2 2 4 3 2" xfId="13845" xr:uid="{3A5EC2D8-3846-4434-860E-E43794234782}"/>
    <cellStyle name="40% - Accent5 2 2 4 4" xfId="9627" xr:uid="{165F4F9B-6CD8-4933-854E-F99751E3EE8D}"/>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B9FDE5F1-D1B6-4A54-8EFB-790B09DFB088}"/>
    <cellStyle name="40% - Accent5 2 2 5 2 3" xfId="12185" xr:uid="{AB54EAAC-A363-423E-BEDC-196D3E810E40}"/>
    <cellStyle name="40% - Accent5 2 2 5 3" xfId="5829" xr:uid="{00000000-0005-0000-0000-000063060000}"/>
    <cellStyle name="40% - Accent5 2 2 5 3 2" xfId="14258" xr:uid="{DE864F1B-CA65-4397-9550-27C3D694C7F3}"/>
    <cellStyle name="40% - Accent5 2 2 5 4" xfId="10040" xr:uid="{CB2F4D8E-B4ED-45A9-9756-87C9932DBCDD}"/>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81F4A37E-7511-476B-92B3-FB3E89EB9D21}"/>
    <cellStyle name="40% - Accent5 2 2 6 2 3" xfId="12598" xr:uid="{5047F274-7006-49A8-8AEF-36F182FC4C7F}"/>
    <cellStyle name="40% - Accent5 2 2 6 3" xfId="6242" xr:uid="{00000000-0005-0000-0000-000067060000}"/>
    <cellStyle name="40% - Accent5 2 2 6 3 2" xfId="14671" xr:uid="{4580D13A-38B3-45F9-9F36-7B2431E964CB}"/>
    <cellStyle name="40% - Accent5 2 2 6 4" xfId="10453" xr:uid="{89591FB0-573B-4565-971E-AE2E206470F9}"/>
    <cellStyle name="40% - Accent5 2 2 7" xfId="2347" xr:uid="{00000000-0005-0000-0000-000068060000}"/>
    <cellStyle name="40% - Accent5 2 2 7 2" xfId="6655" xr:uid="{00000000-0005-0000-0000-000069060000}"/>
    <cellStyle name="40% - Accent5 2 2 7 2 2" xfId="15084" xr:uid="{A0E80FAD-7BCB-4458-9391-8C66F9154807}"/>
    <cellStyle name="40% - Accent5 2 2 7 3" xfId="10866" xr:uid="{0ECFE536-D249-40D9-AA21-4CAE712E2D12}"/>
    <cellStyle name="40% - Accent5 2 2 8" xfId="4589" xr:uid="{00000000-0005-0000-0000-00006A060000}"/>
    <cellStyle name="40% - Accent5 2 2 8 2" xfId="13018" xr:uid="{F43CEA80-BD9C-439F-8644-6F579DE3F76C}"/>
    <cellStyle name="40% - Accent5 2 2 9" xfId="8800" xr:uid="{8F68CEED-1B04-4285-8F7F-3689D15A081B}"/>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D9C6F7BB-DD7E-4488-997B-7A5BE44695D7}"/>
    <cellStyle name="40% - Accent5 2 3 2 2 3" xfId="11361" xr:uid="{98298414-3136-413C-9252-C932DC4432E3}"/>
    <cellStyle name="40% - Accent5 2 3 2 3" xfId="5005" xr:uid="{00000000-0005-0000-0000-00006F060000}"/>
    <cellStyle name="40% - Accent5 2 3 2 3 2" xfId="13434" xr:uid="{065DE53A-0833-4110-872B-24E56D3BE39B}"/>
    <cellStyle name="40% - Accent5 2 3 2 4" xfId="9216" xr:uid="{746E5B16-6131-4423-8BEB-08D3BD5D49F0}"/>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E416994A-71BA-412A-BC73-2289D4F9A760}"/>
    <cellStyle name="40% - Accent5 2 3 3 2 3" xfId="11774" xr:uid="{280F2CC1-5529-488D-88B0-048867D01F6D}"/>
    <cellStyle name="40% - Accent5 2 3 3 3" xfId="5418" xr:uid="{00000000-0005-0000-0000-000073060000}"/>
    <cellStyle name="40% - Accent5 2 3 3 3 2" xfId="13847" xr:uid="{ED7742A5-C6FE-47A3-B49E-E84FDF09D4A7}"/>
    <cellStyle name="40% - Accent5 2 3 3 4" xfId="9629" xr:uid="{84B0F0B7-3512-4E8C-A3CE-68DA3BFB9863}"/>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2657E607-923A-4AC0-B597-E5E98FF81911}"/>
    <cellStyle name="40% - Accent5 2 3 4 2 3" xfId="12187" xr:uid="{2857A07C-941E-467E-B9E6-DB38D87206AC}"/>
    <cellStyle name="40% - Accent5 2 3 4 3" xfId="5831" xr:uid="{00000000-0005-0000-0000-000077060000}"/>
    <cellStyle name="40% - Accent5 2 3 4 3 2" xfId="14260" xr:uid="{45ABADC2-6877-499E-A7D7-D349B3344791}"/>
    <cellStyle name="40% - Accent5 2 3 4 4" xfId="10042" xr:uid="{8CB21F5C-6FA2-4243-B134-86DC72D5E48E}"/>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3EB11D75-C9BC-4BF5-AD58-37B8EAD2AC42}"/>
    <cellStyle name="40% - Accent5 2 3 5 2 3" xfId="12600" xr:uid="{0346A911-5910-42BE-80D9-845CBA8E94C7}"/>
    <cellStyle name="40% - Accent5 2 3 5 3" xfId="6244" xr:uid="{00000000-0005-0000-0000-00007B060000}"/>
    <cellStyle name="40% - Accent5 2 3 5 3 2" xfId="14673" xr:uid="{876B63EC-3CFD-412E-A9E2-E9B73DE37692}"/>
    <cellStyle name="40% - Accent5 2 3 5 4" xfId="10455" xr:uid="{0AD704A6-2DBB-4F24-A1C4-6A5834B36B39}"/>
    <cellStyle name="40% - Accent5 2 3 6" xfId="2349" xr:uid="{00000000-0005-0000-0000-00007C060000}"/>
    <cellStyle name="40% - Accent5 2 3 6 2" xfId="6657" xr:uid="{00000000-0005-0000-0000-00007D060000}"/>
    <cellStyle name="40% - Accent5 2 3 6 2 2" xfId="15086" xr:uid="{A071622F-655D-4577-A3D7-8F468E5C371C}"/>
    <cellStyle name="40% - Accent5 2 3 6 3" xfId="10868" xr:uid="{7ED95740-6B3F-4182-9976-50AE742CAEA3}"/>
    <cellStyle name="40% - Accent5 2 3 7" xfId="4591" xr:uid="{00000000-0005-0000-0000-00007E060000}"/>
    <cellStyle name="40% - Accent5 2 3 7 2" xfId="13020" xr:uid="{8E28DB8C-048B-4869-A6E6-C1C616CE4D46}"/>
    <cellStyle name="40% - Accent5 2 3 8" xfId="8802" xr:uid="{4EC1A3F8-35F3-4F03-A635-4C312BEEE844}"/>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CCF39AB1-F54A-4CFF-927B-0778F2548726}"/>
    <cellStyle name="40% - Accent5 2 4 2 3" xfId="11358" xr:uid="{F9BB7013-89AE-433F-9FC1-EECC5485DC6F}"/>
    <cellStyle name="40% - Accent5 2 4 3" xfId="5002" xr:uid="{00000000-0005-0000-0000-000082060000}"/>
    <cellStyle name="40% - Accent5 2 4 3 2" xfId="13431" xr:uid="{902176C7-1C0F-4D13-8B7A-959DB11AF85E}"/>
    <cellStyle name="40% - Accent5 2 4 4" xfId="9213" xr:uid="{1DD9038F-ECBF-4167-8428-C19F04EE4976}"/>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EF6A4900-D4B0-4C35-82E1-546222981CFD}"/>
    <cellStyle name="40% - Accent5 2 5 2 3" xfId="11771" xr:uid="{2C725441-81F0-4428-BE6C-3D4888FE3935}"/>
    <cellStyle name="40% - Accent5 2 5 3" xfId="5415" xr:uid="{00000000-0005-0000-0000-000086060000}"/>
    <cellStyle name="40% - Accent5 2 5 3 2" xfId="13844" xr:uid="{A36090ED-C024-4BAD-877E-524AC7ACA2B4}"/>
    <cellStyle name="40% - Accent5 2 5 4" xfId="9626" xr:uid="{BFF1412E-63BC-4F3D-B97D-B936A08AF039}"/>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DFD378DB-8F65-4F46-B5C5-B511C6E9AA9E}"/>
    <cellStyle name="40% - Accent5 2 6 2 3" xfId="12184" xr:uid="{51EAF0B7-55C5-4522-B046-D12F6EE0670C}"/>
    <cellStyle name="40% - Accent5 2 6 3" xfId="5828" xr:uid="{00000000-0005-0000-0000-00008A060000}"/>
    <cellStyle name="40% - Accent5 2 6 3 2" xfId="14257" xr:uid="{E6E91FD4-00E7-4189-BA62-EB0F5209C4FD}"/>
    <cellStyle name="40% - Accent5 2 6 4" xfId="10039" xr:uid="{B3B96048-638D-4A3E-849A-4428DCA91D12}"/>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6A072E3E-4EEB-4D9A-919A-53C5DB0C86F9}"/>
    <cellStyle name="40% - Accent5 2 7 2 3" xfId="12597" xr:uid="{82471CC1-1414-43D5-8742-0D3E8FA60F59}"/>
    <cellStyle name="40% - Accent5 2 7 3" xfId="6241" xr:uid="{00000000-0005-0000-0000-00008E060000}"/>
    <cellStyle name="40% - Accent5 2 7 3 2" xfId="14670" xr:uid="{924934AA-94AD-464C-93F0-BC7AE0D7557E}"/>
    <cellStyle name="40% - Accent5 2 7 4" xfId="10452" xr:uid="{D78F1034-60CC-4EDE-AB44-1A1FD7FB9F3B}"/>
    <cellStyle name="40% - Accent5 2 8" xfId="2346" xr:uid="{00000000-0005-0000-0000-00008F060000}"/>
    <cellStyle name="40% - Accent5 2 8 2" xfId="6654" xr:uid="{00000000-0005-0000-0000-000090060000}"/>
    <cellStyle name="40% - Accent5 2 8 2 2" xfId="15083" xr:uid="{8E89A3BF-FB4A-4A3B-BA36-5F437BAACEE9}"/>
    <cellStyle name="40% - Accent5 2 8 3" xfId="10865" xr:uid="{296BA9EE-3DB9-46B8-A263-5E24B97A84CD}"/>
    <cellStyle name="40% - Accent5 2 9" xfId="4588" xr:uid="{00000000-0005-0000-0000-000091060000}"/>
    <cellStyle name="40% - Accent5 2 9 2" xfId="13017" xr:uid="{64357E82-6D61-46E0-A596-37C607D7FE23}"/>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3FC5CC84-30D6-4E43-A75C-3C8AEF17705F}"/>
    <cellStyle name="40% - Accent5 3 2 2 2 3" xfId="11363" xr:uid="{2246B9A1-C9A1-4544-BC44-0E0494906EDF}"/>
    <cellStyle name="40% - Accent5 3 2 2 3" xfId="5007" xr:uid="{00000000-0005-0000-0000-000097060000}"/>
    <cellStyle name="40% - Accent5 3 2 2 3 2" xfId="13436" xr:uid="{31961821-C56B-4B80-8FBF-BC09F101DE80}"/>
    <cellStyle name="40% - Accent5 3 2 2 4" xfId="9218" xr:uid="{5495EABA-5787-418F-9741-62BB7B568669}"/>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3B72822D-B68C-4B01-A124-16A8D5612EBA}"/>
    <cellStyle name="40% - Accent5 3 2 3 2 3" xfId="11776" xr:uid="{CDCE7378-0EEE-4A11-AFF4-E29CE0E0C91E}"/>
    <cellStyle name="40% - Accent5 3 2 3 3" xfId="5420" xr:uid="{00000000-0005-0000-0000-00009B060000}"/>
    <cellStyle name="40% - Accent5 3 2 3 3 2" xfId="13849" xr:uid="{F46168A5-B06D-49A3-979F-19CEEC7AD921}"/>
    <cellStyle name="40% - Accent5 3 2 3 4" xfId="9631" xr:uid="{5968EC6B-83D7-48F5-A705-171604E5C4D1}"/>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830650F0-2FFA-465E-B8B7-CED0639E8886}"/>
    <cellStyle name="40% - Accent5 3 2 4 2 3" xfId="12189" xr:uid="{39B3CAEB-28E5-4020-9922-8CFE5DEE4796}"/>
    <cellStyle name="40% - Accent5 3 2 4 3" xfId="5833" xr:uid="{00000000-0005-0000-0000-00009F060000}"/>
    <cellStyle name="40% - Accent5 3 2 4 3 2" xfId="14262" xr:uid="{E6BD25F4-E2F0-4549-B075-47389653818F}"/>
    <cellStyle name="40% - Accent5 3 2 4 4" xfId="10044" xr:uid="{D6C7F0CE-ADD4-4F0C-B110-16DA0956E51E}"/>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7387D760-326E-48A5-8882-BEAFE6151A40}"/>
    <cellStyle name="40% - Accent5 3 2 5 2 3" xfId="12602" xr:uid="{5AB3E580-CEDB-44F4-B4D4-258861B757E0}"/>
    <cellStyle name="40% - Accent5 3 2 5 3" xfId="6246" xr:uid="{00000000-0005-0000-0000-0000A3060000}"/>
    <cellStyle name="40% - Accent5 3 2 5 3 2" xfId="14675" xr:uid="{49897EEB-E9B3-4CF5-B669-9B484F83D151}"/>
    <cellStyle name="40% - Accent5 3 2 5 4" xfId="10457" xr:uid="{1B0C22CC-DBFF-4A56-9E43-7954317D8EA0}"/>
    <cellStyle name="40% - Accent5 3 2 6" xfId="2351" xr:uid="{00000000-0005-0000-0000-0000A4060000}"/>
    <cellStyle name="40% - Accent5 3 2 6 2" xfId="6659" xr:uid="{00000000-0005-0000-0000-0000A5060000}"/>
    <cellStyle name="40% - Accent5 3 2 6 2 2" xfId="15088" xr:uid="{BE5B621A-DE7A-418F-AF44-8639A3F475AF}"/>
    <cellStyle name="40% - Accent5 3 2 6 3" xfId="10870" xr:uid="{1144DC8F-D9AA-42A0-A329-347CBB1F9B96}"/>
    <cellStyle name="40% - Accent5 3 2 7" xfId="4593" xr:uid="{00000000-0005-0000-0000-0000A6060000}"/>
    <cellStyle name="40% - Accent5 3 2 7 2" xfId="13022" xr:uid="{19A3DB64-6038-4A56-BA2F-9C81B8D41A90}"/>
    <cellStyle name="40% - Accent5 3 2 8" xfId="8804" xr:uid="{2F5A1ABF-AAE9-4E02-84A6-5BC2DB8A7C63}"/>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42385EFA-1F93-49FB-8EF5-0973164130C4}"/>
    <cellStyle name="40% - Accent5 3 3 2 3" xfId="11362" xr:uid="{A4ABE557-07E9-4AC7-8C9F-8A4B9B6263EB}"/>
    <cellStyle name="40% - Accent5 3 3 3" xfId="5006" xr:uid="{00000000-0005-0000-0000-0000AA060000}"/>
    <cellStyle name="40% - Accent5 3 3 3 2" xfId="13435" xr:uid="{30D3451F-E69F-4AFA-AEDE-08D3D4E37DE4}"/>
    <cellStyle name="40% - Accent5 3 3 4" xfId="9217" xr:uid="{95A49277-A76F-4642-8CE2-3BAD3288059E}"/>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5A8CE2AC-EFB2-4529-8347-7D0B5CEC4782}"/>
    <cellStyle name="40% - Accent5 3 4 2 3" xfId="11775" xr:uid="{6A49F0B6-D989-4DB1-A825-D550492CCC07}"/>
    <cellStyle name="40% - Accent5 3 4 3" xfId="5419" xr:uid="{00000000-0005-0000-0000-0000AE060000}"/>
    <cellStyle name="40% - Accent5 3 4 3 2" xfId="13848" xr:uid="{C5BC7E10-F5DC-4CDC-8B46-0771973252A0}"/>
    <cellStyle name="40% - Accent5 3 4 4" xfId="9630" xr:uid="{77DE5DF4-310E-479C-93CE-B188CCC38CBA}"/>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0CF85975-BBAD-436A-B965-FE71A0B33C4D}"/>
    <cellStyle name="40% - Accent5 3 5 2 3" xfId="12188" xr:uid="{91B78E46-1FFF-4719-9066-D37FFBA99D73}"/>
    <cellStyle name="40% - Accent5 3 5 3" xfId="5832" xr:uid="{00000000-0005-0000-0000-0000B2060000}"/>
    <cellStyle name="40% - Accent5 3 5 3 2" xfId="14261" xr:uid="{73A412B3-68EC-4516-93DD-74EE0B8492F1}"/>
    <cellStyle name="40% - Accent5 3 5 4" xfId="10043" xr:uid="{3CDACB36-78EF-4D2C-B0D7-A0BA6769ADEE}"/>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0294D855-F57B-4936-8106-638ACF446AA6}"/>
    <cellStyle name="40% - Accent5 3 6 2 3" xfId="12601" xr:uid="{16A02253-B6B6-4B6E-BDC9-9EB9A4E469CB}"/>
    <cellStyle name="40% - Accent5 3 6 3" xfId="6245" xr:uid="{00000000-0005-0000-0000-0000B6060000}"/>
    <cellStyle name="40% - Accent5 3 6 3 2" xfId="14674" xr:uid="{B45D454D-A147-4EDE-B601-61CCCDC896A5}"/>
    <cellStyle name="40% - Accent5 3 6 4" xfId="10456" xr:uid="{22459D72-EBA5-479E-BC6E-513DCF983318}"/>
    <cellStyle name="40% - Accent5 3 7" xfId="2350" xr:uid="{00000000-0005-0000-0000-0000B7060000}"/>
    <cellStyle name="40% - Accent5 3 7 2" xfId="6658" xr:uid="{00000000-0005-0000-0000-0000B8060000}"/>
    <cellStyle name="40% - Accent5 3 7 2 2" xfId="15087" xr:uid="{CF979525-81A7-435E-80C5-3882D245792E}"/>
    <cellStyle name="40% - Accent5 3 7 3" xfId="10869" xr:uid="{4C3CF12A-1909-4731-88BC-0429A1031D2C}"/>
    <cellStyle name="40% - Accent5 3 8" xfId="4592" xr:uid="{00000000-0005-0000-0000-0000B9060000}"/>
    <cellStyle name="40% - Accent5 3 8 2" xfId="13021" xr:uid="{56BBF8B1-15E9-4822-B5EE-5D437FB3D3AA}"/>
    <cellStyle name="40% - Accent5 3 9" xfId="8803" xr:uid="{02005499-079E-4049-8743-A71AD6CE2A34}"/>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5A327A76-9EE8-4ECA-BA7A-53A5583B5EB9}"/>
    <cellStyle name="40% - Accent5 4 2 2 3" xfId="11364" xr:uid="{E12ED3D0-C11E-4713-9C40-8746FCE6EC31}"/>
    <cellStyle name="40% - Accent5 4 2 3" xfId="5008" xr:uid="{00000000-0005-0000-0000-0000BE060000}"/>
    <cellStyle name="40% - Accent5 4 2 3 2" xfId="13437" xr:uid="{5740D117-1FFF-4208-93B0-CB05D3C66924}"/>
    <cellStyle name="40% - Accent5 4 2 4" xfId="9219" xr:uid="{C16338C3-BE4A-4112-897C-BF1116AB1568}"/>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E7263A10-17EC-40D4-9B61-3DFE52BF6544}"/>
    <cellStyle name="40% - Accent5 4 3 2 3" xfId="11777" xr:uid="{16A700AD-D539-497C-8E3B-CEC77F825C5D}"/>
    <cellStyle name="40% - Accent5 4 3 3" xfId="5421" xr:uid="{00000000-0005-0000-0000-0000C2060000}"/>
    <cellStyle name="40% - Accent5 4 3 3 2" xfId="13850" xr:uid="{AF664A27-0055-4982-AA52-4FB2941ACC23}"/>
    <cellStyle name="40% - Accent5 4 3 4" xfId="9632" xr:uid="{B051A6B1-A4FD-438C-A38B-5D8A3D210044}"/>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FDB1A491-4C38-40DF-9CA5-7775D0BBD0EF}"/>
    <cellStyle name="40% - Accent5 4 4 2 3" xfId="12190" xr:uid="{EB4E386E-C220-4C5C-8DF8-539B8152306B}"/>
    <cellStyle name="40% - Accent5 4 4 3" xfId="5834" xr:uid="{00000000-0005-0000-0000-0000C6060000}"/>
    <cellStyle name="40% - Accent5 4 4 3 2" xfId="14263" xr:uid="{9E581AF0-7737-412E-A89B-05B9785EB888}"/>
    <cellStyle name="40% - Accent5 4 4 4" xfId="10045" xr:uid="{97BB7881-CBF0-423E-A5D4-B077319FC3FC}"/>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1350AC44-3DAF-46EC-ADAF-E79C156BD634}"/>
    <cellStyle name="40% - Accent5 4 5 2 3" xfId="12603" xr:uid="{5D33F265-3017-41B2-9201-C7EDCC6ED8AD}"/>
    <cellStyle name="40% - Accent5 4 5 3" xfId="6247" xr:uid="{00000000-0005-0000-0000-0000CA060000}"/>
    <cellStyle name="40% - Accent5 4 5 3 2" xfId="14676" xr:uid="{945210BC-56FE-4212-9AFC-53D3AF5E5E8F}"/>
    <cellStyle name="40% - Accent5 4 5 4" xfId="10458" xr:uid="{2447E366-0FC8-439D-A8BB-5729FC002139}"/>
    <cellStyle name="40% - Accent5 4 6" xfId="2352" xr:uid="{00000000-0005-0000-0000-0000CB060000}"/>
    <cellStyle name="40% - Accent5 4 6 2" xfId="6660" xr:uid="{00000000-0005-0000-0000-0000CC060000}"/>
    <cellStyle name="40% - Accent5 4 6 2 2" xfId="15089" xr:uid="{7C2F2120-E5BC-412D-9BFB-C82AB5320C4E}"/>
    <cellStyle name="40% - Accent5 4 6 3" xfId="10871" xr:uid="{D6CEA79B-0D55-4677-8301-7AF977ADCA1B}"/>
    <cellStyle name="40% - Accent5 4 7" xfId="4594" xr:uid="{00000000-0005-0000-0000-0000CD060000}"/>
    <cellStyle name="40% - Accent5 4 7 2" xfId="13023" xr:uid="{CA93E1E4-7E46-471A-8375-E0CAEB6960AA}"/>
    <cellStyle name="40% - Accent5 4 8" xfId="8805" xr:uid="{D1B2F791-61CF-43BC-A223-D390DCB249C9}"/>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7F626262-9817-43BF-9112-9D4E27EFE3D8}"/>
    <cellStyle name="40% - Accent5 5 2 3" xfId="11357" xr:uid="{01773ADA-195A-46BC-969F-1E954AD03E0F}"/>
    <cellStyle name="40% - Accent5 5 3" xfId="5001" xr:uid="{00000000-0005-0000-0000-0000D1060000}"/>
    <cellStyle name="40% - Accent5 5 3 2" xfId="13430" xr:uid="{B91914BA-90FF-4730-A100-0DF41C32FD1D}"/>
    <cellStyle name="40% - Accent5 5 4" xfId="9212" xr:uid="{16A9D9E4-C565-465D-86BE-2D16BE4F415E}"/>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92E8E366-AA08-412E-9946-98315E11FB40}"/>
    <cellStyle name="40% - Accent5 6 2 3" xfId="11770" xr:uid="{7ED282AF-E6BD-487D-BC0C-2FE5EA68C5FC}"/>
    <cellStyle name="40% - Accent5 6 3" xfId="5414" xr:uid="{00000000-0005-0000-0000-0000D5060000}"/>
    <cellStyle name="40% - Accent5 6 3 2" xfId="13843" xr:uid="{E2AF8C8B-23AD-4D12-B3DC-3041D7EFD37C}"/>
    <cellStyle name="40% - Accent5 6 4" xfId="9625" xr:uid="{48EDE393-51B7-47A7-9E52-3DA0BEA9D211}"/>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5B8A3D4B-71FC-49CA-82EF-936610D5338C}"/>
    <cellStyle name="40% - Accent5 7 2 3" xfId="12183" xr:uid="{239E21B7-D017-4ABE-8EC2-33FA9329FD79}"/>
    <cellStyle name="40% - Accent5 7 3" xfId="5827" xr:uid="{00000000-0005-0000-0000-0000D9060000}"/>
    <cellStyle name="40% - Accent5 7 3 2" xfId="14256" xr:uid="{D3603F64-6FD8-4C71-8319-8C51864E199A}"/>
    <cellStyle name="40% - Accent5 7 4" xfId="10038" xr:uid="{3C6A2A86-A424-431F-8B92-4AD9888CB483}"/>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ECD84583-F0B2-4EBE-AC00-EF419CE3645B}"/>
    <cellStyle name="40% - Accent5 8 2 3" xfId="12596" xr:uid="{5F10018C-EFC9-418B-AB96-70190B6DEDE0}"/>
    <cellStyle name="40% - Accent5 8 3" xfId="6240" xr:uid="{00000000-0005-0000-0000-0000DD060000}"/>
    <cellStyle name="40% - Accent5 8 3 2" xfId="14669" xr:uid="{3C1B4384-86E5-45E5-9356-5CB454D3B629}"/>
    <cellStyle name="40% - Accent5 8 4" xfId="10451" xr:uid="{0FB6694A-2C33-4A00-A690-A272E5E0B217}"/>
    <cellStyle name="40% - Accent5 9" xfId="2345" xr:uid="{00000000-0005-0000-0000-0000DE060000}"/>
    <cellStyle name="40% - Accent5 9 2" xfId="6653" xr:uid="{00000000-0005-0000-0000-0000DF060000}"/>
    <cellStyle name="40% - Accent5 9 2 2" xfId="15082" xr:uid="{0506C5AF-EF12-4B34-81CA-7ACF7B95A3E0}"/>
    <cellStyle name="40% - Accent5 9 3" xfId="10864" xr:uid="{3E9659AF-879C-4DAA-82C5-4BAB1C71FB49}"/>
    <cellStyle name="40% - Accent6" xfId="89" builtinId="51" customBuiltin="1"/>
    <cellStyle name="40% - Accent6 10" xfId="4595" xr:uid="{00000000-0005-0000-0000-0000E1060000}"/>
    <cellStyle name="40% - Accent6 10 2" xfId="13024" xr:uid="{BF40D109-2779-4EE4-9429-E350E2D5714E}"/>
    <cellStyle name="40% - Accent6 11" xfId="8806" xr:uid="{B640D228-B9C0-45CF-953C-6677AD43856A}"/>
    <cellStyle name="40% - Accent6 2" xfId="90" xr:uid="{00000000-0005-0000-0000-0000E2060000}"/>
    <cellStyle name="40% - Accent6 2 10" xfId="8807" xr:uid="{E6A738BF-7AB3-4A86-B35C-25FF96DA936C}"/>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CBBA6D29-CE22-4DF4-8CBD-E0DC2427FA3B}"/>
    <cellStyle name="40% - Accent6 2 2 2 2 2 3" xfId="11368" xr:uid="{AAC06999-05A3-408D-A0F6-E2884CB7AE4D}"/>
    <cellStyle name="40% - Accent6 2 2 2 2 3" xfId="5012" xr:uid="{00000000-0005-0000-0000-0000E8060000}"/>
    <cellStyle name="40% - Accent6 2 2 2 2 3 2" xfId="13441" xr:uid="{05A3AA6E-5B86-4191-A7D5-1E2FB0A52ED9}"/>
    <cellStyle name="40% - Accent6 2 2 2 2 4" xfId="9223" xr:uid="{4E9FCFB6-4F56-40D1-BF18-AB74434BF51E}"/>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0097828F-8C1F-43E0-A811-9AFB6479D14E}"/>
    <cellStyle name="40% - Accent6 2 2 2 3 2 3" xfId="11781" xr:uid="{1C19541C-70C4-46FE-A253-611CEB202A7E}"/>
    <cellStyle name="40% - Accent6 2 2 2 3 3" xfId="5425" xr:uid="{00000000-0005-0000-0000-0000EC060000}"/>
    <cellStyle name="40% - Accent6 2 2 2 3 3 2" xfId="13854" xr:uid="{D9305F4F-18BD-4B6A-960A-EBF4294A0AD6}"/>
    <cellStyle name="40% - Accent6 2 2 2 3 4" xfId="9636" xr:uid="{B92BA3B8-7992-4602-B257-1A302E9776EF}"/>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B9A17AC5-9037-4349-969E-CEDF342BEC05}"/>
    <cellStyle name="40% - Accent6 2 2 2 4 2 3" xfId="12194" xr:uid="{A0A01BD7-5E6D-4F63-9C21-9D0E2AFA60DE}"/>
    <cellStyle name="40% - Accent6 2 2 2 4 3" xfId="5838" xr:uid="{00000000-0005-0000-0000-0000F0060000}"/>
    <cellStyle name="40% - Accent6 2 2 2 4 3 2" xfId="14267" xr:uid="{A3D38A44-91EE-4FD7-9559-FEDADADA29FF}"/>
    <cellStyle name="40% - Accent6 2 2 2 4 4" xfId="10049" xr:uid="{E0715BEE-B0B8-4288-92CE-F04BFDD6F2CF}"/>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2E2ECF97-2932-4C29-98DB-BC89C0398DF5}"/>
    <cellStyle name="40% - Accent6 2 2 2 5 2 3" xfId="12607" xr:uid="{700857D9-1113-4BBE-9917-A2CABAB6D2B4}"/>
    <cellStyle name="40% - Accent6 2 2 2 5 3" xfId="6251" xr:uid="{00000000-0005-0000-0000-0000F4060000}"/>
    <cellStyle name="40% - Accent6 2 2 2 5 3 2" xfId="14680" xr:uid="{FFCF2708-C080-466E-91E8-E5C7DD94AA2F}"/>
    <cellStyle name="40% - Accent6 2 2 2 5 4" xfId="10462" xr:uid="{60E8A2D9-4E26-490D-BB7A-386D6DC9E2E7}"/>
    <cellStyle name="40% - Accent6 2 2 2 6" xfId="2356" xr:uid="{00000000-0005-0000-0000-0000F5060000}"/>
    <cellStyle name="40% - Accent6 2 2 2 6 2" xfId="6664" xr:uid="{00000000-0005-0000-0000-0000F6060000}"/>
    <cellStyle name="40% - Accent6 2 2 2 6 2 2" xfId="15093" xr:uid="{67622E9E-31EA-405A-B7AF-293D5ED830E4}"/>
    <cellStyle name="40% - Accent6 2 2 2 6 3" xfId="10875" xr:uid="{31FF2F04-971F-4F83-95AA-4B1EAFA74CA4}"/>
    <cellStyle name="40% - Accent6 2 2 2 7" xfId="4598" xr:uid="{00000000-0005-0000-0000-0000F7060000}"/>
    <cellStyle name="40% - Accent6 2 2 2 7 2" xfId="13027" xr:uid="{9FD160BC-B55B-44D6-867C-5B60B07BD819}"/>
    <cellStyle name="40% - Accent6 2 2 2 8" xfId="8809" xr:uid="{4DA004D1-61C4-4555-A364-F9146E2DEA36}"/>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DF4F973E-B84C-4285-B6D9-4518F11B504C}"/>
    <cellStyle name="40% - Accent6 2 2 3 2 3" xfId="11367" xr:uid="{61467FB3-50F3-4E7E-BF04-E28D9F14A3A1}"/>
    <cellStyle name="40% - Accent6 2 2 3 3" xfId="5011" xr:uid="{00000000-0005-0000-0000-0000FB060000}"/>
    <cellStyle name="40% - Accent6 2 2 3 3 2" xfId="13440" xr:uid="{0942F8AC-7D3F-4F46-B44D-1608EDA69F45}"/>
    <cellStyle name="40% - Accent6 2 2 3 4" xfId="9222" xr:uid="{44F87376-589D-4CFC-B9FB-590ECFED8CFA}"/>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309D9955-C96C-4807-BD4E-8C5BA7E4BDFA}"/>
    <cellStyle name="40% - Accent6 2 2 4 2 3" xfId="11780" xr:uid="{7014C4E1-A2C2-4005-A7C2-352524B3C5B6}"/>
    <cellStyle name="40% - Accent6 2 2 4 3" xfId="5424" xr:uid="{00000000-0005-0000-0000-0000FF060000}"/>
    <cellStyle name="40% - Accent6 2 2 4 3 2" xfId="13853" xr:uid="{F37745F9-B571-44C9-84EF-E4565F8EA31A}"/>
    <cellStyle name="40% - Accent6 2 2 4 4" xfId="9635" xr:uid="{0CB175A9-007D-43BE-ABD8-7D52EB8BE09D}"/>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E7914950-AAE4-4598-806C-F8535BDBE963}"/>
    <cellStyle name="40% - Accent6 2 2 5 2 3" xfId="12193" xr:uid="{939AB3D4-E8FD-453C-AC38-E7600B109551}"/>
    <cellStyle name="40% - Accent6 2 2 5 3" xfId="5837" xr:uid="{00000000-0005-0000-0000-000003070000}"/>
    <cellStyle name="40% - Accent6 2 2 5 3 2" xfId="14266" xr:uid="{82C185B9-7423-4A92-9F25-D60A0182673E}"/>
    <cellStyle name="40% - Accent6 2 2 5 4" xfId="10048" xr:uid="{A7869C5E-589F-4CF5-A80D-DCE601E901AE}"/>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3F44BBC1-373C-4097-A65B-B5CD8DC73A8E}"/>
    <cellStyle name="40% - Accent6 2 2 6 2 3" xfId="12606" xr:uid="{02F06D6B-9230-4859-9822-56AE384E523A}"/>
    <cellStyle name="40% - Accent6 2 2 6 3" xfId="6250" xr:uid="{00000000-0005-0000-0000-000007070000}"/>
    <cellStyle name="40% - Accent6 2 2 6 3 2" xfId="14679" xr:uid="{ED9A8532-9F5A-4527-8057-23779CFB21B2}"/>
    <cellStyle name="40% - Accent6 2 2 6 4" xfId="10461" xr:uid="{AC324654-9E76-40C6-B50C-7DE616E00EA9}"/>
    <cellStyle name="40% - Accent6 2 2 7" xfId="2355" xr:uid="{00000000-0005-0000-0000-000008070000}"/>
    <cellStyle name="40% - Accent6 2 2 7 2" xfId="6663" xr:uid="{00000000-0005-0000-0000-000009070000}"/>
    <cellStyle name="40% - Accent6 2 2 7 2 2" xfId="15092" xr:uid="{FAEBE2C4-8E3B-40CA-8BD8-9844BEA3A0B0}"/>
    <cellStyle name="40% - Accent6 2 2 7 3" xfId="10874" xr:uid="{4B0F5475-5EB1-4D3F-BCFB-5D804FD12852}"/>
    <cellStyle name="40% - Accent6 2 2 8" xfId="4597" xr:uid="{00000000-0005-0000-0000-00000A070000}"/>
    <cellStyle name="40% - Accent6 2 2 8 2" xfId="13026" xr:uid="{B299F9D0-6449-44E4-BA0C-4E3B08A43372}"/>
    <cellStyle name="40% - Accent6 2 2 9" xfId="8808" xr:uid="{5AE6BEFA-7AC3-4DD9-BFAD-99FF9B501A5E}"/>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3D091456-6D40-4DFF-92EB-96D16E697FE9}"/>
    <cellStyle name="40% - Accent6 2 3 2 2 3" xfId="11369" xr:uid="{5FE8CCEF-AF67-42BA-B916-3B33EC758148}"/>
    <cellStyle name="40% - Accent6 2 3 2 3" xfId="5013" xr:uid="{00000000-0005-0000-0000-00000F070000}"/>
    <cellStyle name="40% - Accent6 2 3 2 3 2" xfId="13442" xr:uid="{0F8C4F1F-BBE0-4E98-8B1D-2089C3138C44}"/>
    <cellStyle name="40% - Accent6 2 3 2 4" xfId="9224" xr:uid="{35999732-8637-49FF-8EA1-9E60418CDCF2}"/>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C0FC4749-EC35-4D07-9E6C-E01C66EEB730}"/>
    <cellStyle name="40% - Accent6 2 3 3 2 3" xfId="11782" xr:uid="{98EB2307-A7DF-4435-B33F-4D07531F4A24}"/>
    <cellStyle name="40% - Accent6 2 3 3 3" xfId="5426" xr:uid="{00000000-0005-0000-0000-000013070000}"/>
    <cellStyle name="40% - Accent6 2 3 3 3 2" xfId="13855" xr:uid="{1ECB04D4-2BCE-466E-B3C2-372A24E29705}"/>
    <cellStyle name="40% - Accent6 2 3 3 4" xfId="9637" xr:uid="{A23FF056-2574-413F-8007-F5F6A00B2416}"/>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C93BCA5B-6350-4345-B352-976DE1DB025B}"/>
    <cellStyle name="40% - Accent6 2 3 4 2 3" xfId="12195" xr:uid="{4DFE76A2-30A3-4C6F-82BA-0C11DE9B6668}"/>
    <cellStyle name="40% - Accent6 2 3 4 3" xfId="5839" xr:uid="{00000000-0005-0000-0000-000017070000}"/>
    <cellStyle name="40% - Accent6 2 3 4 3 2" xfId="14268" xr:uid="{DB926D4F-1E01-4CC6-A966-2A984F967346}"/>
    <cellStyle name="40% - Accent6 2 3 4 4" xfId="10050" xr:uid="{CB87F626-3800-40DC-81B4-4236B0DD0F54}"/>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B38D1CBA-BF4D-4425-BBBF-936F82541938}"/>
    <cellStyle name="40% - Accent6 2 3 5 2 3" xfId="12608" xr:uid="{7DE868C2-E1FB-4888-A57B-74F0EC550633}"/>
    <cellStyle name="40% - Accent6 2 3 5 3" xfId="6252" xr:uid="{00000000-0005-0000-0000-00001B070000}"/>
    <cellStyle name="40% - Accent6 2 3 5 3 2" xfId="14681" xr:uid="{56ECC503-5C7E-4926-A005-9E29831986AB}"/>
    <cellStyle name="40% - Accent6 2 3 5 4" xfId="10463" xr:uid="{ECB15462-C7F2-4917-A3F3-4A9E0DBC03FC}"/>
    <cellStyle name="40% - Accent6 2 3 6" xfId="2357" xr:uid="{00000000-0005-0000-0000-00001C070000}"/>
    <cellStyle name="40% - Accent6 2 3 6 2" xfId="6665" xr:uid="{00000000-0005-0000-0000-00001D070000}"/>
    <cellStyle name="40% - Accent6 2 3 6 2 2" xfId="15094" xr:uid="{A406728B-A608-4A4C-8AE4-B4693B07C3E2}"/>
    <cellStyle name="40% - Accent6 2 3 6 3" xfId="10876" xr:uid="{BBA5B638-C139-4911-A3ED-66EBB07267FF}"/>
    <cellStyle name="40% - Accent6 2 3 7" xfId="4599" xr:uid="{00000000-0005-0000-0000-00001E070000}"/>
    <cellStyle name="40% - Accent6 2 3 7 2" xfId="13028" xr:uid="{6176D3F8-B2E6-4510-893E-D23C7C1DFD70}"/>
    <cellStyle name="40% - Accent6 2 3 8" xfId="8810" xr:uid="{6156CB28-EB24-4CB0-A56B-D0DBC63B6A3E}"/>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FE7C4020-01C7-4681-9410-0DD690539A26}"/>
    <cellStyle name="40% - Accent6 2 4 2 3" xfId="11366" xr:uid="{8FD6618B-85C2-4827-B579-18ECA979E2BD}"/>
    <cellStyle name="40% - Accent6 2 4 3" xfId="5010" xr:uid="{00000000-0005-0000-0000-000022070000}"/>
    <cellStyle name="40% - Accent6 2 4 3 2" xfId="13439" xr:uid="{12D88918-3CFB-444F-BF69-38CF88B0C4A4}"/>
    <cellStyle name="40% - Accent6 2 4 4" xfId="9221" xr:uid="{E54463AA-3A52-4998-A612-988593599534}"/>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B1AA094D-CCF7-4884-A31A-7620AFE40035}"/>
    <cellStyle name="40% - Accent6 2 5 2 3" xfId="11779" xr:uid="{C6A1E2C1-A4BF-4353-93D3-7CA9FD23071F}"/>
    <cellStyle name="40% - Accent6 2 5 3" xfId="5423" xr:uid="{00000000-0005-0000-0000-000026070000}"/>
    <cellStyle name="40% - Accent6 2 5 3 2" xfId="13852" xr:uid="{4BA4EEB3-7F0F-4FEB-8462-799D51387EA1}"/>
    <cellStyle name="40% - Accent6 2 5 4" xfId="9634" xr:uid="{27FF9156-FF56-4D34-9402-A9F8DE427E97}"/>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F3ABD12A-510E-4740-9C27-30A3B40C5553}"/>
    <cellStyle name="40% - Accent6 2 6 2 3" xfId="12192" xr:uid="{1A352E40-9FB0-41E0-B296-AD5DDB45C303}"/>
    <cellStyle name="40% - Accent6 2 6 3" xfId="5836" xr:uid="{00000000-0005-0000-0000-00002A070000}"/>
    <cellStyle name="40% - Accent6 2 6 3 2" xfId="14265" xr:uid="{E6A042D1-7188-41E9-BBD6-EB178440BEC0}"/>
    <cellStyle name="40% - Accent6 2 6 4" xfId="10047" xr:uid="{161D98FF-5663-47D4-81EA-DFE1851CE62B}"/>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2A07621A-0D47-4D16-AD38-BDBCC65334E8}"/>
    <cellStyle name="40% - Accent6 2 7 2 3" xfId="12605" xr:uid="{D6772853-0DF4-4F8C-AE84-E4FB7948B70E}"/>
    <cellStyle name="40% - Accent6 2 7 3" xfId="6249" xr:uid="{00000000-0005-0000-0000-00002E070000}"/>
    <cellStyle name="40% - Accent6 2 7 3 2" xfId="14678" xr:uid="{867DAA0C-9943-4A6E-9B7D-626F8FAD41E1}"/>
    <cellStyle name="40% - Accent6 2 7 4" xfId="10460" xr:uid="{2F7D43E5-8A0F-46D0-A0CC-8B798CB76B7E}"/>
    <cellStyle name="40% - Accent6 2 8" xfId="2354" xr:uid="{00000000-0005-0000-0000-00002F070000}"/>
    <cellStyle name="40% - Accent6 2 8 2" xfId="6662" xr:uid="{00000000-0005-0000-0000-000030070000}"/>
    <cellStyle name="40% - Accent6 2 8 2 2" xfId="15091" xr:uid="{C7372657-1D02-49B5-A461-393E38E203E0}"/>
    <cellStyle name="40% - Accent6 2 8 3" xfId="10873" xr:uid="{597AC7EB-30FE-4DE0-A590-D68F4588D2D8}"/>
    <cellStyle name="40% - Accent6 2 9" xfId="4596" xr:uid="{00000000-0005-0000-0000-000031070000}"/>
    <cellStyle name="40% - Accent6 2 9 2" xfId="13025" xr:uid="{277520C9-931B-4ECE-B7E9-B6016240B4FD}"/>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C7EF387B-C143-44ED-B3CA-EB423EA2E9A4}"/>
    <cellStyle name="40% - Accent6 3 2 2 2 3" xfId="11371" xr:uid="{07A048A7-B719-4204-9F7A-EC9C789FFBE5}"/>
    <cellStyle name="40% - Accent6 3 2 2 3" xfId="5015" xr:uid="{00000000-0005-0000-0000-000037070000}"/>
    <cellStyle name="40% - Accent6 3 2 2 3 2" xfId="13444" xr:uid="{42D7CD5F-9CCC-4043-9011-318B073CB307}"/>
    <cellStyle name="40% - Accent6 3 2 2 4" xfId="9226" xr:uid="{A287C7EF-8520-4A19-89F5-148ABD919FF6}"/>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FEEF7DAB-CB66-4A76-90CA-9B83A33588C8}"/>
    <cellStyle name="40% - Accent6 3 2 3 2 3" xfId="11784" xr:uid="{AA477A9D-46DA-4277-87E5-B1F4E7DD63B3}"/>
    <cellStyle name="40% - Accent6 3 2 3 3" xfId="5428" xr:uid="{00000000-0005-0000-0000-00003B070000}"/>
    <cellStyle name="40% - Accent6 3 2 3 3 2" xfId="13857" xr:uid="{6A7983E0-EFA6-499B-9498-0A70EEC80E8F}"/>
    <cellStyle name="40% - Accent6 3 2 3 4" xfId="9639" xr:uid="{FC6D36A1-4398-4387-8A32-C2025501CA66}"/>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A301AF6A-0EDC-4F92-AFB4-D12448B1B067}"/>
    <cellStyle name="40% - Accent6 3 2 4 2 3" xfId="12197" xr:uid="{D3A69A87-7E5C-48A7-BE6C-2F9907F5FA3F}"/>
    <cellStyle name="40% - Accent6 3 2 4 3" xfId="5841" xr:uid="{00000000-0005-0000-0000-00003F070000}"/>
    <cellStyle name="40% - Accent6 3 2 4 3 2" xfId="14270" xr:uid="{E8FAC69A-09E5-4D89-825D-06483E55D54F}"/>
    <cellStyle name="40% - Accent6 3 2 4 4" xfId="10052" xr:uid="{F37B9463-6632-4FAA-B5B1-7F423D29E576}"/>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7003ED63-DD48-4DE3-9D7E-5E205A16B52F}"/>
    <cellStyle name="40% - Accent6 3 2 5 2 3" xfId="12610" xr:uid="{E6B6C579-A2A6-4AAF-B0CB-A4F87EF73BF5}"/>
    <cellStyle name="40% - Accent6 3 2 5 3" xfId="6254" xr:uid="{00000000-0005-0000-0000-000043070000}"/>
    <cellStyle name="40% - Accent6 3 2 5 3 2" xfId="14683" xr:uid="{5A6661A5-39E1-4A4B-91E1-C20175B32CA9}"/>
    <cellStyle name="40% - Accent6 3 2 5 4" xfId="10465" xr:uid="{BFF1BF08-4D0C-4F60-99FB-6050CA050BCC}"/>
    <cellStyle name="40% - Accent6 3 2 6" xfId="2359" xr:uid="{00000000-0005-0000-0000-000044070000}"/>
    <cellStyle name="40% - Accent6 3 2 6 2" xfId="6667" xr:uid="{00000000-0005-0000-0000-000045070000}"/>
    <cellStyle name="40% - Accent6 3 2 6 2 2" xfId="15096" xr:uid="{12F952B1-E6EE-41E5-8DD4-C2530ED4F1D6}"/>
    <cellStyle name="40% - Accent6 3 2 6 3" xfId="10878" xr:uid="{67950507-3C7E-4F09-B699-8714B9BA0D96}"/>
    <cellStyle name="40% - Accent6 3 2 7" xfId="4601" xr:uid="{00000000-0005-0000-0000-000046070000}"/>
    <cellStyle name="40% - Accent6 3 2 7 2" xfId="13030" xr:uid="{20452709-A889-4D95-A3CC-F7525D0413A4}"/>
    <cellStyle name="40% - Accent6 3 2 8" xfId="8812" xr:uid="{2B8C521B-1301-4550-AC8D-1858F1067AD3}"/>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AEFB9F3F-D147-4A1D-BF3E-F346A64D3705}"/>
    <cellStyle name="40% - Accent6 3 3 2 3" xfId="11370" xr:uid="{FA2F1A05-AC24-4E88-99AF-073FCA526648}"/>
    <cellStyle name="40% - Accent6 3 3 3" xfId="5014" xr:uid="{00000000-0005-0000-0000-00004A070000}"/>
    <cellStyle name="40% - Accent6 3 3 3 2" xfId="13443" xr:uid="{6118F643-93E6-42E2-A020-52CF3C62582D}"/>
    <cellStyle name="40% - Accent6 3 3 4" xfId="9225" xr:uid="{C64979AC-094B-46B9-B2AC-4915B76BEFCE}"/>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F226DDBE-8076-4477-A758-50F18700203C}"/>
    <cellStyle name="40% - Accent6 3 4 2 3" xfId="11783" xr:uid="{8D85ECB3-9622-4E60-AA76-2F565C7108A8}"/>
    <cellStyle name="40% - Accent6 3 4 3" xfId="5427" xr:uid="{00000000-0005-0000-0000-00004E070000}"/>
    <cellStyle name="40% - Accent6 3 4 3 2" xfId="13856" xr:uid="{61459EA1-DE44-47CE-B59E-7F0F5425F504}"/>
    <cellStyle name="40% - Accent6 3 4 4" xfId="9638" xr:uid="{98AF6643-DEBA-4F32-8CB7-A79F9BDFEC0E}"/>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8BE29B46-68F5-4A6A-BE3C-13784C546A2A}"/>
    <cellStyle name="40% - Accent6 3 5 2 3" xfId="12196" xr:uid="{B34F5084-723B-4655-B97F-72189D179974}"/>
    <cellStyle name="40% - Accent6 3 5 3" xfId="5840" xr:uid="{00000000-0005-0000-0000-000052070000}"/>
    <cellStyle name="40% - Accent6 3 5 3 2" xfId="14269" xr:uid="{5183BB81-8AE3-476B-A13A-156FC554FA3F}"/>
    <cellStyle name="40% - Accent6 3 5 4" xfId="10051" xr:uid="{98625CEF-6DFD-4712-94D9-7BC27EF0F257}"/>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CF0B3BAE-1C2F-450C-AEF9-55381058228E}"/>
    <cellStyle name="40% - Accent6 3 6 2 3" xfId="12609" xr:uid="{49FC78CD-701A-4085-BDE9-2D8B661F6E28}"/>
    <cellStyle name="40% - Accent6 3 6 3" xfId="6253" xr:uid="{00000000-0005-0000-0000-000056070000}"/>
    <cellStyle name="40% - Accent6 3 6 3 2" xfId="14682" xr:uid="{97893ECC-A3B2-4318-9B0A-36D7D6FAA539}"/>
    <cellStyle name="40% - Accent6 3 6 4" xfId="10464" xr:uid="{6C38C9B9-BA15-402E-A25C-F1203C6D56B2}"/>
    <cellStyle name="40% - Accent6 3 7" xfId="2358" xr:uid="{00000000-0005-0000-0000-000057070000}"/>
    <cellStyle name="40% - Accent6 3 7 2" xfId="6666" xr:uid="{00000000-0005-0000-0000-000058070000}"/>
    <cellStyle name="40% - Accent6 3 7 2 2" xfId="15095" xr:uid="{D0A6573A-F0EE-46FB-8ECC-3EBAAC8B1782}"/>
    <cellStyle name="40% - Accent6 3 7 3" xfId="10877" xr:uid="{F5E0A128-FA21-49F0-A02B-5332981434BA}"/>
    <cellStyle name="40% - Accent6 3 8" xfId="4600" xr:uid="{00000000-0005-0000-0000-000059070000}"/>
    <cellStyle name="40% - Accent6 3 8 2" xfId="13029" xr:uid="{4E2868BC-0187-4744-8E8D-3A0B64F787CD}"/>
    <cellStyle name="40% - Accent6 3 9" xfId="8811" xr:uid="{2DC00270-AACC-498E-AC0A-553445A7ACBB}"/>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AC9AC381-0A16-4606-8700-BD54038F3B5E}"/>
    <cellStyle name="40% - Accent6 4 2 2 3" xfId="11372" xr:uid="{84602403-F514-4746-A6CD-F6AD20AD58D2}"/>
    <cellStyle name="40% - Accent6 4 2 3" xfId="5016" xr:uid="{00000000-0005-0000-0000-00005E070000}"/>
    <cellStyle name="40% - Accent6 4 2 3 2" xfId="13445" xr:uid="{A9FCA701-2553-4BC9-9382-3C78F24BE4BC}"/>
    <cellStyle name="40% - Accent6 4 2 4" xfId="9227" xr:uid="{53B56DB0-2F20-4421-BB84-70E00E43DE8D}"/>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7D1E721C-6930-4D78-95BC-F1A26800489A}"/>
    <cellStyle name="40% - Accent6 4 3 2 3" xfId="11785" xr:uid="{44AC79F1-9D51-4888-9939-EC3762DF9989}"/>
    <cellStyle name="40% - Accent6 4 3 3" xfId="5429" xr:uid="{00000000-0005-0000-0000-000062070000}"/>
    <cellStyle name="40% - Accent6 4 3 3 2" xfId="13858" xr:uid="{C903C3BA-5173-488C-B53E-F7A6289FBD55}"/>
    <cellStyle name="40% - Accent6 4 3 4" xfId="9640" xr:uid="{BD7847BF-841F-440A-BB61-53804B2A098A}"/>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57CCF6E0-C846-455A-ADBA-D82B62856837}"/>
    <cellStyle name="40% - Accent6 4 4 2 3" xfId="12198" xr:uid="{F3939853-86ED-4695-8E92-71E3A0FE8A3D}"/>
    <cellStyle name="40% - Accent6 4 4 3" xfId="5842" xr:uid="{00000000-0005-0000-0000-000066070000}"/>
    <cellStyle name="40% - Accent6 4 4 3 2" xfId="14271" xr:uid="{E00B3E9E-B802-48D1-B356-9B1C66A8F1DD}"/>
    <cellStyle name="40% - Accent6 4 4 4" xfId="10053" xr:uid="{EB399F25-E82C-4123-A9AC-963F30FE87A7}"/>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7D8797CA-5740-40F3-B640-099FEA3A05D1}"/>
    <cellStyle name="40% - Accent6 4 5 2 3" xfId="12611" xr:uid="{6B7E279F-0CB3-442B-875B-B1F3D588BD9E}"/>
    <cellStyle name="40% - Accent6 4 5 3" xfId="6255" xr:uid="{00000000-0005-0000-0000-00006A070000}"/>
    <cellStyle name="40% - Accent6 4 5 3 2" xfId="14684" xr:uid="{7FE32459-528E-434B-A92C-D301953BDB3B}"/>
    <cellStyle name="40% - Accent6 4 5 4" xfId="10466" xr:uid="{3156BDEF-B3FF-4AF6-81FF-F8DF79E43C77}"/>
    <cellStyle name="40% - Accent6 4 6" xfId="2360" xr:uid="{00000000-0005-0000-0000-00006B070000}"/>
    <cellStyle name="40% - Accent6 4 6 2" xfId="6668" xr:uid="{00000000-0005-0000-0000-00006C070000}"/>
    <cellStyle name="40% - Accent6 4 6 2 2" xfId="15097" xr:uid="{D983C238-CC10-49EA-B3F0-223DCC332670}"/>
    <cellStyle name="40% - Accent6 4 6 3" xfId="10879" xr:uid="{171FE931-F665-4DB7-BA06-819FA5144638}"/>
    <cellStyle name="40% - Accent6 4 7" xfId="4602" xr:uid="{00000000-0005-0000-0000-00006D070000}"/>
    <cellStyle name="40% - Accent6 4 7 2" xfId="13031" xr:uid="{6755D9BE-7BF7-4785-A41A-605DB40F379C}"/>
    <cellStyle name="40% - Accent6 4 8" xfId="8813" xr:uid="{B02AA42E-CB59-43BC-8FB5-969158481B45}"/>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15B39725-33FD-4C76-9350-D20E111ABFB0}"/>
    <cellStyle name="40% - Accent6 5 2 3" xfId="11365" xr:uid="{4D077BF3-DA32-4A79-B3B3-CE40191A3B0B}"/>
    <cellStyle name="40% - Accent6 5 3" xfId="5009" xr:uid="{00000000-0005-0000-0000-000071070000}"/>
    <cellStyle name="40% - Accent6 5 3 2" xfId="13438" xr:uid="{0A8E67C2-0D37-48FD-8B57-0D50553108E2}"/>
    <cellStyle name="40% - Accent6 5 4" xfId="9220" xr:uid="{958A60ED-7D31-4F71-97F5-07BBAB055A7E}"/>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777C6BDD-A0AC-4DE0-9110-FD168EEA9633}"/>
    <cellStyle name="40% - Accent6 6 2 3" xfId="11778" xr:uid="{6D9F6A8D-70F7-4049-81D0-014E403E8BD3}"/>
    <cellStyle name="40% - Accent6 6 3" xfId="5422" xr:uid="{00000000-0005-0000-0000-000075070000}"/>
    <cellStyle name="40% - Accent6 6 3 2" xfId="13851" xr:uid="{664AB7E8-499F-4999-ADBA-9C4A4407AD50}"/>
    <cellStyle name="40% - Accent6 6 4" xfId="9633" xr:uid="{BAC0B9B9-D34F-4522-A7E5-B30B22513E76}"/>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E244E72A-82A0-41FA-A794-AA3BCB4B71F6}"/>
    <cellStyle name="40% - Accent6 7 2 3" xfId="12191" xr:uid="{1CC31F18-55AC-4589-96A8-270D1A385A68}"/>
    <cellStyle name="40% - Accent6 7 3" xfId="5835" xr:uid="{00000000-0005-0000-0000-000079070000}"/>
    <cellStyle name="40% - Accent6 7 3 2" xfId="14264" xr:uid="{4B41A57F-1928-451F-BB0A-49DBA790E710}"/>
    <cellStyle name="40% - Accent6 7 4" xfId="10046" xr:uid="{BAAA90CA-5FD1-4763-9750-80115DFA9DF2}"/>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442C18E2-866A-48BA-9ED2-5F747788ADB0}"/>
    <cellStyle name="40% - Accent6 8 2 3" xfId="12604" xr:uid="{B8D2222A-5FF3-457F-9166-DAC2B9B5DB9F}"/>
    <cellStyle name="40% - Accent6 8 3" xfId="6248" xr:uid="{00000000-0005-0000-0000-00007D070000}"/>
    <cellStyle name="40% - Accent6 8 3 2" xfId="14677" xr:uid="{01C728C1-AF79-4F37-A0BC-1619DC61D13C}"/>
    <cellStyle name="40% - Accent6 8 4" xfId="10459" xr:uid="{557B8281-8F77-4632-8BB6-7F0FFDB4D047}"/>
    <cellStyle name="40% - Accent6 9" xfId="2353" xr:uid="{00000000-0005-0000-0000-00007E070000}"/>
    <cellStyle name="40% - Accent6 9 2" xfId="6661" xr:uid="{00000000-0005-0000-0000-00007F070000}"/>
    <cellStyle name="40% - Accent6 9 2 2" xfId="15090" xr:uid="{FF4778D4-221F-412A-8FDC-9BD28C4E15E2}"/>
    <cellStyle name="40% - Accent6 9 3" xfId="10872" xr:uid="{6A2DF92D-A13A-4CE5-8D5A-A38E0F0E359C}"/>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E19C91A8-0EB1-4A13-9208-C8F5732B40F6}"/>
    <cellStyle name="Comma 4 2 2 2 10 3" xfId="11197" xr:uid="{B112AFF6-494F-4ADE-8EC1-BE97583DBA9E}"/>
    <cellStyle name="Comma 4 2 2 2 11" xfId="4603" xr:uid="{00000000-0005-0000-0000-0000A3070000}"/>
    <cellStyle name="Comma 4 2 2 2 11 2" xfId="13032" xr:uid="{9D4D7A38-1D0B-4BB1-80AD-5ED11547607F}"/>
    <cellStyle name="Comma 4 2 2 2 12" xfId="8814" xr:uid="{F24FB556-6D46-4EF2-80A4-E43054A5CA83}"/>
    <cellStyle name="Comma 4 2 2 2 2" xfId="129" xr:uid="{00000000-0005-0000-0000-0000A4070000}"/>
    <cellStyle name="Comma 4 2 2 2 2 10" xfId="4604" xr:uid="{00000000-0005-0000-0000-0000A5070000}"/>
    <cellStyle name="Comma 4 2 2 2 2 10 2" xfId="13033" xr:uid="{2A43A4FB-826E-4016-AF98-9D3E1B749FAE}"/>
    <cellStyle name="Comma 4 2 2 2 2 11" xfId="8815" xr:uid="{4C839C21-0F5F-4652-990A-367BF7DD19B4}"/>
    <cellStyle name="Comma 4 2 2 2 2 2" xfId="130" xr:uid="{00000000-0005-0000-0000-0000A6070000}"/>
    <cellStyle name="Comma 4 2 2 2 2 2 10" xfId="8816" xr:uid="{E0F98A36-A99C-4E8A-A7F8-8E3D87869379}"/>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1B451DF6-9074-4B56-AD72-A051D1267F2D}"/>
    <cellStyle name="Comma 4 2 2 2 2 2 2 2 3" xfId="11375" xr:uid="{ABFD8C38-AAF5-4A37-84BB-B952B63FDD0B}"/>
    <cellStyle name="Comma 4 2 2 2 2 2 2 3" xfId="5019" xr:uid="{00000000-0005-0000-0000-0000AA070000}"/>
    <cellStyle name="Comma 4 2 2 2 2 2 2 3 2" xfId="13448" xr:uid="{71D248B6-7A58-4660-A760-67C38466EABE}"/>
    <cellStyle name="Comma 4 2 2 2 2 2 2 4" xfId="9230" xr:uid="{6FC30E8E-C57B-4B23-8F96-113938CDCE17}"/>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090A4027-D6CD-4F1B-9EC1-4230A56592F2}"/>
    <cellStyle name="Comma 4 2 2 2 2 2 3 2 3" xfId="11788" xr:uid="{1D995157-D290-4C03-9383-044F29310532}"/>
    <cellStyle name="Comma 4 2 2 2 2 2 3 3" xfId="5432" xr:uid="{00000000-0005-0000-0000-0000AE070000}"/>
    <cellStyle name="Comma 4 2 2 2 2 2 3 3 2" xfId="13861" xr:uid="{D51E243C-A990-4218-8854-A830132BA3A9}"/>
    <cellStyle name="Comma 4 2 2 2 2 2 3 4" xfId="9643" xr:uid="{7ECED57B-8526-4700-8730-1A4026AE1FD5}"/>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7526F83B-B263-4F25-BF0B-2ABFAAAC6131}"/>
    <cellStyle name="Comma 4 2 2 2 2 2 4 2 3" xfId="12201" xr:uid="{A817781E-FA0B-406F-BFCA-301B1899C2DE}"/>
    <cellStyle name="Comma 4 2 2 2 2 2 4 3" xfId="5845" xr:uid="{00000000-0005-0000-0000-0000B2070000}"/>
    <cellStyle name="Comma 4 2 2 2 2 2 4 3 2" xfId="14274" xr:uid="{8E3A3C88-B414-4356-8C90-0FD65D59ED5D}"/>
    <cellStyle name="Comma 4 2 2 2 2 2 4 4" xfId="10056" xr:uid="{000D1781-27C8-42D7-B1E7-6852B6BB4632}"/>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6845965C-8B28-4FC3-B693-9F5DFE421846}"/>
    <cellStyle name="Comma 4 2 2 2 2 2 5 2 3" xfId="12614" xr:uid="{5DAEA056-40F5-407B-816C-E0FC5A7577D3}"/>
    <cellStyle name="Comma 4 2 2 2 2 2 5 3" xfId="6258" xr:uid="{00000000-0005-0000-0000-0000B6070000}"/>
    <cellStyle name="Comma 4 2 2 2 2 2 5 3 2" xfId="14687" xr:uid="{F4F3F18E-A78A-4726-B412-1C960CF52B5A}"/>
    <cellStyle name="Comma 4 2 2 2 2 2 5 4" xfId="10469" xr:uid="{B32D7C16-9BF8-470D-99B4-1716F2042230}"/>
    <cellStyle name="Comma 4 2 2 2 2 2 6" xfId="2385" xr:uid="{00000000-0005-0000-0000-0000B7070000}"/>
    <cellStyle name="Comma 4 2 2 2 2 2 6 2" xfId="6671" xr:uid="{00000000-0005-0000-0000-0000B8070000}"/>
    <cellStyle name="Comma 4 2 2 2 2 2 6 2 2" xfId="15100" xr:uid="{6B21AF2B-94D7-4E8C-B387-A98947472896}"/>
    <cellStyle name="Comma 4 2 2 2 2 2 6 3" xfId="10882" xr:uid="{0FDB3E30-6C3B-4719-8648-BFA335F8A126}"/>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2FB99FB9-C91A-45EA-8930-8142AC6968A2}"/>
    <cellStyle name="Comma 4 2 2 2 2 2 8 3" xfId="11199" xr:uid="{2A7E6BFC-5578-46F2-A44A-716873908C93}"/>
    <cellStyle name="Comma 4 2 2 2 2 2 9" xfId="4605" xr:uid="{00000000-0005-0000-0000-0000BC070000}"/>
    <cellStyle name="Comma 4 2 2 2 2 2 9 2" xfId="13034" xr:uid="{7490A5DB-D126-477E-A955-0EAA7BE52834}"/>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2B4BCA15-DEE6-47AC-B608-CDE37F636A1D}"/>
    <cellStyle name="Comma 4 2 2 2 2 3 2 3" xfId="11374" xr:uid="{B6F27197-B30C-4337-A13D-2EB110F9D3B6}"/>
    <cellStyle name="Comma 4 2 2 2 2 3 3" xfId="5018" xr:uid="{00000000-0005-0000-0000-0000C0070000}"/>
    <cellStyle name="Comma 4 2 2 2 2 3 3 2" xfId="13447" xr:uid="{1018D6E6-07B5-459F-AEF0-C56BAEBC15A5}"/>
    <cellStyle name="Comma 4 2 2 2 2 3 4" xfId="9229" xr:uid="{394CD069-C8E2-4843-A6D0-2D8890F861D7}"/>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E64D6D29-93F0-4092-A50A-598422570529}"/>
    <cellStyle name="Comma 4 2 2 2 2 4 2 3" xfId="11787" xr:uid="{F1996CC6-3E89-4BA8-BF22-6FCE75A0747B}"/>
    <cellStyle name="Comma 4 2 2 2 2 4 3" xfId="5431" xr:uid="{00000000-0005-0000-0000-0000C4070000}"/>
    <cellStyle name="Comma 4 2 2 2 2 4 3 2" xfId="13860" xr:uid="{8D096E3A-349A-4080-9B60-B8B9C2EE7748}"/>
    <cellStyle name="Comma 4 2 2 2 2 4 4" xfId="9642" xr:uid="{7629DE4B-9706-4C76-A724-44B5801799C3}"/>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7F981123-93CF-44A9-84B0-B03F5CAAEE74}"/>
    <cellStyle name="Comma 4 2 2 2 2 5 2 3" xfId="12200" xr:uid="{C455D5FC-91E0-4781-BE7B-BDCB5E624DE2}"/>
    <cellStyle name="Comma 4 2 2 2 2 5 3" xfId="5844" xr:uid="{00000000-0005-0000-0000-0000C8070000}"/>
    <cellStyle name="Comma 4 2 2 2 2 5 3 2" xfId="14273" xr:uid="{C89E3033-0CB2-4099-A931-E855C9B9F280}"/>
    <cellStyle name="Comma 4 2 2 2 2 5 4" xfId="10055" xr:uid="{2F3AEBB1-3B2B-44C7-B7D9-123785A6F950}"/>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F1E01F33-607E-4A33-95A3-0040B00C2495}"/>
    <cellStyle name="Comma 4 2 2 2 2 6 2 3" xfId="12613" xr:uid="{D68434A9-0B00-4D8D-B8A0-CA8A5A51CC71}"/>
    <cellStyle name="Comma 4 2 2 2 2 6 3" xfId="6257" xr:uid="{00000000-0005-0000-0000-0000CC070000}"/>
    <cellStyle name="Comma 4 2 2 2 2 6 3 2" xfId="14686" xr:uid="{994131FB-2D41-474D-99F7-248800DEBA84}"/>
    <cellStyle name="Comma 4 2 2 2 2 6 4" xfId="10468" xr:uid="{9D4F8B12-769E-4A1D-A40B-E82F545559DA}"/>
    <cellStyle name="Comma 4 2 2 2 2 7" xfId="2384" xr:uid="{00000000-0005-0000-0000-0000CD070000}"/>
    <cellStyle name="Comma 4 2 2 2 2 7 2" xfId="6670" xr:uid="{00000000-0005-0000-0000-0000CE070000}"/>
    <cellStyle name="Comma 4 2 2 2 2 7 2 2" xfId="15099" xr:uid="{F3168CEE-5CF2-4059-B2C6-F73DB581FFAE}"/>
    <cellStyle name="Comma 4 2 2 2 2 7 3" xfId="10881" xr:uid="{4C60C059-DA47-4AF2-A849-1124B3BCA829}"/>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4C679C0D-C4BA-4838-B043-8B4F82169C9E}"/>
    <cellStyle name="Comma 4 2 2 2 2 9 3" xfId="11198" xr:uid="{A56A8E2F-9FC8-4BEA-9A71-070F96A7AEBA}"/>
    <cellStyle name="Comma 4 2 2 2 3" xfId="131" xr:uid="{00000000-0005-0000-0000-0000D2070000}"/>
    <cellStyle name="Comma 4 2 2 2 3 10" xfId="8817" xr:uid="{C447A1BF-3DA8-455C-BC21-D2D00DF5A7DB}"/>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7A1CBD01-9B66-4C7C-9203-5FA8B662E0A6}"/>
    <cellStyle name="Comma 4 2 2 2 3 2 2 3" xfId="11376" xr:uid="{81F997B1-ED08-44A7-9D5E-D2027673CA53}"/>
    <cellStyle name="Comma 4 2 2 2 3 2 3" xfId="5020" xr:uid="{00000000-0005-0000-0000-0000D6070000}"/>
    <cellStyle name="Comma 4 2 2 2 3 2 3 2" xfId="13449" xr:uid="{05DA6158-22F3-4616-A87D-E1D74370964F}"/>
    <cellStyle name="Comma 4 2 2 2 3 2 4" xfId="9231" xr:uid="{5A83FDA3-AE2D-4BFF-9435-9D2B4AB79E4D}"/>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347E8C5B-E906-4C2A-88B7-6DA94E92B2BD}"/>
    <cellStyle name="Comma 4 2 2 2 3 3 2 3" xfId="11789" xr:uid="{774952E0-1A3B-4FF0-86E9-C97AA223EC85}"/>
    <cellStyle name="Comma 4 2 2 2 3 3 3" xfId="5433" xr:uid="{00000000-0005-0000-0000-0000DA070000}"/>
    <cellStyle name="Comma 4 2 2 2 3 3 3 2" xfId="13862" xr:uid="{2C544F4E-94BE-41B0-9943-287256D64BB1}"/>
    <cellStyle name="Comma 4 2 2 2 3 3 4" xfId="9644" xr:uid="{73EBA970-949B-45D7-8230-B60E05E3B526}"/>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4C17F3FC-1FAE-4A60-9F20-A8891EA554AC}"/>
    <cellStyle name="Comma 4 2 2 2 3 4 2 3" xfId="12202" xr:uid="{1F355A34-2947-47DB-9E3A-1AF9403A9BFB}"/>
    <cellStyle name="Comma 4 2 2 2 3 4 3" xfId="5846" xr:uid="{00000000-0005-0000-0000-0000DE070000}"/>
    <cellStyle name="Comma 4 2 2 2 3 4 3 2" xfId="14275" xr:uid="{6DD2E253-36EA-440A-94E3-EB672A95CF4F}"/>
    <cellStyle name="Comma 4 2 2 2 3 4 4" xfId="10057" xr:uid="{4CC2AE24-1097-45E7-8C55-1C7DF730B5B5}"/>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5D57BF33-5F4B-4578-A348-737458E873AF}"/>
    <cellStyle name="Comma 4 2 2 2 3 5 2 3" xfId="12615" xr:uid="{8575A51F-76ED-4C7F-AAF6-F3734C12BAD5}"/>
    <cellStyle name="Comma 4 2 2 2 3 5 3" xfId="6259" xr:uid="{00000000-0005-0000-0000-0000E2070000}"/>
    <cellStyle name="Comma 4 2 2 2 3 5 3 2" xfId="14688" xr:uid="{9D14CCD7-8B91-4F26-9082-D304BC536CDE}"/>
    <cellStyle name="Comma 4 2 2 2 3 5 4" xfId="10470" xr:uid="{5C18D80E-D21E-4849-81A2-EECB7436B298}"/>
    <cellStyle name="Comma 4 2 2 2 3 6" xfId="2386" xr:uid="{00000000-0005-0000-0000-0000E3070000}"/>
    <cellStyle name="Comma 4 2 2 2 3 6 2" xfId="6672" xr:uid="{00000000-0005-0000-0000-0000E4070000}"/>
    <cellStyle name="Comma 4 2 2 2 3 6 2 2" xfId="15101" xr:uid="{F949A3DE-E809-4E3F-8648-DE86CA0CC4CE}"/>
    <cellStyle name="Comma 4 2 2 2 3 6 3" xfId="10883" xr:uid="{3E930A3A-8727-486A-91FE-C426131E6253}"/>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EDEFE055-4D3E-4C17-A511-B98398C9B4C0}"/>
    <cellStyle name="Comma 4 2 2 2 3 8 3" xfId="11200" xr:uid="{C5334FE9-1791-45BA-A742-49F825DD4701}"/>
    <cellStyle name="Comma 4 2 2 2 3 9" xfId="4606" xr:uid="{00000000-0005-0000-0000-0000E8070000}"/>
    <cellStyle name="Comma 4 2 2 2 3 9 2" xfId="13035" xr:uid="{CBCCE161-4BB3-4FEE-BDB1-7E566E454D1C}"/>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E9D5CA5B-260F-48A2-8467-8712FBCCC100}"/>
    <cellStyle name="Comma 4 2 2 2 4 2 3" xfId="11373" xr:uid="{0271DD79-3D14-4303-AD5C-5B1BA1753F9E}"/>
    <cellStyle name="Comma 4 2 2 2 4 3" xfId="5017" xr:uid="{00000000-0005-0000-0000-0000EC070000}"/>
    <cellStyle name="Comma 4 2 2 2 4 3 2" xfId="13446" xr:uid="{8D10F50B-9051-4179-9302-FB0305EADAAE}"/>
    <cellStyle name="Comma 4 2 2 2 4 4" xfId="9228" xr:uid="{EB9F976D-880F-4036-A8C6-BD84D7498858}"/>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ED161D01-2BC8-4601-A14D-5FE7E724061A}"/>
    <cellStyle name="Comma 4 2 2 2 5 2 3" xfId="11786" xr:uid="{34D2A325-ED3B-4E29-9EA9-5B21342898D4}"/>
    <cellStyle name="Comma 4 2 2 2 5 3" xfId="5430" xr:uid="{00000000-0005-0000-0000-0000F0070000}"/>
    <cellStyle name="Comma 4 2 2 2 5 3 2" xfId="13859" xr:uid="{CEC51A29-C7E8-47D7-8F93-0AB8BA284C8B}"/>
    <cellStyle name="Comma 4 2 2 2 5 4" xfId="9641" xr:uid="{53378A39-FF4B-4CCC-8425-42CBB838F0D1}"/>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DAB74BBC-2A26-49D7-A0B8-F1EC37C31A20}"/>
    <cellStyle name="Comma 4 2 2 2 6 2 3" xfId="12199" xr:uid="{E6787E43-52DF-4363-B742-E3CA351C4FF9}"/>
    <cellStyle name="Comma 4 2 2 2 6 3" xfId="5843" xr:uid="{00000000-0005-0000-0000-0000F4070000}"/>
    <cellStyle name="Comma 4 2 2 2 6 3 2" xfId="14272" xr:uid="{D823A912-80DC-4F10-AEC7-37605EDBFFD1}"/>
    <cellStyle name="Comma 4 2 2 2 6 4" xfId="10054" xr:uid="{BB81C29C-59BE-459B-A85F-21C5F9FCC356}"/>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86DE661A-7C20-49EE-BEA1-4D6DC63AD6F4}"/>
    <cellStyle name="Comma 4 2 2 2 7 2 3" xfId="12612" xr:uid="{92CBFA59-67A4-46EF-9A02-AC368DF90B53}"/>
    <cellStyle name="Comma 4 2 2 2 7 3" xfId="6256" xr:uid="{00000000-0005-0000-0000-0000F8070000}"/>
    <cellStyle name="Comma 4 2 2 2 7 3 2" xfId="14685" xr:uid="{08671864-EEA3-4A07-8852-F9B99CA240DB}"/>
    <cellStyle name="Comma 4 2 2 2 7 4" xfId="10467" xr:uid="{0315ED4D-C4A8-4EC0-A299-CDBFD02D4D46}"/>
    <cellStyle name="Comma 4 2 2 2 8" xfId="2383" xr:uid="{00000000-0005-0000-0000-0000F9070000}"/>
    <cellStyle name="Comma 4 2 2 2 8 2" xfId="6669" xr:uid="{00000000-0005-0000-0000-0000FA070000}"/>
    <cellStyle name="Comma 4 2 2 2 8 2 2" xfId="15098" xr:uid="{FA63057C-A337-4A44-ADC4-0C8B0AD3C824}"/>
    <cellStyle name="Comma 4 2 2 2 8 3" xfId="10880" xr:uid="{A786A8DB-B341-4F63-95BB-B85F27EAF275}"/>
    <cellStyle name="Comma 4 2 2 2 9" xfId="2382" xr:uid="{00000000-0005-0000-0000-0000FB070000}"/>
    <cellStyle name="Comma 4 2 2 3" xfId="132" xr:uid="{00000000-0005-0000-0000-0000FC070000}"/>
    <cellStyle name="Comma 4 2 2 3 10" xfId="4607" xr:uid="{00000000-0005-0000-0000-0000FD070000}"/>
    <cellStyle name="Comma 4 2 2 3 10 2" xfId="13036" xr:uid="{4DCD9074-85FC-4636-8CD5-5A72181C81A7}"/>
    <cellStyle name="Comma 4 2 2 3 11" xfId="8818" xr:uid="{47019868-B89A-45E1-B752-9FDA82CD8613}"/>
    <cellStyle name="Comma 4 2 2 3 2" xfId="133" xr:uid="{00000000-0005-0000-0000-0000FE070000}"/>
    <cellStyle name="Comma 4 2 2 3 2 10" xfId="8819" xr:uid="{D1297483-27CE-4292-94D8-9265A23BD8F3}"/>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F1B3DC79-5CB3-4F84-A84F-ACF27F496D22}"/>
    <cellStyle name="Comma 4 2 2 3 2 2 2 3" xfId="11378" xr:uid="{4BCE8F0D-78A7-45FB-B5A4-E6CCADBD3B36}"/>
    <cellStyle name="Comma 4 2 2 3 2 2 3" xfId="5022" xr:uid="{00000000-0005-0000-0000-000002080000}"/>
    <cellStyle name="Comma 4 2 2 3 2 2 3 2" xfId="13451" xr:uid="{C045470C-97B0-4709-A518-7CE12F4A031A}"/>
    <cellStyle name="Comma 4 2 2 3 2 2 4" xfId="9233" xr:uid="{D84A12EC-E15F-4896-A2A3-45DC30733812}"/>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E38BFEEA-1738-475F-8F3A-7EAC532C79EA}"/>
    <cellStyle name="Comma 4 2 2 3 2 3 2 3" xfId="11791" xr:uid="{6ADE073A-6FB1-4055-8017-43166886C23D}"/>
    <cellStyle name="Comma 4 2 2 3 2 3 3" xfId="5435" xr:uid="{00000000-0005-0000-0000-000006080000}"/>
    <cellStyle name="Comma 4 2 2 3 2 3 3 2" xfId="13864" xr:uid="{9208DD21-CD78-4679-8DE0-1FEF3F7109C8}"/>
    <cellStyle name="Comma 4 2 2 3 2 3 4" xfId="9646" xr:uid="{8E1E61A3-AD95-4ED5-878E-01585C5BEACB}"/>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DC433A24-CC57-47FD-8934-82D70067F786}"/>
    <cellStyle name="Comma 4 2 2 3 2 4 2 3" xfId="12204" xr:uid="{FC1E9D09-4E19-46C9-95A2-5A5657D4DE24}"/>
    <cellStyle name="Comma 4 2 2 3 2 4 3" xfId="5848" xr:uid="{00000000-0005-0000-0000-00000A080000}"/>
    <cellStyle name="Comma 4 2 2 3 2 4 3 2" xfId="14277" xr:uid="{1F230521-8345-4C23-87B1-CAF384E7F716}"/>
    <cellStyle name="Comma 4 2 2 3 2 4 4" xfId="10059" xr:uid="{74F73226-6CBD-4A90-A1F2-A3CA018D5129}"/>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0592DC8A-8947-421B-A430-72CBEFCB4F1A}"/>
    <cellStyle name="Comma 4 2 2 3 2 5 2 3" xfId="12617" xr:uid="{F5D4C706-B76D-47CC-945E-C69E66460F9F}"/>
    <cellStyle name="Comma 4 2 2 3 2 5 3" xfId="6261" xr:uid="{00000000-0005-0000-0000-00000E080000}"/>
    <cellStyle name="Comma 4 2 2 3 2 5 3 2" xfId="14690" xr:uid="{9621055B-CF89-4CA4-A8A7-7CE7AA4E4FED}"/>
    <cellStyle name="Comma 4 2 2 3 2 5 4" xfId="10472" xr:uid="{32AF249C-DC86-4D42-AE58-F34790C26787}"/>
    <cellStyle name="Comma 4 2 2 3 2 6" xfId="2388" xr:uid="{00000000-0005-0000-0000-00000F080000}"/>
    <cellStyle name="Comma 4 2 2 3 2 6 2" xfId="6674" xr:uid="{00000000-0005-0000-0000-000010080000}"/>
    <cellStyle name="Comma 4 2 2 3 2 6 2 2" xfId="15103" xr:uid="{8BAC9771-9FF8-4AEB-86A6-63B1750D4CAB}"/>
    <cellStyle name="Comma 4 2 2 3 2 6 3" xfId="10885" xr:uid="{809DA71D-7771-4B29-AB5D-61F4BCB36D0A}"/>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9F2B0A53-7C47-4B07-BAEE-452857F5A885}"/>
    <cellStyle name="Comma 4 2 2 3 2 8 3" xfId="11202" xr:uid="{74CD4985-4341-4330-AEDF-93B3FE98282F}"/>
    <cellStyle name="Comma 4 2 2 3 2 9" xfId="4608" xr:uid="{00000000-0005-0000-0000-000014080000}"/>
    <cellStyle name="Comma 4 2 2 3 2 9 2" xfId="13037" xr:uid="{A5ACCCDC-AC84-4CEB-B2C3-47F6714642B6}"/>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D4DDF20D-D80D-47F3-8B35-B81CC468D0CF}"/>
    <cellStyle name="Comma 4 2 2 3 3 2 3" xfId="11377" xr:uid="{D9E0F4AD-9D85-47CC-94F8-7E0C8A9A3AF5}"/>
    <cellStyle name="Comma 4 2 2 3 3 3" xfId="5021" xr:uid="{00000000-0005-0000-0000-000018080000}"/>
    <cellStyle name="Comma 4 2 2 3 3 3 2" xfId="13450" xr:uid="{1D0EF8CF-29A1-4742-AE1B-6EB2C112AFA3}"/>
    <cellStyle name="Comma 4 2 2 3 3 4" xfId="9232" xr:uid="{D392713A-71FB-41FC-9CCD-DC7E095305E4}"/>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BBCB1F84-3746-4E08-A996-8F4638476C88}"/>
    <cellStyle name="Comma 4 2 2 3 4 2 3" xfId="11790" xr:uid="{28ACE46C-A816-4C11-BA04-33A3496067A4}"/>
    <cellStyle name="Comma 4 2 2 3 4 3" xfId="5434" xr:uid="{00000000-0005-0000-0000-00001C080000}"/>
    <cellStyle name="Comma 4 2 2 3 4 3 2" xfId="13863" xr:uid="{BC9D66C6-E570-499B-8CF8-3FF41DF33948}"/>
    <cellStyle name="Comma 4 2 2 3 4 4" xfId="9645" xr:uid="{095F311D-0E6C-480A-96A7-816D20B48137}"/>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F21F9CAF-0C8C-4F64-85FF-544153625963}"/>
    <cellStyle name="Comma 4 2 2 3 5 2 3" xfId="12203" xr:uid="{C8A129F4-5BD0-4B22-B5F2-7F82BBA15CAB}"/>
    <cellStyle name="Comma 4 2 2 3 5 3" xfId="5847" xr:uid="{00000000-0005-0000-0000-000020080000}"/>
    <cellStyle name="Comma 4 2 2 3 5 3 2" xfId="14276" xr:uid="{72776D93-27A1-4213-92D6-6A7C700D4A93}"/>
    <cellStyle name="Comma 4 2 2 3 5 4" xfId="10058" xr:uid="{D9CE904B-3EFA-4A0B-A26E-B36C10A94058}"/>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F84303AC-DB3B-4C79-8C24-D2A5BDD98189}"/>
    <cellStyle name="Comma 4 2 2 3 6 2 3" xfId="12616" xr:uid="{32C79BEE-DC04-4599-B45B-FF8DA2B4BE97}"/>
    <cellStyle name="Comma 4 2 2 3 6 3" xfId="6260" xr:uid="{00000000-0005-0000-0000-000024080000}"/>
    <cellStyle name="Comma 4 2 2 3 6 3 2" xfId="14689" xr:uid="{B889ED74-1DE0-486E-B44A-00EABF841881}"/>
    <cellStyle name="Comma 4 2 2 3 6 4" xfId="10471" xr:uid="{8EE4577A-99D0-42D3-8FDD-F2993C3B4BDE}"/>
    <cellStyle name="Comma 4 2 2 3 7" xfId="2387" xr:uid="{00000000-0005-0000-0000-000025080000}"/>
    <cellStyle name="Comma 4 2 2 3 7 2" xfId="6673" xr:uid="{00000000-0005-0000-0000-000026080000}"/>
    <cellStyle name="Comma 4 2 2 3 7 2 2" xfId="15102" xr:uid="{4FFFE52A-80B4-466D-8DBC-1EE8C21C7291}"/>
    <cellStyle name="Comma 4 2 2 3 7 3" xfId="10884" xr:uid="{5D009699-F85C-4136-AE59-672292A18DA7}"/>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5A30B1B9-FA96-48EB-937A-4F633CD4611B}"/>
    <cellStyle name="Comma 4 2 2 3 9 3" xfId="11201" xr:uid="{93188748-D6FB-4C6C-952F-A0D53DFC64F3}"/>
    <cellStyle name="Comma 4 2 2 4" xfId="134" xr:uid="{00000000-0005-0000-0000-00002A080000}"/>
    <cellStyle name="Comma 4 2 2 4 10" xfId="8820" xr:uid="{682222B5-91CD-4753-AFCC-2D8046644DB5}"/>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E245F1FE-9A61-4F62-AA74-1FBE205CF620}"/>
    <cellStyle name="Comma 4 2 2 4 2 2 3" xfId="11379" xr:uid="{4A923496-C3F4-45C8-A8B7-D0F443B970FC}"/>
    <cellStyle name="Comma 4 2 2 4 2 3" xfId="5023" xr:uid="{00000000-0005-0000-0000-00002E080000}"/>
    <cellStyle name="Comma 4 2 2 4 2 3 2" xfId="13452" xr:uid="{1D61443B-4FCB-4019-A1C8-B4840138225C}"/>
    <cellStyle name="Comma 4 2 2 4 2 4" xfId="9234" xr:uid="{C3357042-1281-42FF-99A2-CB3D85419E1B}"/>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CBB9AF3C-8155-49A6-9A55-1944EA16F11A}"/>
    <cellStyle name="Comma 4 2 2 4 3 2 3" xfId="11792" xr:uid="{1187DF19-791C-4850-BD11-5B65B839B00C}"/>
    <cellStyle name="Comma 4 2 2 4 3 3" xfId="5436" xr:uid="{00000000-0005-0000-0000-000032080000}"/>
    <cellStyle name="Comma 4 2 2 4 3 3 2" xfId="13865" xr:uid="{26484166-C2E2-4D1D-880E-B095C04F0BD1}"/>
    <cellStyle name="Comma 4 2 2 4 3 4" xfId="9647" xr:uid="{DBBB9678-3DF7-49B6-B8CD-1E5F0137395F}"/>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0422EDB9-5AAA-4233-8E97-476D50CC744A}"/>
    <cellStyle name="Comma 4 2 2 4 4 2 3" xfId="12205" xr:uid="{180ADEE0-0219-4B47-AB3F-3CA85E531EB3}"/>
    <cellStyle name="Comma 4 2 2 4 4 3" xfId="5849" xr:uid="{00000000-0005-0000-0000-000036080000}"/>
    <cellStyle name="Comma 4 2 2 4 4 3 2" xfId="14278" xr:uid="{FF80A13E-2501-4A55-AB87-FB2EBF514319}"/>
    <cellStyle name="Comma 4 2 2 4 4 4" xfId="10060" xr:uid="{1D786143-4FFF-43BC-A012-042F75877E4F}"/>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9528A37E-2A7F-42F4-9C90-2F44A093DEFF}"/>
    <cellStyle name="Comma 4 2 2 4 5 2 3" xfId="12618" xr:uid="{969DC28F-77D2-4B66-AF55-5D9EC6170FBC}"/>
    <cellStyle name="Comma 4 2 2 4 5 3" xfId="6262" xr:uid="{00000000-0005-0000-0000-00003A080000}"/>
    <cellStyle name="Comma 4 2 2 4 5 3 2" xfId="14691" xr:uid="{EB11E164-F8C9-4D93-B808-8EEC4FEA0282}"/>
    <cellStyle name="Comma 4 2 2 4 5 4" xfId="10473" xr:uid="{53F0F578-5AED-485D-A466-900203AEA5DD}"/>
    <cellStyle name="Comma 4 2 2 4 6" xfId="2389" xr:uid="{00000000-0005-0000-0000-00003B080000}"/>
    <cellStyle name="Comma 4 2 2 4 6 2" xfId="6675" xr:uid="{00000000-0005-0000-0000-00003C080000}"/>
    <cellStyle name="Comma 4 2 2 4 6 2 2" xfId="15104" xr:uid="{6F064BDF-AFFA-4B0E-ACBF-992CC2E5A418}"/>
    <cellStyle name="Comma 4 2 2 4 6 3" xfId="10886" xr:uid="{492F2B73-139D-45A8-8F95-FAA8824B574D}"/>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5CF178F5-BB81-4C23-A5FD-B0E2C7CC42EF}"/>
    <cellStyle name="Comma 4 2 2 4 8 3" xfId="11203" xr:uid="{378B078B-6DEE-4D9B-9B41-7A62EE77AB6E}"/>
    <cellStyle name="Comma 4 2 2 4 9" xfId="4609" xr:uid="{00000000-0005-0000-0000-000040080000}"/>
    <cellStyle name="Comma 4 2 2 4 9 2" xfId="13038" xr:uid="{EC11C169-383E-4C7B-ADCA-80E0BAA656B2}"/>
    <cellStyle name="Comma 4 2 2 5" xfId="135" xr:uid="{00000000-0005-0000-0000-000041080000}"/>
    <cellStyle name="Comma 4 2 2 5 10" xfId="8821" xr:uid="{F4654499-4BE1-4153-8ED8-17F36C05C6AC}"/>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127184CE-30DF-4CAC-A51B-F07EBDD7D702}"/>
    <cellStyle name="Comma 4 2 2 5 2 2 3" xfId="11380" xr:uid="{59F421A0-D7A9-4B41-9B96-C63F0C9340D1}"/>
    <cellStyle name="Comma 4 2 2 5 2 3" xfId="5024" xr:uid="{00000000-0005-0000-0000-000045080000}"/>
    <cellStyle name="Comma 4 2 2 5 2 3 2" xfId="13453" xr:uid="{80950FB4-D1BB-4B4B-9425-FD9A4273DDDE}"/>
    <cellStyle name="Comma 4 2 2 5 2 4" xfId="9235" xr:uid="{6DA9E69B-1E95-47D7-8075-5B358FFFC69E}"/>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D0809744-03B5-491E-A7B6-0FF38B645E40}"/>
    <cellStyle name="Comma 4 2 2 5 3 2 3" xfId="11793" xr:uid="{60930B9D-46C7-4D5E-9547-41CB787AFA12}"/>
    <cellStyle name="Comma 4 2 2 5 3 3" xfId="5437" xr:uid="{00000000-0005-0000-0000-000049080000}"/>
    <cellStyle name="Comma 4 2 2 5 3 3 2" xfId="13866" xr:uid="{D479457C-F009-4DD6-A20F-180A5AA943FF}"/>
    <cellStyle name="Comma 4 2 2 5 3 4" xfId="9648" xr:uid="{6590F3DB-88A0-4378-B7F4-34219D4923D4}"/>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D4213DE6-3A57-4D02-85AE-8E1D17086123}"/>
    <cellStyle name="Comma 4 2 2 5 4 2 3" xfId="12206" xr:uid="{5B08D13E-0A0C-4F3C-8EE6-A942DAC2DC9C}"/>
    <cellStyle name="Comma 4 2 2 5 4 3" xfId="5850" xr:uid="{00000000-0005-0000-0000-00004D080000}"/>
    <cellStyle name="Comma 4 2 2 5 4 3 2" xfId="14279" xr:uid="{90064F62-7035-446E-91E3-B57253D288D0}"/>
    <cellStyle name="Comma 4 2 2 5 4 4" xfId="10061" xr:uid="{019D1159-3504-4269-8A90-E47E15B20BB9}"/>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57EF38F0-CED8-4745-8C53-CD917AEF07D4}"/>
    <cellStyle name="Comma 4 2 2 5 5 2 3" xfId="12619" xr:uid="{5DD015AF-3EA6-4969-9CAE-3B227A51B606}"/>
    <cellStyle name="Comma 4 2 2 5 5 3" xfId="6263" xr:uid="{00000000-0005-0000-0000-000051080000}"/>
    <cellStyle name="Comma 4 2 2 5 5 3 2" xfId="14692" xr:uid="{3D9D0580-9A3F-402D-AE52-9430B9E66B06}"/>
    <cellStyle name="Comma 4 2 2 5 5 4" xfId="10474" xr:uid="{3CAAB951-CC56-47DE-8ED9-8F5FEF7E1993}"/>
    <cellStyle name="Comma 4 2 2 5 6" xfId="2390" xr:uid="{00000000-0005-0000-0000-000052080000}"/>
    <cellStyle name="Comma 4 2 2 5 6 2" xfId="6676" xr:uid="{00000000-0005-0000-0000-000053080000}"/>
    <cellStyle name="Comma 4 2 2 5 6 2 2" xfId="15105" xr:uid="{F068C930-FB3D-4C01-AB8D-6E1D4FD88EFC}"/>
    <cellStyle name="Comma 4 2 2 5 6 3" xfId="10887" xr:uid="{0DB6F861-994C-471C-8DEA-C621B1304811}"/>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543B7333-4837-49B7-BD24-F66DC276E3F7}"/>
    <cellStyle name="Comma 4 2 2 5 8 3" xfId="11204" xr:uid="{0DCE9A3E-AD94-494D-9660-EC0E4E30D4B3}"/>
    <cellStyle name="Comma 4 2 2 5 9" xfId="4610" xr:uid="{00000000-0005-0000-0000-000057080000}"/>
    <cellStyle name="Comma 4 2 2 5 9 2" xfId="13039" xr:uid="{33525BB4-4D92-4FB9-9CB2-D5374E2819AD}"/>
    <cellStyle name="Comma 4 2 3" xfId="136" xr:uid="{00000000-0005-0000-0000-000058080000}"/>
    <cellStyle name="Comma 4 2 3 10" xfId="2769" xr:uid="{00000000-0005-0000-0000-000059080000}"/>
    <cellStyle name="Comma 4 2 3 10 2" xfId="6994" xr:uid="{00000000-0005-0000-0000-00005A080000}"/>
    <cellStyle name="Comma 4 2 3 10 2 2" xfId="15423" xr:uid="{E80601B5-78E8-4CB0-99AA-D5EA7437AE65}"/>
    <cellStyle name="Comma 4 2 3 10 3" xfId="11205" xr:uid="{896AF820-4C8D-4DA6-9C2C-424118D04A97}"/>
    <cellStyle name="Comma 4 2 3 11" xfId="4611" xr:uid="{00000000-0005-0000-0000-00005B080000}"/>
    <cellStyle name="Comma 4 2 3 11 2" xfId="13040" xr:uid="{A12A3396-456E-49EF-8328-FCFA750E2E95}"/>
    <cellStyle name="Comma 4 2 3 12" xfId="8822" xr:uid="{71F9B9EC-C390-4EB4-9043-DDD01E5B0A2A}"/>
    <cellStyle name="Comma 4 2 3 2" xfId="137" xr:uid="{00000000-0005-0000-0000-00005C080000}"/>
    <cellStyle name="Comma 4 2 3 2 10" xfId="4612" xr:uid="{00000000-0005-0000-0000-00005D080000}"/>
    <cellStyle name="Comma 4 2 3 2 10 2" xfId="13041" xr:uid="{405FF68B-FAA7-4CDF-89F7-A0ADA90A7EA2}"/>
    <cellStyle name="Comma 4 2 3 2 11" xfId="8823" xr:uid="{6AE218F5-2775-4F26-80E0-32196A5ED9CB}"/>
    <cellStyle name="Comma 4 2 3 2 2" xfId="138" xr:uid="{00000000-0005-0000-0000-00005E080000}"/>
    <cellStyle name="Comma 4 2 3 2 2 10" xfId="8824" xr:uid="{C3F9F29B-9CF6-4942-A27B-9EC14B1FC91A}"/>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ADC63EB3-A6AB-455F-8920-EC02575229A4}"/>
    <cellStyle name="Comma 4 2 3 2 2 2 2 3" xfId="11383" xr:uid="{5AE362A5-0B5E-412C-9268-25291C7FDD32}"/>
    <cellStyle name="Comma 4 2 3 2 2 2 3" xfId="5027" xr:uid="{00000000-0005-0000-0000-000062080000}"/>
    <cellStyle name="Comma 4 2 3 2 2 2 3 2" xfId="13456" xr:uid="{1BB25CF2-0DAD-4C7E-8B5B-CF00E81BC43D}"/>
    <cellStyle name="Comma 4 2 3 2 2 2 4" xfId="9238" xr:uid="{55CB1CEF-1A60-4335-811E-5F20F94A492B}"/>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7F3D8B35-A501-460B-94C2-7ED04666409B}"/>
    <cellStyle name="Comma 4 2 3 2 2 3 2 3" xfId="11796" xr:uid="{A7245DCB-2C83-42DF-B690-EC5E62DB0A2A}"/>
    <cellStyle name="Comma 4 2 3 2 2 3 3" xfId="5440" xr:uid="{00000000-0005-0000-0000-000066080000}"/>
    <cellStyle name="Comma 4 2 3 2 2 3 3 2" xfId="13869" xr:uid="{1BB70398-C80D-45DB-8115-E3F563528CFC}"/>
    <cellStyle name="Comma 4 2 3 2 2 3 4" xfId="9651" xr:uid="{ECE4D840-375B-40BD-B64F-D03A74BF372A}"/>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704A81AB-81CA-4892-9141-1460CC876DCD}"/>
    <cellStyle name="Comma 4 2 3 2 2 4 2 3" xfId="12209" xr:uid="{BF55A510-0297-439F-8FB0-B45FA1DEC783}"/>
    <cellStyle name="Comma 4 2 3 2 2 4 3" xfId="5853" xr:uid="{00000000-0005-0000-0000-00006A080000}"/>
    <cellStyle name="Comma 4 2 3 2 2 4 3 2" xfId="14282" xr:uid="{F9D64DA1-AE77-40C1-8A69-2F98771B3455}"/>
    <cellStyle name="Comma 4 2 3 2 2 4 4" xfId="10064" xr:uid="{B02ED9F0-9ADD-460E-930C-B1076EEE7704}"/>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AA5E13F4-452B-4599-BC80-3D874F03BCDC}"/>
    <cellStyle name="Comma 4 2 3 2 2 5 2 3" xfId="12622" xr:uid="{0BF1D7C7-8ADD-41C5-B46E-A908A3E86BEE}"/>
    <cellStyle name="Comma 4 2 3 2 2 5 3" xfId="6266" xr:uid="{00000000-0005-0000-0000-00006E080000}"/>
    <cellStyle name="Comma 4 2 3 2 2 5 3 2" xfId="14695" xr:uid="{B2109218-6CC4-4BB1-AF9E-A1A6EAE5996A}"/>
    <cellStyle name="Comma 4 2 3 2 2 5 4" xfId="10477" xr:uid="{E4A3E24F-3977-4363-BBBC-CE9BF536ACFA}"/>
    <cellStyle name="Comma 4 2 3 2 2 6" xfId="2393" xr:uid="{00000000-0005-0000-0000-00006F080000}"/>
    <cellStyle name="Comma 4 2 3 2 2 6 2" xfId="6679" xr:uid="{00000000-0005-0000-0000-000070080000}"/>
    <cellStyle name="Comma 4 2 3 2 2 6 2 2" xfId="15108" xr:uid="{284176AA-A4E0-48F5-8954-279BD8E2BF6A}"/>
    <cellStyle name="Comma 4 2 3 2 2 6 3" xfId="10890" xr:uid="{49111F11-A559-40ED-9A06-02E1DF943F78}"/>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A95399D1-DF99-4D8B-982D-5BF4D3FB7382}"/>
    <cellStyle name="Comma 4 2 3 2 2 8 3" xfId="11207" xr:uid="{7347F8FF-23B7-49ED-B45D-79A81EB1E7A3}"/>
    <cellStyle name="Comma 4 2 3 2 2 9" xfId="4613" xr:uid="{00000000-0005-0000-0000-000074080000}"/>
    <cellStyle name="Comma 4 2 3 2 2 9 2" xfId="13042" xr:uid="{8574A67F-57D7-475C-87F9-9C9CAA0C44C4}"/>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144DB241-2E59-4C3F-9BD0-C64D46D1CB49}"/>
    <cellStyle name="Comma 4 2 3 2 3 2 3" xfId="11382" xr:uid="{84AB56DF-29AF-41DF-8C58-FC9F6811B924}"/>
    <cellStyle name="Comma 4 2 3 2 3 3" xfId="5026" xr:uid="{00000000-0005-0000-0000-000078080000}"/>
    <cellStyle name="Comma 4 2 3 2 3 3 2" xfId="13455" xr:uid="{580DC4A1-8AE2-48E9-B4DD-294DBBEB95AD}"/>
    <cellStyle name="Comma 4 2 3 2 3 4" xfId="9237" xr:uid="{81C11AD8-4D05-487B-AD2A-2A2DBB08F2F5}"/>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F64C2CC9-9F37-4AA5-A786-2A41CA9456E3}"/>
    <cellStyle name="Comma 4 2 3 2 4 2 3" xfId="11795" xr:uid="{20A014F1-823A-4FAD-B808-E556B5114FB9}"/>
    <cellStyle name="Comma 4 2 3 2 4 3" xfId="5439" xr:uid="{00000000-0005-0000-0000-00007C080000}"/>
    <cellStyle name="Comma 4 2 3 2 4 3 2" xfId="13868" xr:uid="{37612133-DA4C-4DAB-8AA6-66EC614CBDC4}"/>
    <cellStyle name="Comma 4 2 3 2 4 4" xfId="9650" xr:uid="{3207C0A4-0D0F-44AF-9F3A-04774BB3B1F2}"/>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AD6A8DD0-CF56-4941-8F3B-47C645300393}"/>
    <cellStyle name="Comma 4 2 3 2 5 2 3" xfId="12208" xr:uid="{2F3647E4-5DF2-43E0-A313-565BA88A3493}"/>
    <cellStyle name="Comma 4 2 3 2 5 3" xfId="5852" xr:uid="{00000000-0005-0000-0000-000080080000}"/>
    <cellStyle name="Comma 4 2 3 2 5 3 2" xfId="14281" xr:uid="{FBD28257-1DCA-48F5-A340-909CC19383E6}"/>
    <cellStyle name="Comma 4 2 3 2 5 4" xfId="10063" xr:uid="{A5608390-DCA8-4BC7-88F7-CE86D69727F7}"/>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56359CB4-503C-43D3-A7E4-8491095B13D3}"/>
    <cellStyle name="Comma 4 2 3 2 6 2 3" xfId="12621" xr:uid="{1E19E142-531C-4BDB-B31F-21E653E00FBB}"/>
    <cellStyle name="Comma 4 2 3 2 6 3" xfId="6265" xr:uid="{00000000-0005-0000-0000-000084080000}"/>
    <cellStyle name="Comma 4 2 3 2 6 3 2" xfId="14694" xr:uid="{162C673C-E655-47BF-BC20-FBDAD57FEA74}"/>
    <cellStyle name="Comma 4 2 3 2 6 4" xfId="10476" xr:uid="{BE2560E6-332E-4A5D-AEE4-BF17FD7370A3}"/>
    <cellStyle name="Comma 4 2 3 2 7" xfId="2392" xr:uid="{00000000-0005-0000-0000-000085080000}"/>
    <cellStyle name="Comma 4 2 3 2 7 2" xfId="6678" xr:uid="{00000000-0005-0000-0000-000086080000}"/>
    <cellStyle name="Comma 4 2 3 2 7 2 2" xfId="15107" xr:uid="{1E4556C2-4D96-4313-9D2C-B27931747309}"/>
    <cellStyle name="Comma 4 2 3 2 7 3" xfId="10889" xr:uid="{2338AF66-4BB3-4EAA-8864-690B84E7FE17}"/>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00866550-78A6-40E9-993A-F57E66EE7577}"/>
    <cellStyle name="Comma 4 2 3 2 9 3" xfId="11206" xr:uid="{7D9C1278-A547-4796-9452-D5ED05FBE1E2}"/>
    <cellStyle name="Comma 4 2 3 3" xfId="139" xr:uid="{00000000-0005-0000-0000-00008A080000}"/>
    <cellStyle name="Comma 4 2 3 3 10" xfId="8825" xr:uid="{DAB70D4C-5087-4555-9195-00903FA8590A}"/>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5199F798-BDE9-4A1F-9ABC-CF88422AFEEF}"/>
    <cellStyle name="Comma 4 2 3 3 2 2 3" xfId="11384" xr:uid="{CD51E41B-5CB4-434A-931A-0E9637F341B1}"/>
    <cellStyle name="Comma 4 2 3 3 2 3" xfId="5028" xr:uid="{00000000-0005-0000-0000-00008E080000}"/>
    <cellStyle name="Comma 4 2 3 3 2 3 2" xfId="13457" xr:uid="{E2882E51-B7A7-4E39-9133-B9C2601CEAE4}"/>
    <cellStyle name="Comma 4 2 3 3 2 4" xfId="9239" xr:uid="{C185D78B-75A4-4014-8678-C0A851ABAC20}"/>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EAE7003D-F902-4A9D-A4B0-C4D80DDED0B5}"/>
    <cellStyle name="Comma 4 2 3 3 3 2 3" xfId="11797" xr:uid="{9EC8B393-071E-41B4-BAA4-0F3E4C194AFA}"/>
    <cellStyle name="Comma 4 2 3 3 3 3" xfId="5441" xr:uid="{00000000-0005-0000-0000-000092080000}"/>
    <cellStyle name="Comma 4 2 3 3 3 3 2" xfId="13870" xr:uid="{6B51D1C9-53CD-412C-8668-FC0CFF2DFD6D}"/>
    <cellStyle name="Comma 4 2 3 3 3 4" xfId="9652" xr:uid="{619B369B-4772-4122-BDF2-E22C865D132A}"/>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7EB92545-0848-4594-8A69-FEC9E6ACC74A}"/>
    <cellStyle name="Comma 4 2 3 3 4 2 3" xfId="12210" xr:uid="{A98D6E1E-4377-4B68-82C6-5142F1CFE153}"/>
    <cellStyle name="Comma 4 2 3 3 4 3" xfId="5854" xr:uid="{00000000-0005-0000-0000-000096080000}"/>
    <cellStyle name="Comma 4 2 3 3 4 3 2" xfId="14283" xr:uid="{1865C985-308C-42C8-B19F-579B93B95861}"/>
    <cellStyle name="Comma 4 2 3 3 4 4" xfId="10065" xr:uid="{704D6A51-96E4-4A6D-9CB7-944900029B45}"/>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529FFCED-A7F4-43B5-8554-05593CCD1FD7}"/>
    <cellStyle name="Comma 4 2 3 3 5 2 3" xfId="12623" xr:uid="{85977DB9-BB91-4626-B15A-5162FAA1730E}"/>
    <cellStyle name="Comma 4 2 3 3 5 3" xfId="6267" xr:uid="{00000000-0005-0000-0000-00009A080000}"/>
    <cellStyle name="Comma 4 2 3 3 5 3 2" xfId="14696" xr:uid="{12594A3F-7E31-460F-83EF-C78017AFFF69}"/>
    <cellStyle name="Comma 4 2 3 3 5 4" xfId="10478" xr:uid="{ECD27C2B-B63E-4C7C-BF92-F6231B09DD26}"/>
    <cellStyle name="Comma 4 2 3 3 6" xfId="2394" xr:uid="{00000000-0005-0000-0000-00009B080000}"/>
    <cellStyle name="Comma 4 2 3 3 6 2" xfId="6680" xr:uid="{00000000-0005-0000-0000-00009C080000}"/>
    <cellStyle name="Comma 4 2 3 3 6 2 2" xfId="15109" xr:uid="{ACB5D64D-4BD5-4362-BFE4-A887A4BC9454}"/>
    <cellStyle name="Comma 4 2 3 3 6 3" xfId="10891" xr:uid="{3EF0733E-2699-4438-B2B5-F3F0F3A1BDE6}"/>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90F6F46F-F7CF-4632-B136-4024111937CF}"/>
    <cellStyle name="Comma 4 2 3 3 8 3" xfId="11208" xr:uid="{92676EC8-7DEB-4E6A-AA2D-20BA0BC7A317}"/>
    <cellStyle name="Comma 4 2 3 3 9" xfId="4614" xr:uid="{00000000-0005-0000-0000-0000A0080000}"/>
    <cellStyle name="Comma 4 2 3 3 9 2" xfId="13043" xr:uid="{5F5B7161-5DD0-4E95-B5A8-52860CE5A070}"/>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A3BD37E1-D4BB-40F2-B8F5-B00B03A6CD9E}"/>
    <cellStyle name="Comma 4 2 3 4 2 3" xfId="11381" xr:uid="{07FEC058-EEE4-477C-9B64-6940AFE929C4}"/>
    <cellStyle name="Comma 4 2 3 4 3" xfId="5025" xr:uid="{00000000-0005-0000-0000-0000A4080000}"/>
    <cellStyle name="Comma 4 2 3 4 3 2" xfId="13454" xr:uid="{E60F8802-38D9-4438-9680-16448437BED9}"/>
    <cellStyle name="Comma 4 2 3 4 4" xfId="9236" xr:uid="{95A4B616-2009-42D7-AC09-DE03A45E126F}"/>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1D6D308D-B759-4D8D-A136-3E88CA613B26}"/>
    <cellStyle name="Comma 4 2 3 5 2 3" xfId="11794" xr:uid="{0C32F2FA-E13A-4C16-96AF-38EB0A8CED1D}"/>
    <cellStyle name="Comma 4 2 3 5 3" xfId="5438" xr:uid="{00000000-0005-0000-0000-0000A8080000}"/>
    <cellStyle name="Comma 4 2 3 5 3 2" xfId="13867" xr:uid="{00511699-9D6D-41D7-9178-F1786E04DCFE}"/>
    <cellStyle name="Comma 4 2 3 5 4" xfId="9649" xr:uid="{9F5ACBEE-3557-4EA0-AAC2-DE3320A56F05}"/>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2ACD2386-0C78-43C1-91C5-8CB09B8F5337}"/>
    <cellStyle name="Comma 4 2 3 6 2 3" xfId="12207" xr:uid="{CC5498BD-8194-4345-923D-CBEAA322051C}"/>
    <cellStyle name="Comma 4 2 3 6 3" xfId="5851" xr:uid="{00000000-0005-0000-0000-0000AC080000}"/>
    <cellStyle name="Comma 4 2 3 6 3 2" xfId="14280" xr:uid="{4727683B-1158-4B45-9C37-55370FF25983}"/>
    <cellStyle name="Comma 4 2 3 6 4" xfId="10062" xr:uid="{FA0F7251-BCDA-4FA3-9C5B-04050910F9F7}"/>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761569DC-D85D-4F57-91AD-31EEA898FA61}"/>
    <cellStyle name="Comma 4 2 3 7 2 3" xfId="12620" xr:uid="{B224E058-819D-4455-8391-A39FB5AF3E4C}"/>
    <cellStyle name="Comma 4 2 3 7 3" xfId="6264" xr:uid="{00000000-0005-0000-0000-0000B0080000}"/>
    <cellStyle name="Comma 4 2 3 7 3 2" xfId="14693" xr:uid="{BF312A7F-7B51-4661-B25E-EFD4BB475BF6}"/>
    <cellStyle name="Comma 4 2 3 7 4" xfId="10475" xr:uid="{32FDCD28-E246-479B-8475-AFC154BCC053}"/>
    <cellStyle name="Comma 4 2 3 8" xfId="2391" xr:uid="{00000000-0005-0000-0000-0000B1080000}"/>
    <cellStyle name="Comma 4 2 3 8 2" xfId="6677" xr:uid="{00000000-0005-0000-0000-0000B2080000}"/>
    <cellStyle name="Comma 4 2 3 8 2 2" xfId="15106" xr:uid="{A7D9A4E5-ADA9-4DBE-87C4-D741CAB2F26E}"/>
    <cellStyle name="Comma 4 2 3 8 3" xfId="10888" xr:uid="{AA634479-876D-403B-9CE9-B83F7FF2F95A}"/>
    <cellStyle name="Comma 4 2 3 9" xfId="2374" xr:uid="{00000000-0005-0000-0000-0000B3080000}"/>
    <cellStyle name="Comma 4 2 4" xfId="140" xr:uid="{00000000-0005-0000-0000-0000B4080000}"/>
    <cellStyle name="Comma 4 2 4 10" xfId="4615" xr:uid="{00000000-0005-0000-0000-0000B5080000}"/>
    <cellStyle name="Comma 4 2 4 10 2" xfId="13044" xr:uid="{3A5AC743-C7A6-4D40-ABDC-D04E5CB9BAF5}"/>
    <cellStyle name="Comma 4 2 4 11" xfId="8826" xr:uid="{12CAFFF3-E7EA-4BAA-8B41-0D27876F155C}"/>
    <cellStyle name="Comma 4 2 4 2" xfId="141" xr:uid="{00000000-0005-0000-0000-0000B6080000}"/>
    <cellStyle name="Comma 4 2 4 2 10" xfId="8827" xr:uid="{CCE74CCA-4E0D-4827-A845-428995E6B365}"/>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A67EC50E-60E1-4461-872C-084ADDD5CEA5}"/>
    <cellStyle name="Comma 4 2 4 2 2 2 3" xfId="11386" xr:uid="{41849848-3947-4A1E-A4AB-998C7D9D79F2}"/>
    <cellStyle name="Comma 4 2 4 2 2 3" xfId="5030" xr:uid="{00000000-0005-0000-0000-0000BA080000}"/>
    <cellStyle name="Comma 4 2 4 2 2 3 2" xfId="13459" xr:uid="{86E2895B-A533-4259-A882-E68B3CB024B8}"/>
    <cellStyle name="Comma 4 2 4 2 2 4" xfId="9241" xr:uid="{7E88465B-AD75-4367-9F7F-A45643C9FE8C}"/>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C27A04A4-9C04-40AA-B947-8ABC44B34083}"/>
    <cellStyle name="Comma 4 2 4 2 3 2 3" xfId="11799" xr:uid="{5DEDE037-1A6D-4833-A2DB-5F729142C548}"/>
    <cellStyle name="Comma 4 2 4 2 3 3" xfId="5443" xr:uid="{00000000-0005-0000-0000-0000BE080000}"/>
    <cellStyle name="Comma 4 2 4 2 3 3 2" xfId="13872" xr:uid="{5B1FFAFB-0CD8-4919-8ADF-5E6E5CE7177A}"/>
    <cellStyle name="Comma 4 2 4 2 3 4" xfId="9654" xr:uid="{027D2FED-1FB3-4F1D-991F-7A7BCF0EA28F}"/>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C9DBAF45-9C2F-4BA3-8F8E-E4AD2FFED40E}"/>
    <cellStyle name="Comma 4 2 4 2 4 2 3" xfId="12212" xr:uid="{1F39DD7A-4C86-4CE9-93B9-3AD39D74F0A4}"/>
    <cellStyle name="Comma 4 2 4 2 4 3" xfId="5856" xr:uid="{00000000-0005-0000-0000-0000C2080000}"/>
    <cellStyle name="Comma 4 2 4 2 4 3 2" xfId="14285" xr:uid="{757825D2-577D-4098-8598-45F1D6B4EBF9}"/>
    <cellStyle name="Comma 4 2 4 2 4 4" xfId="10067" xr:uid="{63BC54F9-2875-4FFF-BDE5-2A0B9CF15AAA}"/>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A9C724D9-4B67-4941-AF70-45260AD108F5}"/>
    <cellStyle name="Comma 4 2 4 2 5 2 3" xfId="12625" xr:uid="{DC1F5DB7-E1C8-42D5-8AA4-5625B56FDF26}"/>
    <cellStyle name="Comma 4 2 4 2 5 3" xfId="6269" xr:uid="{00000000-0005-0000-0000-0000C6080000}"/>
    <cellStyle name="Comma 4 2 4 2 5 3 2" xfId="14698" xr:uid="{2FF3B06E-F01B-4F44-9505-D45A3B912935}"/>
    <cellStyle name="Comma 4 2 4 2 5 4" xfId="10480" xr:uid="{5B4D93EF-07A5-4425-BECC-BC0F14CB2968}"/>
    <cellStyle name="Comma 4 2 4 2 6" xfId="2396" xr:uid="{00000000-0005-0000-0000-0000C7080000}"/>
    <cellStyle name="Comma 4 2 4 2 6 2" xfId="6682" xr:uid="{00000000-0005-0000-0000-0000C8080000}"/>
    <cellStyle name="Comma 4 2 4 2 6 2 2" xfId="15111" xr:uid="{591BFB00-21D8-41CA-9F2D-13984A9DA9F2}"/>
    <cellStyle name="Comma 4 2 4 2 6 3" xfId="10893" xr:uid="{7F30AC31-5D20-4AE5-BE24-7A134E3D4F5A}"/>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50DB31ED-3C75-4EE5-B24E-12822624368A}"/>
    <cellStyle name="Comma 4 2 4 2 8 3" xfId="11210" xr:uid="{371C8468-4DEF-4507-A485-566A742FB1B0}"/>
    <cellStyle name="Comma 4 2 4 2 9" xfId="4616" xr:uid="{00000000-0005-0000-0000-0000CC080000}"/>
    <cellStyle name="Comma 4 2 4 2 9 2" xfId="13045" xr:uid="{8A7BB25F-35A4-41FC-8551-AD60426AE73D}"/>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E06AD436-0AA1-43A6-9237-8D592BFA90FC}"/>
    <cellStyle name="Comma 4 2 4 3 2 3" xfId="11385" xr:uid="{3105DB80-9919-45A1-B286-62FDC0142962}"/>
    <cellStyle name="Comma 4 2 4 3 3" xfId="5029" xr:uid="{00000000-0005-0000-0000-0000D0080000}"/>
    <cellStyle name="Comma 4 2 4 3 3 2" xfId="13458" xr:uid="{8DEBACA4-D43D-446B-9216-66F14D61C577}"/>
    <cellStyle name="Comma 4 2 4 3 4" xfId="9240" xr:uid="{81165653-7DE1-4CE0-878B-E5E0805CA811}"/>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CD4E9AE3-6397-4658-A8AE-8DF369968821}"/>
    <cellStyle name="Comma 4 2 4 4 2 3" xfId="11798" xr:uid="{C14A4D68-17DF-483C-B825-8CCD30B4E661}"/>
    <cellStyle name="Comma 4 2 4 4 3" xfId="5442" xr:uid="{00000000-0005-0000-0000-0000D4080000}"/>
    <cellStyle name="Comma 4 2 4 4 3 2" xfId="13871" xr:uid="{CA17D632-0E70-42BC-9A3E-54D72F968859}"/>
    <cellStyle name="Comma 4 2 4 4 4" xfId="9653" xr:uid="{E3FC1FC2-DC57-4DFA-9CFC-48B1963847C5}"/>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D55B89DB-38AE-4D97-8E39-5B59E8061472}"/>
    <cellStyle name="Comma 4 2 4 5 2 3" xfId="12211" xr:uid="{496366C4-6A5C-4BF8-9397-824F7B61F6F2}"/>
    <cellStyle name="Comma 4 2 4 5 3" xfId="5855" xr:uid="{00000000-0005-0000-0000-0000D8080000}"/>
    <cellStyle name="Comma 4 2 4 5 3 2" xfId="14284" xr:uid="{7C3925D8-74BF-4AF1-BA57-2D4F46D73189}"/>
    <cellStyle name="Comma 4 2 4 5 4" xfId="10066" xr:uid="{082765E1-1C24-47DD-8AAB-1377A4843917}"/>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16D9D1C1-9E44-4EE7-8287-AAF098BFE0FA}"/>
    <cellStyle name="Comma 4 2 4 6 2 3" xfId="12624" xr:uid="{777431C0-ADB0-4B4B-8BA3-084A635EBA56}"/>
    <cellStyle name="Comma 4 2 4 6 3" xfId="6268" xr:uid="{00000000-0005-0000-0000-0000DC080000}"/>
    <cellStyle name="Comma 4 2 4 6 3 2" xfId="14697" xr:uid="{225924AE-964E-492A-8A62-9D8D64DC5F4E}"/>
    <cellStyle name="Comma 4 2 4 6 4" xfId="10479" xr:uid="{15ECA3B0-B8CE-4F76-88DA-FA0C2E5BF600}"/>
    <cellStyle name="Comma 4 2 4 7" xfId="2395" xr:uid="{00000000-0005-0000-0000-0000DD080000}"/>
    <cellStyle name="Comma 4 2 4 7 2" xfId="6681" xr:uid="{00000000-0005-0000-0000-0000DE080000}"/>
    <cellStyle name="Comma 4 2 4 7 2 2" xfId="15110" xr:uid="{34F744D8-6391-4CC0-ACB0-7FD88FB6FC4F}"/>
    <cellStyle name="Comma 4 2 4 7 3" xfId="10892" xr:uid="{F8F21D11-C811-4626-927E-52716E5551FB}"/>
    <cellStyle name="Comma 4 2 4 8" xfId="2370" xr:uid="{00000000-0005-0000-0000-0000DF080000}"/>
    <cellStyle name="Comma 4 2 4 9" xfId="2773" xr:uid="{00000000-0005-0000-0000-0000E0080000}"/>
    <cellStyle name="Comma 4 2 4 9 2" xfId="6998" xr:uid="{00000000-0005-0000-0000-0000E1080000}"/>
    <cellStyle name="Comma 4 2 4 9 2 2" xfId="15427" xr:uid="{A7B76808-B854-4E6A-83EF-18295307E31E}"/>
    <cellStyle name="Comma 4 2 4 9 3" xfId="11209" xr:uid="{76720426-09DA-4194-87BB-9BF9FA2E39A3}"/>
    <cellStyle name="Comma 4 2 5" xfId="142" xr:uid="{00000000-0005-0000-0000-0000E2080000}"/>
    <cellStyle name="Comma 4 2 5 10" xfId="8828" xr:uid="{7E79BB62-A5ED-4160-AA66-375BEDDAAC67}"/>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679FA800-5CF5-4EC0-8CAA-C772620495B9}"/>
    <cellStyle name="Comma 4 2 5 2 2 3" xfId="11387" xr:uid="{487AE0AB-59B6-430F-AE4A-510CC3EDF8DA}"/>
    <cellStyle name="Comma 4 2 5 2 3" xfId="5031" xr:uid="{00000000-0005-0000-0000-0000E6080000}"/>
    <cellStyle name="Comma 4 2 5 2 3 2" xfId="13460" xr:uid="{83A3F853-FFCE-4778-BAF5-D0841AD270C9}"/>
    <cellStyle name="Comma 4 2 5 2 4" xfId="9242" xr:uid="{EF18D57B-B8F7-48D3-A2A0-191BA2473C0C}"/>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8A4A1899-EE8C-4B17-9655-C2E256E8B3D1}"/>
    <cellStyle name="Comma 4 2 5 3 2 3" xfId="11800" xr:uid="{519F021B-A689-46D2-B113-E51C16CC5261}"/>
    <cellStyle name="Comma 4 2 5 3 3" xfId="5444" xr:uid="{00000000-0005-0000-0000-0000EA080000}"/>
    <cellStyle name="Comma 4 2 5 3 3 2" xfId="13873" xr:uid="{9A7ABF8E-FAAF-4D79-B5A9-42ACD29404CB}"/>
    <cellStyle name="Comma 4 2 5 3 4" xfId="9655" xr:uid="{371E38FD-1EEC-4D30-8AAC-FEEE592D5A29}"/>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D01855F6-1B2A-4707-AEBF-EF560CEB2B7C}"/>
    <cellStyle name="Comma 4 2 5 4 2 3" xfId="12213" xr:uid="{EBA11DF1-6B4F-4AF6-AF3A-7C22B4C67875}"/>
    <cellStyle name="Comma 4 2 5 4 3" xfId="5857" xr:uid="{00000000-0005-0000-0000-0000EE080000}"/>
    <cellStyle name="Comma 4 2 5 4 3 2" xfId="14286" xr:uid="{10ECB9B6-D42B-4F77-B49F-0A22D15ABD45}"/>
    <cellStyle name="Comma 4 2 5 4 4" xfId="10068" xr:uid="{066F6AC7-C327-4CB5-8100-D9299CD33987}"/>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F79532CB-FC24-4794-8A0D-E17661491248}"/>
    <cellStyle name="Comma 4 2 5 5 2 3" xfId="12626" xr:uid="{E30A99A1-2D46-42C6-92B7-9D4DEB3E6023}"/>
    <cellStyle name="Comma 4 2 5 5 3" xfId="6270" xr:uid="{00000000-0005-0000-0000-0000F2080000}"/>
    <cellStyle name="Comma 4 2 5 5 3 2" xfId="14699" xr:uid="{72A26A67-92B6-471D-AAF9-C1D13D3DCFEE}"/>
    <cellStyle name="Comma 4 2 5 5 4" xfId="10481" xr:uid="{E5FFECC4-DBF6-4716-AC78-189799140F76}"/>
    <cellStyle name="Comma 4 2 5 6" xfId="2397" xr:uid="{00000000-0005-0000-0000-0000F3080000}"/>
    <cellStyle name="Comma 4 2 5 6 2" xfId="6683" xr:uid="{00000000-0005-0000-0000-0000F4080000}"/>
    <cellStyle name="Comma 4 2 5 6 2 2" xfId="15112" xr:uid="{4063F31A-7D94-4E24-B79E-98F3A97EE8B7}"/>
    <cellStyle name="Comma 4 2 5 6 3" xfId="10894" xr:uid="{CB0245B5-9D19-42BA-A382-912DA473C7FB}"/>
    <cellStyle name="Comma 4 2 5 7" xfId="2368" xr:uid="{00000000-0005-0000-0000-0000F5080000}"/>
    <cellStyle name="Comma 4 2 5 8" xfId="2775" xr:uid="{00000000-0005-0000-0000-0000F6080000}"/>
    <cellStyle name="Comma 4 2 5 8 2" xfId="7000" xr:uid="{00000000-0005-0000-0000-0000F7080000}"/>
    <cellStyle name="Comma 4 2 5 8 2 2" xfId="15429" xr:uid="{F754126F-E296-403B-BA41-E68EFA67D320}"/>
    <cellStyle name="Comma 4 2 5 8 3" xfId="11211" xr:uid="{04664053-A89B-489C-A3E5-93381A2B6B63}"/>
    <cellStyle name="Comma 4 2 5 9" xfId="4617" xr:uid="{00000000-0005-0000-0000-0000F8080000}"/>
    <cellStyle name="Comma 4 2 5 9 2" xfId="13046" xr:uid="{64577A31-7C91-4528-A72A-D2E4382F8AF2}"/>
    <cellStyle name="Comma 4 2 6" xfId="143" xr:uid="{00000000-0005-0000-0000-0000F9080000}"/>
    <cellStyle name="Comma 4 2 6 10" xfId="8829" xr:uid="{E3D0C323-F65E-4512-A185-7633993924CD}"/>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0A6D9183-092E-481D-8A0A-22AAB1DE5577}"/>
    <cellStyle name="Comma 4 2 6 2 2 3" xfId="11388" xr:uid="{67B465DA-0105-402A-9B0A-FBC05949D7F0}"/>
    <cellStyle name="Comma 4 2 6 2 3" xfId="5032" xr:uid="{00000000-0005-0000-0000-0000FD080000}"/>
    <cellStyle name="Comma 4 2 6 2 3 2" xfId="13461" xr:uid="{67055CDB-0BDA-4917-B24C-9BE88DC55791}"/>
    <cellStyle name="Comma 4 2 6 2 4" xfId="9243" xr:uid="{2069AE52-835F-491D-BF7D-3EE89DF4B22A}"/>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D9EB89C9-66D0-45E0-A2B2-70FCEE9F8D3F}"/>
    <cellStyle name="Comma 4 2 6 3 2 3" xfId="11801" xr:uid="{2E2909DC-712B-43D2-837D-FCC2A4839F4D}"/>
    <cellStyle name="Comma 4 2 6 3 3" xfId="5445" xr:uid="{00000000-0005-0000-0000-000001090000}"/>
    <cellStyle name="Comma 4 2 6 3 3 2" xfId="13874" xr:uid="{DDC81228-349D-44DD-9C8D-5CA698685747}"/>
    <cellStyle name="Comma 4 2 6 3 4" xfId="9656" xr:uid="{CCC86CA7-5574-428F-9EC1-F7F3C79991C0}"/>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45D2453C-7956-489D-A633-FF734D9D5FF0}"/>
    <cellStyle name="Comma 4 2 6 4 2 3" xfId="12214" xr:uid="{02735169-0A0E-476E-B1B5-B6BFF53F6287}"/>
    <cellStyle name="Comma 4 2 6 4 3" xfId="5858" xr:uid="{00000000-0005-0000-0000-000005090000}"/>
    <cellStyle name="Comma 4 2 6 4 3 2" xfId="14287" xr:uid="{A28D32C1-BF11-4B90-844C-C456326F61EF}"/>
    <cellStyle name="Comma 4 2 6 4 4" xfId="10069" xr:uid="{A0DB5E17-252E-4C5B-86A9-46F3FDE340BA}"/>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D4A88627-B6FA-4831-A898-00946DF3E4BB}"/>
    <cellStyle name="Comma 4 2 6 5 2 3" xfId="12627" xr:uid="{F460E012-816F-4F49-B53B-14D9B050ADEF}"/>
    <cellStyle name="Comma 4 2 6 5 3" xfId="6271" xr:uid="{00000000-0005-0000-0000-000009090000}"/>
    <cellStyle name="Comma 4 2 6 5 3 2" xfId="14700" xr:uid="{0FBA99B0-8CFD-4160-BCF0-BB368F89C980}"/>
    <cellStyle name="Comma 4 2 6 5 4" xfId="10482" xr:uid="{D37E66F7-657C-4A17-9F8F-B786B033138A}"/>
    <cellStyle name="Comma 4 2 6 6" xfId="2398" xr:uid="{00000000-0005-0000-0000-00000A090000}"/>
    <cellStyle name="Comma 4 2 6 6 2" xfId="6684" xr:uid="{00000000-0005-0000-0000-00000B090000}"/>
    <cellStyle name="Comma 4 2 6 6 2 2" xfId="15113" xr:uid="{81026527-FB43-42C3-B738-CCFFEC306360}"/>
    <cellStyle name="Comma 4 2 6 6 3" xfId="10895" xr:uid="{C76015E2-0430-4C6A-874E-CA481CEFF544}"/>
    <cellStyle name="Comma 4 2 6 7" xfId="2367" xr:uid="{00000000-0005-0000-0000-00000C090000}"/>
    <cellStyle name="Comma 4 2 6 8" xfId="2776" xr:uid="{00000000-0005-0000-0000-00000D090000}"/>
    <cellStyle name="Comma 4 2 6 8 2" xfId="7001" xr:uid="{00000000-0005-0000-0000-00000E090000}"/>
    <cellStyle name="Comma 4 2 6 8 2 2" xfId="15430" xr:uid="{0A1C2304-F017-4AD5-A488-B2422D131A89}"/>
    <cellStyle name="Comma 4 2 6 8 3" xfId="11212" xr:uid="{24A1791E-58BC-48BE-940D-189D70A15621}"/>
    <cellStyle name="Comma 4 2 6 9" xfId="4618" xr:uid="{00000000-0005-0000-0000-00000F090000}"/>
    <cellStyle name="Comma 4 2 6 9 2" xfId="13047" xr:uid="{A299AC05-9AB6-4D0A-9702-CE94BEE90717}"/>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5C88C29F-B4F0-43B3-9F42-9F7421B70989}"/>
    <cellStyle name="Comma 4 3 2 10 3" xfId="11213" xr:uid="{DC974FAA-F2F0-49BE-9A47-D0B6ACD66780}"/>
    <cellStyle name="Comma 4 3 2 11" xfId="4619" xr:uid="{00000000-0005-0000-0000-000014090000}"/>
    <cellStyle name="Comma 4 3 2 11 2" xfId="13048" xr:uid="{2615F727-5579-40DA-BA7E-14A5895ECA73}"/>
    <cellStyle name="Comma 4 3 2 12" xfId="8830" xr:uid="{F8D3B084-447E-41EE-A976-FC2E78F359ED}"/>
    <cellStyle name="Comma 4 3 2 2" xfId="146" xr:uid="{00000000-0005-0000-0000-000015090000}"/>
    <cellStyle name="Comma 4 3 2 2 10" xfId="4620" xr:uid="{00000000-0005-0000-0000-000016090000}"/>
    <cellStyle name="Comma 4 3 2 2 10 2" xfId="13049" xr:uid="{800212E0-F745-4E9F-B1F6-8768DB094879}"/>
    <cellStyle name="Comma 4 3 2 2 11" xfId="8831" xr:uid="{BE7B010C-5F0A-4E0B-958B-997FA48B6E4F}"/>
    <cellStyle name="Comma 4 3 2 2 2" xfId="147" xr:uid="{00000000-0005-0000-0000-000017090000}"/>
    <cellStyle name="Comma 4 3 2 2 2 10" xfId="8832" xr:uid="{41625276-1C44-4641-A3CF-858E31F59644}"/>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222FEA2B-93BB-41BB-9A1D-BB881CA25DDF}"/>
    <cellStyle name="Comma 4 3 2 2 2 2 2 3" xfId="11391" xr:uid="{EE6B7BDE-31CF-4C57-AA4E-9048848EFFD3}"/>
    <cellStyle name="Comma 4 3 2 2 2 2 3" xfId="5035" xr:uid="{00000000-0005-0000-0000-00001B090000}"/>
    <cellStyle name="Comma 4 3 2 2 2 2 3 2" xfId="13464" xr:uid="{DB6B6678-BBDF-4185-9BE1-EA7F488F6737}"/>
    <cellStyle name="Comma 4 3 2 2 2 2 4" xfId="9246" xr:uid="{22C514DE-4896-4FAA-905E-02E1E3C6E9B6}"/>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4A84A135-696B-418A-A41F-B9DE6672135F}"/>
    <cellStyle name="Comma 4 3 2 2 2 3 2 3" xfId="11804" xr:uid="{E73C514B-6D31-4FD4-A978-8F26F6902712}"/>
    <cellStyle name="Comma 4 3 2 2 2 3 3" xfId="5448" xr:uid="{00000000-0005-0000-0000-00001F090000}"/>
    <cellStyle name="Comma 4 3 2 2 2 3 3 2" xfId="13877" xr:uid="{E3DF64C7-2D11-41F9-9A57-4898B270477E}"/>
    <cellStyle name="Comma 4 3 2 2 2 3 4" xfId="9659" xr:uid="{5A5436B2-184D-4A29-AF31-44CD3E9F2D5E}"/>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32E8973C-53BE-4E03-9D09-72BF615071DC}"/>
    <cellStyle name="Comma 4 3 2 2 2 4 2 3" xfId="12217" xr:uid="{95E48BCB-E40F-4819-AF70-C0924ABED9FD}"/>
    <cellStyle name="Comma 4 3 2 2 2 4 3" xfId="5861" xr:uid="{00000000-0005-0000-0000-000023090000}"/>
    <cellStyle name="Comma 4 3 2 2 2 4 3 2" xfId="14290" xr:uid="{F3BF3C3A-1AE4-428D-BA25-6D06CE87F9E8}"/>
    <cellStyle name="Comma 4 3 2 2 2 4 4" xfId="10072" xr:uid="{FD1343CB-8CC9-4AC4-BCC7-A776446D6595}"/>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5CDFE06F-DDDA-4B0F-B714-340E4778A145}"/>
    <cellStyle name="Comma 4 3 2 2 2 5 2 3" xfId="12630" xr:uid="{667E2BCF-FAB1-4445-A5FF-1D6D9CF0B758}"/>
    <cellStyle name="Comma 4 3 2 2 2 5 3" xfId="6274" xr:uid="{00000000-0005-0000-0000-000027090000}"/>
    <cellStyle name="Comma 4 3 2 2 2 5 3 2" xfId="14703" xr:uid="{39CAB9B9-6469-4EEA-BBC3-CC08A05B8D17}"/>
    <cellStyle name="Comma 4 3 2 2 2 5 4" xfId="10485" xr:uid="{6A9A0488-7A73-44CE-9068-7C00B819FB85}"/>
    <cellStyle name="Comma 4 3 2 2 2 6" xfId="2401" xr:uid="{00000000-0005-0000-0000-000028090000}"/>
    <cellStyle name="Comma 4 3 2 2 2 6 2" xfId="6687" xr:uid="{00000000-0005-0000-0000-000029090000}"/>
    <cellStyle name="Comma 4 3 2 2 2 6 2 2" xfId="15116" xr:uid="{D56DE9DE-F1E4-400D-AAD9-8016379D62EE}"/>
    <cellStyle name="Comma 4 3 2 2 2 6 3" xfId="10898" xr:uid="{CB4A250B-F455-424C-B7C7-14473D0C9ACA}"/>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12E3B638-CE26-46D5-9925-12623991769B}"/>
    <cellStyle name="Comma 4 3 2 2 2 8 3" xfId="11215" xr:uid="{D72F1835-412A-4C0E-ADCB-C77ABEEF1144}"/>
    <cellStyle name="Comma 4 3 2 2 2 9" xfId="4621" xr:uid="{00000000-0005-0000-0000-00002D090000}"/>
    <cellStyle name="Comma 4 3 2 2 2 9 2" xfId="13050" xr:uid="{EDD227D1-490E-4571-A12C-3603841CFD2C}"/>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80C4FE39-663C-4E96-B583-433E82ED2A44}"/>
    <cellStyle name="Comma 4 3 2 2 3 2 3" xfId="11390" xr:uid="{E85636C3-22F3-4B09-A116-3959BB831F45}"/>
    <cellStyle name="Comma 4 3 2 2 3 3" xfId="5034" xr:uid="{00000000-0005-0000-0000-000031090000}"/>
    <cellStyle name="Comma 4 3 2 2 3 3 2" xfId="13463" xr:uid="{5401F350-86EF-4C8D-B61B-28F69B365443}"/>
    <cellStyle name="Comma 4 3 2 2 3 4" xfId="9245" xr:uid="{7ACBB851-21B7-4178-9FB7-9468AD8DC735}"/>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D12B11F9-9DB4-4BB9-AEBA-F7F3CCC03507}"/>
    <cellStyle name="Comma 4 3 2 2 4 2 3" xfId="11803" xr:uid="{1B1A7F96-EB2A-441A-9B4F-B2F2BA7EFC55}"/>
    <cellStyle name="Comma 4 3 2 2 4 3" xfId="5447" xr:uid="{00000000-0005-0000-0000-000035090000}"/>
    <cellStyle name="Comma 4 3 2 2 4 3 2" xfId="13876" xr:uid="{7E5A1AE6-A233-4A69-911C-5E0A4A3DE561}"/>
    <cellStyle name="Comma 4 3 2 2 4 4" xfId="9658" xr:uid="{0B59DCA3-7F61-410D-8CA0-3711DE1C708A}"/>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2488044B-8EBE-43B4-85FA-3841B34E55E7}"/>
    <cellStyle name="Comma 4 3 2 2 5 2 3" xfId="12216" xr:uid="{BF884E85-D6A7-4C28-BD5D-B9D5118777ED}"/>
    <cellStyle name="Comma 4 3 2 2 5 3" xfId="5860" xr:uid="{00000000-0005-0000-0000-000039090000}"/>
    <cellStyle name="Comma 4 3 2 2 5 3 2" xfId="14289" xr:uid="{A99F973E-1513-4C6B-8CAD-BC9B3CF35C2C}"/>
    <cellStyle name="Comma 4 3 2 2 5 4" xfId="10071" xr:uid="{BE152E07-4AAE-4C87-945F-625B5413261F}"/>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D8AECEC8-7EEF-41F2-96DF-E7A32E1EE1B3}"/>
    <cellStyle name="Comma 4 3 2 2 6 2 3" xfId="12629" xr:uid="{F4718B11-A2E0-48C2-AB1F-06BC8DCD0E59}"/>
    <cellStyle name="Comma 4 3 2 2 6 3" xfId="6273" xr:uid="{00000000-0005-0000-0000-00003D090000}"/>
    <cellStyle name="Comma 4 3 2 2 6 3 2" xfId="14702" xr:uid="{10B65CDD-665A-4367-ADA5-5943AF572AC7}"/>
    <cellStyle name="Comma 4 3 2 2 6 4" xfId="10484" xr:uid="{F75D0AFF-A2DC-4925-8A18-4430D0185B6D}"/>
    <cellStyle name="Comma 4 3 2 2 7" xfId="2400" xr:uid="{00000000-0005-0000-0000-00003E090000}"/>
    <cellStyle name="Comma 4 3 2 2 7 2" xfId="6686" xr:uid="{00000000-0005-0000-0000-00003F090000}"/>
    <cellStyle name="Comma 4 3 2 2 7 2 2" xfId="15115" xr:uid="{01F10015-D122-4751-BFA1-2E9FB1F25C7D}"/>
    <cellStyle name="Comma 4 3 2 2 7 3" xfId="10897" xr:uid="{0F703D48-E906-4EF6-B8CA-88E7D2983C80}"/>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3D651EE5-72FC-4B9B-AD0E-52B256482355}"/>
    <cellStyle name="Comma 4 3 2 2 9 3" xfId="11214" xr:uid="{489C004A-85C4-4A91-BED7-FEE1D1A221EB}"/>
    <cellStyle name="Comma 4 3 2 3" xfId="148" xr:uid="{00000000-0005-0000-0000-000043090000}"/>
    <cellStyle name="Comma 4 3 2 3 10" xfId="8833" xr:uid="{FB5A23DB-0E57-4AB7-AABB-8CC1F62E5E36}"/>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DB3EFB99-7B78-4D63-8B88-386F2F6A2822}"/>
    <cellStyle name="Comma 4 3 2 3 2 2 3" xfId="11392" xr:uid="{DF47D3C4-9E85-476C-A87D-342E607858BC}"/>
    <cellStyle name="Comma 4 3 2 3 2 3" xfId="5036" xr:uid="{00000000-0005-0000-0000-000047090000}"/>
    <cellStyle name="Comma 4 3 2 3 2 3 2" xfId="13465" xr:uid="{80ED655C-C6FE-48AA-A8D0-F41D8748E1BD}"/>
    <cellStyle name="Comma 4 3 2 3 2 4" xfId="9247" xr:uid="{B137324E-5E3F-400F-B629-88404EF98210}"/>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941575B6-3ADE-46AE-B498-4635F03C045E}"/>
    <cellStyle name="Comma 4 3 2 3 3 2 3" xfId="11805" xr:uid="{9B370197-0F3D-41D8-A6D5-F9A8F72B49FA}"/>
    <cellStyle name="Comma 4 3 2 3 3 3" xfId="5449" xr:uid="{00000000-0005-0000-0000-00004B090000}"/>
    <cellStyle name="Comma 4 3 2 3 3 3 2" xfId="13878" xr:uid="{A53F9ED8-30B6-4778-95EA-3C086ED1C21A}"/>
    <cellStyle name="Comma 4 3 2 3 3 4" xfId="9660" xr:uid="{2AB4DA3E-A754-49E4-8C7C-B12133A357A7}"/>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9E6E604F-D4B1-47CC-9D72-0A4C6F8B0602}"/>
    <cellStyle name="Comma 4 3 2 3 4 2 3" xfId="12218" xr:uid="{1766F236-7327-4589-9761-31A2F0E71B06}"/>
    <cellStyle name="Comma 4 3 2 3 4 3" xfId="5862" xr:uid="{00000000-0005-0000-0000-00004F090000}"/>
    <cellStyle name="Comma 4 3 2 3 4 3 2" xfId="14291" xr:uid="{7ED90AF2-2B4C-463E-89A1-AA1D49442655}"/>
    <cellStyle name="Comma 4 3 2 3 4 4" xfId="10073" xr:uid="{DE429528-2942-49C5-8446-DCE7B159A345}"/>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5EFC540A-8878-4D3E-9501-52536DA63CE2}"/>
    <cellStyle name="Comma 4 3 2 3 5 2 3" xfId="12631" xr:uid="{36C4253B-E2A4-4ABB-BF5F-A9D6B84199BF}"/>
    <cellStyle name="Comma 4 3 2 3 5 3" xfId="6275" xr:uid="{00000000-0005-0000-0000-000053090000}"/>
    <cellStyle name="Comma 4 3 2 3 5 3 2" xfId="14704" xr:uid="{4303BDE6-0CEE-4BCB-A81E-813513B8E933}"/>
    <cellStyle name="Comma 4 3 2 3 5 4" xfId="10486" xr:uid="{6E821308-6352-4E20-9F52-3E847E5766EF}"/>
    <cellStyle name="Comma 4 3 2 3 6" xfId="2402" xr:uid="{00000000-0005-0000-0000-000054090000}"/>
    <cellStyle name="Comma 4 3 2 3 6 2" xfId="6688" xr:uid="{00000000-0005-0000-0000-000055090000}"/>
    <cellStyle name="Comma 4 3 2 3 6 2 2" xfId="15117" xr:uid="{FE577678-26EF-4230-9635-8DBE4DEFC7EA}"/>
    <cellStyle name="Comma 4 3 2 3 6 3" xfId="10899" xr:uid="{83E03119-6B33-467F-8E24-C083D6F104B9}"/>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F5BF36E0-FE94-4F3B-85D5-EB2BB861C3C4}"/>
    <cellStyle name="Comma 4 3 2 3 8 3" xfId="11216" xr:uid="{2A96C43B-ED90-4FD6-8B70-0A9977292B4E}"/>
    <cellStyle name="Comma 4 3 2 3 9" xfId="4622" xr:uid="{00000000-0005-0000-0000-000059090000}"/>
    <cellStyle name="Comma 4 3 2 3 9 2" xfId="13051" xr:uid="{B339BA6E-7D04-4B3E-8697-F23957C24E24}"/>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3878BF87-D8AC-4338-A968-1B6C7402E821}"/>
    <cellStyle name="Comma 4 3 2 4 2 3" xfId="11389" xr:uid="{D587612A-46C2-403F-BAD0-635B72900107}"/>
    <cellStyle name="Comma 4 3 2 4 3" xfId="5033" xr:uid="{00000000-0005-0000-0000-00005D090000}"/>
    <cellStyle name="Comma 4 3 2 4 3 2" xfId="13462" xr:uid="{6A7633ED-EC80-495C-9F6C-2C7172CA5896}"/>
    <cellStyle name="Comma 4 3 2 4 4" xfId="9244" xr:uid="{92B951BF-D5EC-4794-8BF9-2F0246152C06}"/>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08A77BE2-D131-4159-BDBB-C9089FC16F6E}"/>
    <cellStyle name="Comma 4 3 2 5 2 3" xfId="11802" xr:uid="{C470F34C-698A-4CB4-8DCB-64154609EDC7}"/>
    <cellStyle name="Comma 4 3 2 5 3" xfId="5446" xr:uid="{00000000-0005-0000-0000-000061090000}"/>
    <cellStyle name="Comma 4 3 2 5 3 2" xfId="13875" xr:uid="{74F033A6-AB4F-4D86-94E4-00EC429983A1}"/>
    <cellStyle name="Comma 4 3 2 5 4" xfId="9657" xr:uid="{166CB813-EFCA-4BF0-A844-CF2422C04832}"/>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3505DAA0-FCB7-4BBC-8AA4-BD8CE17128F7}"/>
    <cellStyle name="Comma 4 3 2 6 2 3" xfId="12215" xr:uid="{88B76554-49FB-44B3-9A47-E887BCA531D4}"/>
    <cellStyle name="Comma 4 3 2 6 3" xfId="5859" xr:uid="{00000000-0005-0000-0000-000065090000}"/>
    <cellStyle name="Comma 4 3 2 6 3 2" xfId="14288" xr:uid="{0B4CBFD8-B800-4554-AD62-A54D593A7E0B}"/>
    <cellStyle name="Comma 4 3 2 6 4" xfId="10070" xr:uid="{B2A2AA01-5537-4B42-80C9-87F02A294A76}"/>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61916DEF-95A6-45B9-8EF5-CB40BF6D6B64}"/>
    <cellStyle name="Comma 4 3 2 7 2 3" xfId="12628" xr:uid="{59BDE924-249F-4D8B-8D7F-B550C6831CBB}"/>
    <cellStyle name="Comma 4 3 2 7 3" xfId="6272" xr:uid="{00000000-0005-0000-0000-000069090000}"/>
    <cellStyle name="Comma 4 3 2 7 3 2" xfId="14701" xr:uid="{1121494F-DF3B-49B1-BD2D-58DEF19863A9}"/>
    <cellStyle name="Comma 4 3 2 7 4" xfId="10483" xr:uid="{15DED424-2332-4A2D-805F-B39ECE33C919}"/>
    <cellStyle name="Comma 4 3 2 8" xfId="2399" xr:uid="{00000000-0005-0000-0000-00006A090000}"/>
    <cellStyle name="Comma 4 3 2 8 2" xfId="6685" xr:uid="{00000000-0005-0000-0000-00006B090000}"/>
    <cellStyle name="Comma 4 3 2 8 2 2" xfId="15114" xr:uid="{238A74EA-9474-48D7-830C-FD6EBA08D81B}"/>
    <cellStyle name="Comma 4 3 2 8 3" xfId="10896" xr:uid="{6EF96F15-863B-4883-B941-7FFB266AC282}"/>
    <cellStyle name="Comma 4 3 2 9" xfId="2366" xr:uid="{00000000-0005-0000-0000-00006C090000}"/>
    <cellStyle name="Comma 4 3 3" xfId="149" xr:uid="{00000000-0005-0000-0000-00006D090000}"/>
    <cellStyle name="Comma 4 3 3 10" xfId="4623" xr:uid="{00000000-0005-0000-0000-00006E090000}"/>
    <cellStyle name="Comma 4 3 3 10 2" xfId="13052" xr:uid="{527C2B98-5568-48B1-B396-05711DBC89B2}"/>
    <cellStyle name="Comma 4 3 3 11" xfId="8834" xr:uid="{934B9D5C-F3DF-43A3-A38C-45EE555FC238}"/>
    <cellStyle name="Comma 4 3 3 2" xfId="150" xr:uid="{00000000-0005-0000-0000-00006F090000}"/>
    <cellStyle name="Comma 4 3 3 2 10" xfId="8835" xr:uid="{8A7A0E91-EA60-4B65-B1D8-F141F212B633}"/>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799776A7-31C4-46AB-985A-222CBCA05698}"/>
    <cellStyle name="Comma 4 3 3 2 2 2 3" xfId="11394" xr:uid="{80646D27-BF13-4A0B-AC30-11666F710820}"/>
    <cellStyle name="Comma 4 3 3 2 2 3" xfId="5038" xr:uid="{00000000-0005-0000-0000-000073090000}"/>
    <cellStyle name="Comma 4 3 3 2 2 3 2" xfId="13467" xr:uid="{5113AC2C-6435-425C-B0B4-05BEBBC91C76}"/>
    <cellStyle name="Comma 4 3 3 2 2 4" xfId="9249" xr:uid="{E150E72B-AE63-4D21-A561-8331F3A9965C}"/>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ABFFF628-8C46-4679-AA69-0F7E561DC606}"/>
    <cellStyle name="Comma 4 3 3 2 3 2 3" xfId="11807" xr:uid="{75244703-149B-47B9-9BFC-BE14C4EDE03C}"/>
    <cellStyle name="Comma 4 3 3 2 3 3" xfId="5451" xr:uid="{00000000-0005-0000-0000-000077090000}"/>
    <cellStyle name="Comma 4 3 3 2 3 3 2" xfId="13880" xr:uid="{E876B8EA-0B8A-4EEC-A99E-EBDC76FEFB97}"/>
    <cellStyle name="Comma 4 3 3 2 3 4" xfId="9662" xr:uid="{55652B3C-A9A6-4267-A1E6-B07AED902B5A}"/>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6B38F2BB-918A-449A-B057-0549B0CFCDBE}"/>
    <cellStyle name="Comma 4 3 3 2 4 2 3" xfId="12220" xr:uid="{2148F2FC-555E-48E8-8495-3F3B5D8F8A7E}"/>
    <cellStyle name="Comma 4 3 3 2 4 3" xfId="5864" xr:uid="{00000000-0005-0000-0000-00007B090000}"/>
    <cellStyle name="Comma 4 3 3 2 4 3 2" xfId="14293" xr:uid="{1F15325A-BBA3-4837-9EB3-7838CCAA27D9}"/>
    <cellStyle name="Comma 4 3 3 2 4 4" xfId="10075" xr:uid="{8A4D7775-D5E9-45F9-AF4D-C274241872FD}"/>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6EBA1990-6149-4AC5-A35E-B55DE8627B6B}"/>
    <cellStyle name="Comma 4 3 3 2 5 2 3" xfId="12633" xr:uid="{248ACC35-2290-4D6C-9967-9C667D9A40C8}"/>
    <cellStyle name="Comma 4 3 3 2 5 3" xfId="6277" xr:uid="{00000000-0005-0000-0000-00007F090000}"/>
    <cellStyle name="Comma 4 3 3 2 5 3 2" xfId="14706" xr:uid="{3FFB6AF5-9D3E-4363-BD74-80A9CCD8DDFD}"/>
    <cellStyle name="Comma 4 3 3 2 5 4" xfId="10488" xr:uid="{9365DD3C-4D6D-4E2A-9FAD-973FC5AF7548}"/>
    <cellStyle name="Comma 4 3 3 2 6" xfId="2404" xr:uid="{00000000-0005-0000-0000-000080090000}"/>
    <cellStyle name="Comma 4 3 3 2 6 2" xfId="6690" xr:uid="{00000000-0005-0000-0000-000081090000}"/>
    <cellStyle name="Comma 4 3 3 2 6 2 2" xfId="15119" xr:uid="{FAF37815-0CE2-4DD2-8785-69AFC37FC47F}"/>
    <cellStyle name="Comma 4 3 3 2 6 3" xfId="10901" xr:uid="{1E9ECA08-AC40-430A-8743-444ED2AF45AF}"/>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566C2016-F8CA-49EC-A66C-1F131EB2FFDD}"/>
    <cellStyle name="Comma 4 3 3 2 8 3" xfId="11218" xr:uid="{88C5CE9C-A828-40CC-B490-82193031CA08}"/>
    <cellStyle name="Comma 4 3 3 2 9" xfId="4624" xr:uid="{00000000-0005-0000-0000-000085090000}"/>
    <cellStyle name="Comma 4 3 3 2 9 2" xfId="13053" xr:uid="{9779964D-0016-4B7E-9E39-7F31868E4B62}"/>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5553010A-DE1A-444C-BCB7-B43FB993D09E}"/>
    <cellStyle name="Comma 4 3 3 3 2 3" xfId="11393" xr:uid="{C18A939B-4163-4DB4-955D-0DAED038E4FE}"/>
    <cellStyle name="Comma 4 3 3 3 3" xfId="5037" xr:uid="{00000000-0005-0000-0000-000089090000}"/>
    <cellStyle name="Comma 4 3 3 3 3 2" xfId="13466" xr:uid="{683FB45B-8319-459B-9E0A-2602817E8065}"/>
    <cellStyle name="Comma 4 3 3 3 4" xfId="9248" xr:uid="{CF17EE35-7878-4F05-85FE-BCF31EC352D1}"/>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11E7702D-453C-4653-8613-4D6B65D64EE0}"/>
    <cellStyle name="Comma 4 3 3 4 2 3" xfId="11806" xr:uid="{74050549-6810-498E-BC71-9678E4A5EBA7}"/>
    <cellStyle name="Comma 4 3 3 4 3" xfId="5450" xr:uid="{00000000-0005-0000-0000-00008D090000}"/>
    <cellStyle name="Comma 4 3 3 4 3 2" xfId="13879" xr:uid="{DD0E3361-501B-458A-A647-676F5EDEE70E}"/>
    <cellStyle name="Comma 4 3 3 4 4" xfId="9661" xr:uid="{3AE141E4-F49E-474C-A310-3D0AB5124130}"/>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FACC33DC-E6F8-4427-BDE1-5A03E24986F2}"/>
    <cellStyle name="Comma 4 3 3 5 2 3" xfId="12219" xr:uid="{71F0AFFD-B85E-4A56-8200-A9A58F150A39}"/>
    <cellStyle name="Comma 4 3 3 5 3" xfId="5863" xr:uid="{00000000-0005-0000-0000-000091090000}"/>
    <cellStyle name="Comma 4 3 3 5 3 2" xfId="14292" xr:uid="{1D7A270C-D489-4BD9-9DBE-B153F47D48E0}"/>
    <cellStyle name="Comma 4 3 3 5 4" xfId="10074" xr:uid="{BBDCF8B7-F4C1-415A-B034-4377D7BC634E}"/>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9DCD1C21-2714-4BFF-8993-B514FB5B49EF}"/>
    <cellStyle name="Comma 4 3 3 6 2 3" xfId="12632" xr:uid="{95EE03B9-CADE-4A08-A6DF-F78D9E7C2B7D}"/>
    <cellStyle name="Comma 4 3 3 6 3" xfId="6276" xr:uid="{00000000-0005-0000-0000-000095090000}"/>
    <cellStyle name="Comma 4 3 3 6 3 2" xfId="14705" xr:uid="{E7ED427A-7686-4D8B-9563-1F6393256772}"/>
    <cellStyle name="Comma 4 3 3 6 4" xfId="10487" xr:uid="{8E9B3B63-4067-444C-A6F4-D08822234918}"/>
    <cellStyle name="Comma 4 3 3 7" xfId="2403" xr:uid="{00000000-0005-0000-0000-000096090000}"/>
    <cellStyle name="Comma 4 3 3 7 2" xfId="6689" xr:uid="{00000000-0005-0000-0000-000097090000}"/>
    <cellStyle name="Comma 4 3 3 7 2 2" xfId="15118" xr:uid="{F26F8876-E229-439B-87BF-1C94E0571DEE}"/>
    <cellStyle name="Comma 4 3 3 7 3" xfId="10900" xr:uid="{48AE5690-6E00-4BC6-B9D3-1E8741ECE279}"/>
    <cellStyle name="Comma 4 3 3 8" xfId="2362" xr:uid="{00000000-0005-0000-0000-000098090000}"/>
    <cellStyle name="Comma 4 3 3 9" xfId="2781" xr:uid="{00000000-0005-0000-0000-000099090000}"/>
    <cellStyle name="Comma 4 3 3 9 2" xfId="7006" xr:uid="{00000000-0005-0000-0000-00009A090000}"/>
    <cellStyle name="Comma 4 3 3 9 2 2" xfId="15435" xr:uid="{EBA84162-15C4-42AB-9428-D63C9DD1C75E}"/>
    <cellStyle name="Comma 4 3 3 9 3" xfId="11217" xr:uid="{3583E129-5759-4221-806D-62E03AD42550}"/>
    <cellStyle name="Comma 4 3 4" xfId="151" xr:uid="{00000000-0005-0000-0000-00009B090000}"/>
    <cellStyle name="Comma 4 3 4 10" xfId="8836" xr:uid="{8C31FBC2-E289-4F52-B0A5-4822CBF00A21}"/>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259CA012-566D-4082-A80E-E1DE9F228822}"/>
    <cellStyle name="Comma 4 3 4 2 2 3" xfId="11395" xr:uid="{FE6CF503-DD16-47C7-B33C-243CDA6EBDD2}"/>
    <cellStyle name="Comma 4 3 4 2 3" xfId="5039" xr:uid="{00000000-0005-0000-0000-00009F090000}"/>
    <cellStyle name="Comma 4 3 4 2 3 2" xfId="13468" xr:uid="{524928E5-2DE7-4B5D-B0F3-54A247EF595B}"/>
    <cellStyle name="Comma 4 3 4 2 4" xfId="9250" xr:uid="{8E774815-9B7A-446C-AE4E-E792D00B9F35}"/>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FF9FD7D6-CD85-4A6E-9E25-17B0FC3AC1C6}"/>
    <cellStyle name="Comma 4 3 4 3 2 3" xfId="11808" xr:uid="{E51F45C2-DC96-4BFC-A3E6-1CEED1A283FB}"/>
    <cellStyle name="Comma 4 3 4 3 3" xfId="5452" xr:uid="{00000000-0005-0000-0000-0000A3090000}"/>
    <cellStyle name="Comma 4 3 4 3 3 2" xfId="13881" xr:uid="{42431D8C-08B9-457A-95E7-B58FBCC2B7AE}"/>
    <cellStyle name="Comma 4 3 4 3 4" xfId="9663" xr:uid="{8A8E0F84-1D0B-42C6-955F-4AECCF678076}"/>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0AF93227-A386-4C63-8DF6-415A4FFE69C4}"/>
    <cellStyle name="Comma 4 3 4 4 2 3" xfId="12221" xr:uid="{1BAB9CC7-A12B-45A8-88F7-BFDCCD56C526}"/>
    <cellStyle name="Comma 4 3 4 4 3" xfId="5865" xr:uid="{00000000-0005-0000-0000-0000A7090000}"/>
    <cellStyle name="Comma 4 3 4 4 3 2" xfId="14294" xr:uid="{4D88D414-2E32-4CCF-BC57-807016BCAE90}"/>
    <cellStyle name="Comma 4 3 4 4 4" xfId="10076" xr:uid="{FDBCEEB1-0277-44FE-B696-9AE228C3C603}"/>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08D370E1-630F-4B4D-9669-628038BD2B19}"/>
    <cellStyle name="Comma 4 3 4 5 2 3" xfId="12634" xr:uid="{E25EE941-0DC2-490D-9821-F91C7B56E411}"/>
    <cellStyle name="Comma 4 3 4 5 3" xfId="6278" xr:uid="{00000000-0005-0000-0000-0000AB090000}"/>
    <cellStyle name="Comma 4 3 4 5 3 2" xfId="14707" xr:uid="{F6EA5F0D-FCEB-41F4-B376-867E91286D55}"/>
    <cellStyle name="Comma 4 3 4 5 4" xfId="10489" xr:uid="{70BC0EA5-9F7B-41B4-8198-3463B243E193}"/>
    <cellStyle name="Comma 4 3 4 6" xfId="2405" xr:uid="{00000000-0005-0000-0000-0000AC090000}"/>
    <cellStyle name="Comma 4 3 4 6 2" xfId="6691" xr:uid="{00000000-0005-0000-0000-0000AD090000}"/>
    <cellStyle name="Comma 4 3 4 6 2 2" xfId="15120" xr:uid="{5278E3F6-0DA9-4C02-BB6E-8CF5F4872AD9}"/>
    <cellStyle name="Comma 4 3 4 6 3" xfId="10902" xr:uid="{8318351E-0D5D-4712-A3FB-238993617273}"/>
    <cellStyle name="Comma 4 3 4 7" xfId="2701" xr:uid="{00000000-0005-0000-0000-0000AE090000}"/>
    <cellStyle name="Comma 4 3 4 8" xfId="2783" xr:uid="{00000000-0005-0000-0000-0000AF090000}"/>
    <cellStyle name="Comma 4 3 4 8 2" xfId="7008" xr:uid="{00000000-0005-0000-0000-0000B0090000}"/>
    <cellStyle name="Comma 4 3 4 8 2 2" xfId="15437" xr:uid="{D01A8EB4-E4FC-4729-800E-B8BB4C7FA654}"/>
    <cellStyle name="Comma 4 3 4 8 3" xfId="11219" xr:uid="{6393E3F6-AF06-4A0F-87B5-E58B0A0957B5}"/>
    <cellStyle name="Comma 4 3 4 9" xfId="4625" xr:uid="{00000000-0005-0000-0000-0000B1090000}"/>
    <cellStyle name="Comma 4 3 4 9 2" xfId="13054" xr:uid="{40C2419A-2EEF-44DE-86A1-9C5AD628C4A6}"/>
    <cellStyle name="Comma 4 3 5" xfId="152" xr:uid="{00000000-0005-0000-0000-0000B2090000}"/>
    <cellStyle name="Comma 4 3 5 10" xfId="8837" xr:uid="{086C5ABC-A9C6-468D-9943-965AAADDD705}"/>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CA0F7BE9-4477-4EBD-B131-DF003FE0FD99}"/>
    <cellStyle name="Comma 4 3 5 2 2 3" xfId="11396" xr:uid="{0D1F9C62-0454-431A-A851-8AFD04536F9E}"/>
    <cellStyle name="Comma 4 3 5 2 3" xfId="5040" xr:uid="{00000000-0005-0000-0000-0000B6090000}"/>
    <cellStyle name="Comma 4 3 5 2 3 2" xfId="13469" xr:uid="{4962EEAE-8170-4931-BC8E-951C3AB42356}"/>
    <cellStyle name="Comma 4 3 5 2 4" xfId="9251" xr:uid="{1AE31B25-F0D3-47C6-AD70-1707C978DF2E}"/>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0C325912-B762-43EE-936C-07ECED6FC40E}"/>
    <cellStyle name="Comma 4 3 5 3 2 3" xfId="11809" xr:uid="{50FF5DDC-01B7-4A8B-88E7-F1DEF60BB922}"/>
    <cellStyle name="Comma 4 3 5 3 3" xfId="5453" xr:uid="{00000000-0005-0000-0000-0000BA090000}"/>
    <cellStyle name="Comma 4 3 5 3 3 2" xfId="13882" xr:uid="{710CB187-A500-4FE1-A980-5223A65418D1}"/>
    <cellStyle name="Comma 4 3 5 3 4" xfId="9664" xr:uid="{C970D071-DB93-469B-8D42-73BF9A30BFB1}"/>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9C0E6C75-A177-4239-86B6-E3BB042873ED}"/>
    <cellStyle name="Comma 4 3 5 4 2 3" xfId="12222" xr:uid="{D8197AA5-C49E-43D5-9619-1195E4FCB44C}"/>
    <cellStyle name="Comma 4 3 5 4 3" xfId="5866" xr:uid="{00000000-0005-0000-0000-0000BE090000}"/>
    <cellStyle name="Comma 4 3 5 4 3 2" xfId="14295" xr:uid="{A77A4D32-F107-4351-BAC5-F9D7F6453771}"/>
    <cellStyle name="Comma 4 3 5 4 4" xfId="10077" xr:uid="{DDFCF9AF-16DF-4E1D-A210-E0E102C80D06}"/>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03A624D0-8420-4DE5-94D7-5F4AD3A7BE2F}"/>
    <cellStyle name="Comma 4 3 5 5 2 3" xfId="12635" xr:uid="{1DD04C0F-72D0-4BDE-A41F-C9939CCE427D}"/>
    <cellStyle name="Comma 4 3 5 5 3" xfId="6279" xr:uid="{00000000-0005-0000-0000-0000C2090000}"/>
    <cellStyle name="Comma 4 3 5 5 3 2" xfId="14708" xr:uid="{31DB2BE4-C1CC-4C66-8FCC-237A15E9BF2D}"/>
    <cellStyle name="Comma 4 3 5 5 4" xfId="10490" xr:uid="{922FB5E2-E0A7-4B2B-9B26-D7E5145A4E95}"/>
    <cellStyle name="Comma 4 3 5 6" xfId="2406" xr:uid="{00000000-0005-0000-0000-0000C3090000}"/>
    <cellStyle name="Comma 4 3 5 6 2" xfId="6692" xr:uid="{00000000-0005-0000-0000-0000C4090000}"/>
    <cellStyle name="Comma 4 3 5 6 2 2" xfId="15121" xr:uid="{956799A5-BB54-465E-8211-54B44CD76F49}"/>
    <cellStyle name="Comma 4 3 5 6 3" xfId="10903" xr:uid="{A6FB11AD-05A2-43DE-9AA3-BE34702667D4}"/>
    <cellStyle name="Comma 4 3 5 7" xfId="2702" xr:uid="{00000000-0005-0000-0000-0000C5090000}"/>
    <cellStyle name="Comma 4 3 5 8" xfId="2784" xr:uid="{00000000-0005-0000-0000-0000C6090000}"/>
    <cellStyle name="Comma 4 3 5 8 2" xfId="7009" xr:uid="{00000000-0005-0000-0000-0000C7090000}"/>
    <cellStyle name="Comma 4 3 5 8 2 2" xfId="15438" xr:uid="{0B7F7E78-313A-4362-8304-4AC11A1405BA}"/>
    <cellStyle name="Comma 4 3 5 8 3" xfId="11220" xr:uid="{121957CC-D9CE-4C04-A123-DED265F6D565}"/>
    <cellStyle name="Comma 4 3 5 9" xfId="4626" xr:uid="{00000000-0005-0000-0000-0000C8090000}"/>
    <cellStyle name="Comma 4 3 5 9 2" xfId="13055" xr:uid="{D0C111D3-0F1D-424F-80F0-806711148890}"/>
    <cellStyle name="Comma 4 4" xfId="153" xr:uid="{00000000-0005-0000-0000-0000C9090000}"/>
    <cellStyle name="Comma 4 4 10" xfId="2785" xr:uid="{00000000-0005-0000-0000-0000CA090000}"/>
    <cellStyle name="Comma 4 4 10 2" xfId="7010" xr:uid="{00000000-0005-0000-0000-0000CB090000}"/>
    <cellStyle name="Comma 4 4 10 2 2" xfId="15439" xr:uid="{BCE496AA-8C8A-4EB8-B453-5ECD0B540B15}"/>
    <cellStyle name="Comma 4 4 10 3" xfId="11221" xr:uid="{2B2AF934-A03B-4BB0-88AB-A83371A6DCE7}"/>
    <cellStyle name="Comma 4 4 11" xfId="4627" xr:uid="{00000000-0005-0000-0000-0000CC090000}"/>
    <cellStyle name="Comma 4 4 11 2" xfId="13056" xr:uid="{A815C7CE-077B-4C19-84EB-D346FB552097}"/>
    <cellStyle name="Comma 4 4 12" xfId="8838" xr:uid="{DCDAEC13-7F08-422A-B03A-D394465F73BD}"/>
    <cellStyle name="Comma 4 4 2" xfId="154" xr:uid="{00000000-0005-0000-0000-0000CD090000}"/>
    <cellStyle name="Comma 4 4 2 10" xfId="4628" xr:uid="{00000000-0005-0000-0000-0000CE090000}"/>
    <cellStyle name="Comma 4 4 2 10 2" xfId="13057" xr:uid="{BFB220FA-9A8B-4715-9849-6ECE48DC6FAA}"/>
    <cellStyle name="Comma 4 4 2 11" xfId="8839" xr:uid="{D0D9C751-2A78-4805-8533-DEE4454068CD}"/>
    <cellStyle name="Comma 4 4 2 2" xfId="155" xr:uid="{00000000-0005-0000-0000-0000CF090000}"/>
    <cellStyle name="Comma 4 4 2 2 10" xfId="8840" xr:uid="{9CFE6AA4-8C9D-4118-A0ED-8883C6AB7F8C}"/>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BE4FF759-5BDD-476A-96C3-A176E7275DED}"/>
    <cellStyle name="Comma 4 4 2 2 2 2 3" xfId="11399" xr:uid="{8281D095-CC55-4716-A42A-DCC0EC45CF47}"/>
    <cellStyle name="Comma 4 4 2 2 2 3" xfId="5043" xr:uid="{00000000-0005-0000-0000-0000D3090000}"/>
    <cellStyle name="Comma 4 4 2 2 2 3 2" xfId="13472" xr:uid="{C3F395A9-3F80-455F-9B02-A7766DA4C54C}"/>
    <cellStyle name="Comma 4 4 2 2 2 4" xfId="9254" xr:uid="{AA142ED1-0744-4050-A3E6-885ACD17545A}"/>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CD956DC3-0719-49DE-8F8D-0637BB54102E}"/>
    <cellStyle name="Comma 4 4 2 2 3 2 3" xfId="11812" xr:uid="{6A20EDB6-DEA3-476F-895B-3DDFFB7B8B03}"/>
    <cellStyle name="Comma 4 4 2 2 3 3" xfId="5456" xr:uid="{00000000-0005-0000-0000-0000D7090000}"/>
    <cellStyle name="Comma 4 4 2 2 3 3 2" xfId="13885" xr:uid="{B594DBA9-0CAA-415C-B811-68A9EADA6D76}"/>
    <cellStyle name="Comma 4 4 2 2 3 4" xfId="9667" xr:uid="{06C22C19-666F-42B2-B7A4-B3EB464D7EC1}"/>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EE8158FC-6FFD-42F7-B655-92B0AE3EEFE3}"/>
    <cellStyle name="Comma 4 4 2 2 4 2 3" xfId="12225" xr:uid="{A698697A-199E-4949-AD29-7E010D5DB57F}"/>
    <cellStyle name="Comma 4 4 2 2 4 3" xfId="5869" xr:uid="{00000000-0005-0000-0000-0000DB090000}"/>
    <cellStyle name="Comma 4 4 2 2 4 3 2" xfId="14298" xr:uid="{C7CCBA66-8DDD-4BBF-90B6-8AA94FF82C03}"/>
    <cellStyle name="Comma 4 4 2 2 4 4" xfId="10080" xr:uid="{A064BF9B-2DEB-467F-8569-A814F9344B36}"/>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CE73AFA1-2726-4E64-9BDB-A17473C54CEC}"/>
    <cellStyle name="Comma 4 4 2 2 5 2 3" xfId="12638" xr:uid="{6F0A5570-E3A1-4AD3-BE42-20A01CBF63E9}"/>
    <cellStyle name="Comma 4 4 2 2 5 3" xfId="6282" xr:uid="{00000000-0005-0000-0000-0000DF090000}"/>
    <cellStyle name="Comma 4 4 2 2 5 3 2" xfId="14711" xr:uid="{54DFA4AB-9CF8-491B-B2D9-7AE3729999BF}"/>
    <cellStyle name="Comma 4 4 2 2 5 4" xfId="10493" xr:uid="{4E96BE36-80F2-4471-99A4-92D51E6C4006}"/>
    <cellStyle name="Comma 4 4 2 2 6" xfId="2409" xr:uid="{00000000-0005-0000-0000-0000E0090000}"/>
    <cellStyle name="Comma 4 4 2 2 6 2" xfId="6695" xr:uid="{00000000-0005-0000-0000-0000E1090000}"/>
    <cellStyle name="Comma 4 4 2 2 6 2 2" xfId="15124" xr:uid="{B899372A-7DD3-47DD-95D5-84095B141973}"/>
    <cellStyle name="Comma 4 4 2 2 6 3" xfId="10906" xr:uid="{5676ECB5-5F5B-438D-9E07-4DD40262C3FB}"/>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EE76377D-5ABD-4DCD-8D82-0684EDE3213D}"/>
    <cellStyle name="Comma 4 4 2 2 8 3" xfId="11223" xr:uid="{3D1F9B44-846F-4E84-81E8-43646B759F37}"/>
    <cellStyle name="Comma 4 4 2 2 9" xfId="4629" xr:uid="{00000000-0005-0000-0000-0000E5090000}"/>
    <cellStyle name="Comma 4 4 2 2 9 2" xfId="13058" xr:uid="{D48FE547-EAA4-40ED-A0A5-656B32E70C59}"/>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8F4329CD-0156-437A-A7AF-A6D7543D30C1}"/>
    <cellStyle name="Comma 4 4 2 3 2 3" xfId="11398" xr:uid="{BA368A93-0868-451F-988D-F42030AB3E30}"/>
    <cellStyle name="Comma 4 4 2 3 3" xfId="5042" xr:uid="{00000000-0005-0000-0000-0000E9090000}"/>
    <cellStyle name="Comma 4 4 2 3 3 2" xfId="13471" xr:uid="{8FE1126E-95E0-4870-8228-B08DDA7B2DDB}"/>
    <cellStyle name="Comma 4 4 2 3 4" xfId="9253" xr:uid="{3615D6C5-22E9-4F52-94A2-A1EA51418938}"/>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AFE99288-5A75-4B8A-A79A-86F59410F932}"/>
    <cellStyle name="Comma 4 4 2 4 2 3" xfId="11811" xr:uid="{D8224144-946D-4DA6-ADE0-A924CE776B1D}"/>
    <cellStyle name="Comma 4 4 2 4 3" xfId="5455" xr:uid="{00000000-0005-0000-0000-0000ED090000}"/>
    <cellStyle name="Comma 4 4 2 4 3 2" xfId="13884" xr:uid="{C7AF8B71-167C-4798-9663-6DE23942D9DD}"/>
    <cellStyle name="Comma 4 4 2 4 4" xfId="9666" xr:uid="{1AF3B009-EBA8-4E14-B438-F5C55105EF2B}"/>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656E9945-FC41-41BC-AF48-5134A218533A}"/>
    <cellStyle name="Comma 4 4 2 5 2 3" xfId="12224" xr:uid="{75FF84FB-3281-4A98-9EC1-B788708CC100}"/>
    <cellStyle name="Comma 4 4 2 5 3" xfId="5868" xr:uid="{00000000-0005-0000-0000-0000F1090000}"/>
    <cellStyle name="Comma 4 4 2 5 3 2" xfId="14297" xr:uid="{BF2556B4-CB14-4D4D-A728-39C506092048}"/>
    <cellStyle name="Comma 4 4 2 5 4" xfId="10079" xr:uid="{182873F4-17BF-4357-A49A-BA22A79A9A58}"/>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3406F06C-6923-4E5A-A5D3-E7B67849FFA0}"/>
    <cellStyle name="Comma 4 4 2 6 2 3" xfId="12637" xr:uid="{8FF67A4A-1449-4DC6-BF02-4AAA2951E5B2}"/>
    <cellStyle name="Comma 4 4 2 6 3" xfId="6281" xr:uid="{00000000-0005-0000-0000-0000F5090000}"/>
    <cellStyle name="Comma 4 4 2 6 3 2" xfId="14710" xr:uid="{B200005E-1A6A-486C-A90B-FF1368D333D8}"/>
    <cellStyle name="Comma 4 4 2 6 4" xfId="10492" xr:uid="{9472ACB8-BE17-40F5-9472-8AA6EFFF136A}"/>
    <cellStyle name="Comma 4 4 2 7" xfId="2408" xr:uid="{00000000-0005-0000-0000-0000F6090000}"/>
    <cellStyle name="Comma 4 4 2 7 2" xfId="6694" xr:uid="{00000000-0005-0000-0000-0000F7090000}"/>
    <cellStyle name="Comma 4 4 2 7 2 2" xfId="15123" xr:uid="{DFA5B971-B129-4DA4-AC0E-A7220C794B8D}"/>
    <cellStyle name="Comma 4 4 2 7 3" xfId="10905" xr:uid="{30DD3FCA-0B94-4441-A2E2-E69050244917}"/>
    <cellStyle name="Comma 4 4 2 8" xfId="2704" xr:uid="{00000000-0005-0000-0000-0000F8090000}"/>
    <cellStyle name="Comma 4 4 2 9" xfId="2786" xr:uid="{00000000-0005-0000-0000-0000F9090000}"/>
    <cellStyle name="Comma 4 4 2 9 2" xfId="7011" xr:uid="{00000000-0005-0000-0000-0000FA090000}"/>
    <cellStyle name="Comma 4 4 2 9 2 2" xfId="15440" xr:uid="{26603062-4891-4945-8E03-C023A9AD26C2}"/>
    <cellStyle name="Comma 4 4 2 9 3" xfId="11222" xr:uid="{E99B4E4C-F1D8-4A12-9300-32E4E9E97D56}"/>
    <cellStyle name="Comma 4 4 3" xfId="156" xr:uid="{00000000-0005-0000-0000-0000FB090000}"/>
    <cellStyle name="Comma 4 4 3 10" xfId="8841" xr:uid="{3BB9E390-C72D-4F4F-BCF8-BC1B07DA6C04}"/>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617D75C0-4821-46DF-A775-8A59098EBC01}"/>
    <cellStyle name="Comma 4 4 3 2 2 3" xfId="11400" xr:uid="{0BDCB33D-21A3-419C-91F7-6D79880C25ED}"/>
    <cellStyle name="Comma 4 4 3 2 3" xfId="5044" xr:uid="{00000000-0005-0000-0000-0000FF090000}"/>
    <cellStyle name="Comma 4 4 3 2 3 2" xfId="13473" xr:uid="{D8521190-95BF-4E9F-ADCE-32B79E5F62BA}"/>
    <cellStyle name="Comma 4 4 3 2 4" xfId="9255" xr:uid="{2787AFF3-B5CE-44EF-9584-2A92263613C9}"/>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03F50ABE-3BDE-41E2-ABC4-E79BD0952E57}"/>
    <cellStyle name="Comma 4 4 3 3 2 3" xfId="11813" xr:uid="{7EB63059-A98A-4F9E-B4CF-9C2AE14B1633}"/>
    <cellStyle name="Comma 4 4 3 3 3" xfId="5457" xr:uid="{00000000-0005-0000-0000-0000030A0000}"/>
    <cellStyle name="Comma 4 4 3 3 3 2" xfId="13886" xr:uid="{C98DADF4-FFFC-49E7-BAC2-D24DE6390A07}"/>
    <cellStyle name="Comma 4 4 3 3 4" xfId="9668" xr:uid="{320E62C3-3B11-4103-92A1-511421156A72}"/>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64C8B5F9-3A51-4961-B52A-1885AAC3E796}"/>
    <cellStyle name="Comma 4 4 3 4 2 3" xfId="12226" xr:uid="{574C282F-70FE-4866-81E0-FDAE0E48466E}"/>
    <cellStyle name="Comma 4 4 3 4 3" xfId="5870" xr:uid="{00000000-0005-0000-0000-0000070A0000}"/>
    <cellStyle name="Comma 4 4 3 4 3 2" xfId="14299" xr:uid="{28FE179F-81BD-4967-957A-DEBB58198A82}"/>
    <cellStyle name="Comma 4 4 3 4 4" xfId="10081" xr:uid="{ADA10773-6DF1-4635-B2C9-16F2D0EC10BC}"/>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913DAAF0-B10B-4EFE-A0B9-BDA58CE7ECA5}"/>
    <cellStyle name="Comma 4 4 3 5 2 3" xfId="12639" xr:uid="{29F2FCF0-F575-44E3-9039-0F932ED6E6AD}"/>
    <cellStyle name="Comma 4 4 3 5 3" xfId="6283" xr:uid="{00000000-0005-0000-0000-00000B0A0000}"/>
    <cellStyle name="Comma 4 4 3 5 3 2" xfId="14712" xr:uid="{62BF4E97-A0F3-4906-9485-3D3690DE61E5}"/>
    <cellStyle name="Comma 4 4 3 5 4" xfId="10494" xr:uid="{88015BCC-8706-4C07-B4A5-702D692BB95C}"/>
    <cellStyle name="Comma 4 4 3 6" xfId="2410" xr:uid="{00000000-0005-0000-0000-00000C0A0000}"/>
    <cellStyle name="Comma 4 4 3 6 2" xfId="6696" xr:uid="{00000000-0005-0000-0000-00000D0A0000}"/>
    <cellStyle name="Comma 4 4 3 6 2 2" xfId="15125" xr:uid="{FE6E25BA-327F-45A0-A326-ACBFF8A948AE}"/>
    <cellStyle name="Comma 4 4 3 6 3" xfId="10907" xr:uid="{4A76D1AB-845F-42DA-9730-6CDD004F1834}"/>
    <cellStyle name="Comma 4 4 3 7" xfId="2706" xr:uid="{00000000-0005-0000-0000-00000E0A0000}"/>
    <cellStyle name="Comma 4 4 3 8" xfId="2788" xr:uid="{00000000-0005-0000-0000-00000F0A0000}"/>
    <cellStyle name="Comma 4 4 3 8 2" xfId="7013" xr:uid="{00000000-0005-0000-0000-0000100A0000}"/>
    <cellStyle name="Comma 4 4 3 8 2 2" xfId="15442" xr:uid="{744FCE2C-77C5-40D6-BCE0-DAA26916825E}"/>
    <cellStyle name="Comma 4 4 3 8 3" xfId="11224" xr:uid="{06D4B388-08BB-407A-A486-5488D4F6497B}"/>
    <cellStyle name="Comma 4 4 3 9" xfId="4630" xr:uid="{00000000-0005-0000-0000-0000110A0000}"/>
    <cellStyle name="Comma 4 4 3 9 2" xfId="13059" xr:uid="{16749FD8-0544-4F69-A416-78E932D119C3}"/>
    <cellStyle name="Comma 4 4 4" xfId="691" xr:uid="{00000000-0005-0000-0000-0000120A0000}"/>
    <cellStyle name="Comma 4 4 4 2" xfId="2962" xr:uid="{00000000-0005-0000-0000-0000130A0000}"/>
    <cellStyle name="Comma 4 4 4 2 2" xfId="7186" xr:uid="{00000000-0005-0000-0000-0000140A0000}"/>
    <cellStyle name="Comma 4 4 4 2 2 2" xfId="15615" xr:uid="{0C59D38C-E293-4531-89B7-1391306265E4}"/>
    <cellStyle name="Comma 4 4 4 2 3" xfId="11397" xr:uid="{35DCBA7C-3455-43BC-8A4B-6E3415A7B1D5}"/>
    <cellStyle name="Comma 4 4 4 3" xfId="5041" xr:uid="{00000000-0005-0000-0000-0000150A0000}"/>
    <cellStyle name="Comma 4 4 4 3 2" xfId="13470" xr:uid="{67A92DAB-7008-4353-9421-E17D16976734}"/>
    <cellStyle name="Comma 4 4 4 4" xfId="9252" xr:uid="{28574716-E057-4BDF-BD5D-EE16F4EE46AE}"/>
    <cellStyle name="Comma 4 4 5" xfId="1144" xr:uid="{00000000-0005-0000-0000-0000160A0000}"/>
    <cellStyle name="Comma 4 4 5 2" xfId="3375" xr:uid="{00000000-0005-0000-0000-0000170A0000}"/>
    <cellStyle name="Comma 4 4 5 2 2" xfId="7599" xr:uid="{00000000-0005-0000-0000-0000180A0000}"/>
    <cellStyle name="Comma 4 4 5 2 2 2" xfId="16028" xr:uid="{81AC5ECD-7DC9-4236-8E18-7141E3A48BBD}"/>
    <cellStyle name="Comma 4 4 5 2 3" xfId="11810" xr:uid="{13E90D43-C682-4692-BE0A-21270B3B3DB5}"/>
    <cellStyle name="Comma 4 4 5 3" xfId="5454" xr:uid="{00000000-0005-0000-0000-0000190A0000}"/>
    <cellStyle name="Comma 4 4 5 3 2" xfId="13883" xr:uid="{D6912F12-98ED-471D-B4D5-758AB9B3348E}"/>
    <cellStyle name="Comma 4 4 5 4" xfId="9665" xr:uid="{5A8AF261-3D0D-4A26-A242-8478ADD58275}"/>
    <cellStyle name="Comma 4 4 6" xfId="1558" xr:uid="{00000000-0005-0000-0000-00001A0A0000}"/>
    <cellStyle name="Comma 4 4 6 2" xfId="3788" xr:uid="{00000000-0005-0000-0000-00001B0A0000}"/>
    <cellStyle name="Comma 4 4 6 2 2" xfId="8012" xr:uid="{00000000-0005-0000-0000-00001C0A0000}"/>
    <cellStyle name="Comma 4 4 6 2 2 2" xfId="16441" xr:uid="{97D61174-CF69-4628-9A8D-4851796C017F}"/>
    <cellStyle name="Comma 4 4 6 2 3" xfId="12223" xr:uid="{3B3493B2-9F1C-46A7-9D7F-2AE514942CB7}"/>
    <cellStyle name="Comma 4 4 6 3" xfId="5867" xr:uid="{00000000-0005-0000-0000-00001D0A0000}"/>
    <cellStyle name="Comma 4 4 6 3 2" xfId="14296" xr:uid="{853A48CF-C514-44CF-B387-CE1A19CA14A1}"/>
    <cellStyle name="Comma 4 4 6 4" xfId="10078" xr:uid="{040432D9-7284-4089-93D0-221097D9CAC2}"/>
    <cellStyle name="Comma 4 4 7" xfId="1972" xr:uid="{00000000-0005-0000-0000-00001E0A0000}"/>
    <cellStyle name="Comma 4 4 7 2" xfId="4201" xr:uid="{00000000-0005-0000-0000-00001F0A0000}"/>
    <cellStyle name="Comma 4 4 7 2 2" xfId="8425" xr:uid="{00000000-0005-0000-0000-0000200A0000}"/>
    <cellStyle name="Comma 4 4 7 2 2 2" xfId="16854" xr:uid="{11DFD430-C098-4472-AE55-78AA55F2E8F3}"/>
    <cellStyle name="Comma 4 4 7 2 3" xfId="12636" xr:uid="{99D2F10C-A621-41FE-BA40-6CCC7E8B7C40}"/>
    <cellStyle name="Comma 4 4 7 3" xfId="6280" xr:uid="{00000000-0005-0000-0000-0000210A0000}"/>
    <cellStyle name="Comma 4 4 7 3 2" xfId="14709" xr:uid="{CCBE4C1C-0DCF-4DC1-A236-FF27546C68C3}"/>
    <cellStyle name="Comma 4 4 7 4" xfId="10491" xr:uid="{4C00DFE5-D2AE-4F45-AD0C-692ED449676B}"/>
    <cellStyle name="Comma 4 4 8" xfId="2407" xr:uid="{00000000-0005-0000-0000-0000220A0000}"/>
    <cellStyle name="Comma 4 4 8 2" xfId="6693" xr:uid="{00000000-0005-0000-0000-0000230A0000}"/>
    <cellStyle name="Comma 4 4 8 2 2" xfId="15122" xr:uid="{696B2F99-6B07-4D7F-A30E-37B3D012C286}"/>
    <cellStyle name="Comma 4 4 8 3" xfId="10904" xr:uid="{4BCCF510-E423-43FA-BACB-C862A8704D87}"/>
    <cellStyle name="Comma 4 4 9" xfId="2703" xr:uid="{00000000-0005-0000-0000-0000240A0000}"/>
    <cellStyle name="Comma 4 5" xfId="157" xr:uid="{00000000-0005-0000-0000-0000250A0000}"/>
    <cellStyle name="Comma 4 5 10" xfId="4631" xr:uid="{00000000-0005-0000-0000-0000260A0000}"/>
    <cellStyle name="Comma 4 5 10 2" xfId="13060" xr:uid="{944642F0-2CC7-4B8D-AFA8-2C2FF150501F}"/>
    <cellStyle name="Comma 4 5 11" xfId="8842" xr:uid="{F8F68887-48D9-4B6B-9243-73112EA75494}"/>
    <cellStyle name="Comma 4 5 2" xfId="158" xr:uid="{00000000-0005-0000-0000-0000270A0000}"/>
    <cellStyle name="Comma 4 5 2 10" xfId="8843" xr:uid="{4CEE3387-A573-4027-B6E1-C5F73CACB800}"/>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D6568A6D-A9A1-4AFB-9F86-ABDE820738C8}"/>
    <cellStyle name="Comma 4 5 2 2 2 3" xfId="11402" xr:uid="{4C6C3720-9C90-4169-A9AC-4381DEEBC9F0}"/>
    <cellStyle name="Comma 4 5 2 2 3" xfId="5046" xr:uid="{00000000-0005-0000-0000-00002B0A0000}"/>
    <cellStyle name="Comma 4 5 2 2 3 2" xfId="13475" xr:uid="{9956D4B4-F245-4489-BEAD-64B60A5CF4FA}"/>
    <cellStyle name="Comma 4 5 2 2 4" xfId="9257" xr:uid="{160E2041-39FD-4F37-91B9-E2B1A0E51C9E}"/>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8FF6E163-9610-4409-A127-ABA167F5D840}"/>
    <cellStyle name="Comma 4 5 2 3 2 3" xfId="11815" xr:uid="{4658B5D2-FBC6-498F-ADC3-E29D9377CE20}"/>
    <cellStyle name="Comma 4 5 2 3 3" xfId="5459" xr:uid="{00000000-0005-0000-0000-00002F0A0000}"/>
    <cellStyle name="Comma 4 5 2 3 3 2" xfId="13888" xr:uid="{9E77A0AD-5AFF-49D3-98DB-B162B2201897}"/>
    <cellStyle name="Comma 4 5 2 3 4" xfId="9670" xr:uid="{2E14E724-D52A-451F-9699-1D16D61F5B8B}"/>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2212E128-4378-487B-8765-A55200B63514}"/>
    <cellStyle name="Comma 4 5 2 4 2 3" xfId="12228" xr:uid="{7388C998-6CF6-4C8A-B830-FC7A4142B789}"/>
    <cellStyle name="Comma 4 5 2 4 3" xfId="5872" xr:uid="{00000000-0005-0000-0000-0000330A0000}"/>
    <cellStyle name="Comma 4 5 2 4 3 2" xfId="14301" xr:uid="{CA56858A-ADFF-46BC-ABC1-CE7E262F3B20}"/>
    <cellStyle name="Comma 4 5 2 4 4" xfId="10083" xr:uid="{EFAA8B81-812F-43F5-ACE4-EFC77457B4F7}"/>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F96089F5-467E-4D81-B0D9-06D9EF4C8679}"/>
    <cellStyle name="Comma 4 5 2 5 2 3" xfId="12641" xr:uid="{AA5E95FB-F9B0-4886-962E-96C5A5CFAC14}"/>
    <cellStyle name="Comma 4 5 2 5 3" xfId="6285" xr:uid="{00000000-0005-0000-0000-0000370A0000}"/>
    <cellStyle name="Comma 4 5 2 5 3 2" xfId="14714" xr:uid="{D46B04EC-DD6D-4A06-9F0F-BB59769E03F9}"/>
    <cellStyle name="Comma 4 5 2 5 4" xfId="10496" xr:uid="{63776862-C503-4B5B-A98B-76FA6353743E}"/>
    <cellStyle name="Comma 4 5 2 6" xfId="2412" xr:uid="{00000000-0005-0000-0000-0000380A0000}"/>
    <cellStyle name="Comma 4 5 2 6 2" xfId="6698" xr:uid="{00000000-0005-0000-0000-0000390A0000}"/>
    <cellStyle name="Comma 4 5 2 6 2 2" xfId="15127" xr:uid="{ECF6A86B-A70F-4564-BD19-5F0CAABBA5E6}"/>
    <cellStyle name="Comma 4 5 2 6 3" xfId="10909" xr:uid="{925F2CFA-E1EC-4FF1-881C-608147753AF3}"/>
    <cellStyle name="Comma 4 5 2 7" xfId="2708" xr:uid="{00000000-0005-0000-0000-00003A0A0000}"/>
    <cellStyle name="Comma 4 5 2 8" xfId="2790" xr:uid="{00000000-0005-0000-0000-00003B0A0000}"/>
    <cellStyle name="Comma 4 5 2 8 2" xfId="7015" xr:uid="{00000000-0005-0000-0000-00003C0A0000}"/>
    <cellStyle name="Comma 4 5 2 8 2 2" xfId="15444" xr:uid="{30D11DDF-6578-47EF-8FFF-3ED37799FC79}"/>
    <cellStyle name="Comma 4 5 2 8 3" xfId="11226" xr:uid="{38172DCD-4AC2-4214-BEF9-6B5FECCDF0C2}"/>
    <cellStyle name="Comma 4 5 2 9" xfId="4632" xr:uid="{00000000-0005-0000-0000-00003D0A0000}"/>
    <cellStyle name="Comma 4 5 2 9 2" xfId="13061" xr:uid="{5B472461-FFC3-4824-A01B-9BAB9E44CEF8}"/>
    <cellStyle name="Comma 4 5 3" xfId="695" xr:uid="{00000000-0005-0000-0000-00003E0A0000}"/>
    <cellStyle name="Comma 4 5 3 2" xfId="2966" xr:uid="{00000000-0005-0000-0000-00003F0A0000}"/>
    <cellStyle name="Comma 4 5 3 2 2" xfId="7190" xr:uid="{00000000-0005-0000-0000-0000400A0000}"/>
    <cellStyle name="Comma 4 5 3 2 2 2" xfId="15619" xr:uid="{E0F7A3AD-29E6-4427-BE61-489F499B2723}"/>
    <cellStyle name="Comma 4 5 3 2 3" xfId="11401" xr:uid="{E741DA4A-5AB7-4945-BC9F-BA7C1B5DE0B0}"/>
    <cellStyle name="Comma 4 5 3 3" xfId="5045" xr:uid="{00000000-0005-0000-0000-0000410A0000}"/>
    <cellStyle name="Comma 4 5 3 3 2" xfId="13474" xr:uid="{5DDEADD3-243F-48BF-8760-C42F8DF0613D}"/>
    <cellStyle name="Comma 4 5 3 4" xfId="9256" xr:uid="{860F0AF4-23B4-4CB2-A8AF-618E65926A84}"/>
    <cellStyle name="Comma 4 5 4" xfId="1148" xr:uid="{00000000-0005-0000-0000-0000420A0000}"/>
    <cellStyle name="Comma 4 5 4 2" xfId="3379" xr:uid="{00000000-0005-0000-0000-0000430A0000}"/>
    <cellStyle name="Comma 4 5 4 2 2" xfId="7603" xr:uid="{00000000-0005-0000-0000-0000440A0000}"/>
    <cellStyle name="Comma 4 5 4 2 2 2" xfId="16032" xr:uid="{CCAE3A40-E061-46E0-B669-32124040B954}"/>
    <cellStyle name="Comma 4 5 4 2 3" xfId="11814" xr:uid="{0EDCCD78-F932-4414-98A0-5C75B9B4C8C9}"/>
    <cellStyle name="Comma 4 5 4 3" xfId="5458" xr:uid="{00000000-0005-0000-0000-0000450A0000}"/>
    <cellStyle name="Comma 4 5 4 3 2" xfId="13887" xr:uid="{D3605F3C-3AFD-4CD9-943B-24219A7B7FEC}"/>
    <cellStyle name="Comma 4 5 4 4" xfId="9669" xr:uid="{4364C42C-61E6-496B-93FA-BE322719067A}"/>
    <cellStyle name="Comma 4 5 5" xfId="1562" xr:uid="{00000000-0005-0000-0000-0000460A0000}"/>
    <cellStyle name="Comma 4 5 5 2" xfId="3792" xr:uid="{00000000-0005-0000-0000-0000470A0000}"/>
    <cellStyle name="Comma 4 5 5 2 2" xfId="8016" xr:uid="{00000000-0005-0000-0000-0000480A0000}"/>
    <cellStyle name="Comma 4 5 5 2 2 2" xfId="16445" xr:uid="{17BC1557-9638-43C0-AD60-3086D13BF91C}"/>
    <cellStyle name="Comma 4 5 5 2 3" xfId="12227" xr:uid="{8EB15654-BBAB-4ADE-A17D-65D0E4188BAC}"/>
    <cellStyle name="Comma 4 5 5 3" xfId="5871" xr:uid="{00000000-0005-0000-0000-0000490A0000}"/>
    <cellStyle name="Comma 4 5 5 3 2" xfId="14300" xr:uid="{3E717758-A865-4CD6-BE24-4E5CE4790A0F}"/>
    <cellStyle name="Comma 4 5 5 4" xfId="10082" xr:uid="{948B8175-0884-471D-BF61-553A262D95ED}"/>
    <cellStyle name="Comma 4 5 6" xfId="1976" xr:uid="{00000000-0005-0000-0000-00004A0A0000}"/>
    <cellStyle name="Comma 4 5 6 2" xfId="4205" xr:uid="{00000000-0005-0000-0000-00004B0A0000}"/>
    <cellStyle name="Comma 4 5 6 2 2" xfId="8429" xr:uid="{00000000-0005-0000-0000-00004C0A0000}"/>
    <cellStyle name="Comma 4 5 6 2 2 2" xfId="16858" xr:uid="{2DBC983D-5A1A-41CB-B0F3-D89CA8EFBEE7}"/>
    <cellStyle name="Comma 4 5 6 2 3" xfId="12640" xr:uid="{167E72A4-232F-4B6E-BD68-D039DDFB73B7}"/>
    <cellStyle name="Comma 4 5 6 3" xfId="6284" xr:uid="{00000000-0005-0000-0000-00004D0A0000}"/>
    <cellStyle name="Comma 4 5 6 3 2" xfId="14713" xr:uid="{AB62BBD2-B499-4C81-A6F2-BFD26BA0FD42}"/>
    <cellStyle name="Comma 4 5 6 4" xfId="10495" xr:uid="{F137B6FA-FA83-425E-AC18-57EF1B50024A}"/>
    <cellStyle name="Comma 4 5 7" xfId="2411" xr:uid="{00000000-0005-0000-0000-00004E0A0000}"/>
    <cellStyle name="Comma 4 5 7 2" xfId="6697" xr:uid="{00000000-0005-0000-0000-00004F0A0000}"/>
    <cellStyle name="Comma 4 5 7 2 2" xfId="15126" xr:uid="{4C2827F9-728D-4B5F-9E29-99E5BEB59066}"/>
    <cellStyle name="Comma 4 5 7 3" xfId="10908" xr:uid="{52901579-77A4-499E-9F95-85DDCD07ED80}"/>
    <cellStyle name="Comma 4 5 8" xfId="2707" xr:uid="{00000000-0005-0000-0000-0000500A0000}"/>
    <cellStyle name="Comma 4 5 9" xfId="2789" xr:uid="{00000000-0005-0000-0000-0000510A0000}"/>
    <cellStyle name="Comma 4 5 9 2" xfId="7014" xr:uid="{00000000-0005-0000-0000-0000520A0000}"/>
    <cellStyle name="Comma 4 5 9 2 2" xfId="15443" xr:uid="{D7D2474F-9F99-40D2-BFCA-B1E48201B58E}"/>
    <cellStyle name="Comma 4 5 9 3" xfId="11225" xr:uid="{BEAE06EB-5840-4657-84B7-4D428F10BA67}"/>
    <cellStyle name="Comma 4 6" xfId="159" xr:uid="{00000000-0005-0000-0000-0000530A0000}"/>
    <cellStyle name="Comma 4 6 10" xfId="8844" xr:uid="{D771CE62-C3FE-42A2-B670-1959C5F37AEF}"/>
    <cellStyle name="Comma 4 6 2" xfId="697" xr:uid="{00000000-0005-0000-0000-0000540A0000}"/>
    <cellStyle name="Comma 4 6 2 2" xfId="2968" xr:uid="{00000000-0005-0000-0000-0000550A0000}"/>
    <cellStyle name="Comma 4 6 2 2 2" xfId="7192" xr:uid="{00000000-0005-0000-0000-0000560A0000}"/>
    <cellStyle name="Comma 4 6 2 2 2 2" xfId="15621" xr:uid="{48096C5E-BA26-40E0-BCC1-5569BA56D222}"/>
    <cellStyle name="Comma 4 6 2 2 3" xfId="11403" xr:uid="{4C196B3D-07EF-48C8-BB99-C2E7FDC2EBC8}"/>
    <cellStyle name="Comma 4 6 2 3" xfId="5047" xr:uid="{00000000-0005-0000-0000-0000570A0000}"/>
    <cellStyle name="Comma 4 6 2 3 2" xfId="13476" xr:uid="{7EE6AC0F-F302-4312-9695-705BB74F40AA}"/>
    <cellStyle name="Comma 4 6 2 4" xfId="9258" xr:uid="{4E87FDB8-920A-4F5D-A5ED-9F6EAFC5AC98}"/>
    <cellStyle name="Comma 4 6 3" xfId="1150" xr:uid="{00000000-0005-0000-0000-0000580A0000}"/>
    <cellStyle name="Comma 4 6 3 2" xfId="3381" xr:uid="{00000000-0005-0000-0000-0000590A0000}"/>
    <cellStyle name="Comma 4 6 3 2 2" xfId="7605" xr:uid="{00000000-0005-0000-0000-00005A0A0000}"/>
    <cellStyle name="Comma 4 6 3 2 2 2" xfId="16034" xr:uid="{48F59971-B4AA-422C-B08A-E622A531C123}"/>
    <cellStyle name="Comma 4 6 3 2 3" xfId="11816" xr:uid="{396B812E-9DB4-438C-895E-8A8331F7E6BA}"/>
    <cellStyle name="Comma 4 6 3 3" xfId="5460" xr:uid="{00000000-0005-0000-0000-00005B0A0000}"/>
    <cellStyle name="Comma 4 6 3 3 2" xfId="13889" xr:uid="{849F1AA5-4ABA-4CC2-BE51-E4508154FBBE}"/>
    <cellStyle name="Comma 4 6 3 4" xfId="9671" xr:uid="{94281DCD-42F7-4F59-A5F9-FF0D061E0D7F}"/>
    <cellStyle name="Comma 4 6 4" xfId="1564" xr:uid="{00000000-0005-0000-0000-00005C0A0000}"/>
    <cellStyle name="Comma 4 6 4 2" xfId="3794" xr:uid="{00000000-0005-0000-0000-00005D0A0000}"/>
    <cellStyle name="Comma 4 6 4 2 2" xfId="8018" xr:uid="{00000000-0005-0000-0000-00005E0A0000}"/>
    <cellStyle name="Comma 4 6 4 2 2 2" xfId="16447" xr:uid="{7973A64A-93E0-4A4F-A8EE-82AF82427358}"/>
    <cellStyle name="Comma 4 6 4 2 3" xfId="12229" xr:uid="{8B210A56-2A60-4B73-A73A-B91D1D1C1BF7}"/>
    <cellStyle name="Comma 4 6 4 3" xfId="5873" xr:uid="{00000000-0005-0000-0000-00005F0A0000}"/>
    <cellStyle name="Comma 4 6 4 3 2" xfId="14302" xr:uid="{29AC7A9E-BDE3-42A8-9064-F2D3CA32C7B4}"/>
    <cellStyle name="Comma 4 6 4 4" xfId="10084" xr:uid="{9FE71CBC-DE86-4511-B2AD-2BB4DDF88E85}"/>
    <cellStyle name="Comma 4 6 5" xfId="1978" xr:uid="{00000000-0005-0000-0000-0000600A0000}"/>
    <cellStyle name="Comma 4 6 5 2" xfId="4207" xr:uid="{00000000-0005-0000-0000-0000610A0000}"/>
    <cellStyle name="Comma 4 6 5 2 2" xfId="8431" xr:uid="{00000000-0005-0000-0000-0000620A0000}"/>
    <cellStyle name="Comma 4 6 5 2 2 2" xfId="16860" xr:uid="{64DAFFE5-4129-4801-B23A-08BD3E6DB9ED}"/>
    <cellStyle name="Comma 4 6 5 2 3" xfId="12642" xr:uid="{4BCC302B-52E9-41B4-9B38-FD4763AE8526}"/>
    <cellStyle name="Comma 4 6 5 3" xfId="6286" xr:uid="{00000000-0005-0000-0000-0000630A0000}"/>
    <cellStyle name="Comma 4 6 5 3 2" xfId="14715" xr:uid="{208724B3-E936-4066-B827-0A5BA34184BD}"/>
    <cellStyle name="Comma 4 6 5 4" xfId="10497" xr:uid="{9ED74689-F87F-497D-84C4-CFB50E8B8D60}"/>
    <cellStyle name="Comma 4 6 6" xfId="2413" xr:uid="{00000000-0005-0000-0000-0000640A0000}"/>
    <cellStyle name="Comma 4 6 6 2" xfId="6699" xr:uid="{00000000-0005-0000-0000-0000650A0000}"/>
    <cellStyle name="Comma 4 6 6 2 2" xfId="15128" xr:uid="{DB867660-489A-4B4D-B658-F065644BFDD9}"/>
    <cellStyle name="Comma 4 6 6 3" xfId="10910" xr:uid="{C0245120-7EB9-47A6-AFB4-104DE8A559F4}"/>
    <cellStyle name="Comma 4 6 7" xfId="2709" xr:uid="{00000000-0005-0000-0000-0000660A0000}"/>
    <cellStyle name="Comma 4 6 8" xfId="2791" xr:uid="{00000000-0005-0000-0000-0000670A0000}"/>
    <cellStyle name="Comma 4 6 8 2" xfId="7016" xr:uid="{00000000-0005-0000-0000-0000680A0000}"/>
    <cellStyle name="Comma 4 6 8 2 2" xfId="15445" xr:uid="{96FA4890-3AF6-47AF-B30A-6F1A9B5041F6}"/>
    <cellStyle name="Comma 4 6 8 3" xfId="11227" xr:uid="{D680132B-AE4A-4384-8BA1-B8B7A3A1C70D}"/>
    <cellStyle name="Comma 4 6 9" xfId="4633" xr:uid="{00000000-0005-0000-0000-0000690A0000}"/>
    <cellStyle name="Comma 4 6 9 2" xfId="13062" xr:uid="{DA0A0D62-498F-40CC-8B9B-388866C3595A}"/>
    <cellStyle name="Comma 4 7" xfId="160" xr:uid="{00000000-0005-0000-0000-00006A0A0000}"/>
    <cellStyle name="Comma 4 7 10" xfId="8845" xr:uid="{FD6DFE80-745A-4C3B-AD70-9E2851BAADE1}"/>
    <cellStyle name="Comma 4 7 2" xfId="698" xr:uid="{00000000-0005-0000-0000-00006B0A0000}"/>
    <cellStyle name="Comma 4 7 2 2" xfId="2969" xr:uid="{00000000-0005-0000-0000-00006C0A0000}"/>
    <cellStyle name="Comma 4 7 2 2 2" xfId="7193" xr:uid="{00000000-0005-0000-0000-00006D0A0000}"/>
    <cellStyle name="Comma 4 7 2 2 2 2" xfId="15622" xr:uid="{A67A423E-F4F1-4D15-A674-321613FB02BC}"/>
    <cellStyle name="Comma 4 7 2 2 3" xfId="11404" xr:uid="{808ECAA0-3259-45CE-A1B6-04EF283852D9}"/>
    <cellStyle name="Comma 4 7 2 3" xfId="5048" xr:uid="{00000000-0005-0000-0000-00006E0A0000}"/>
    <cellStyle name="Comma 4 7 2 3 2" xfId="13477" xr:uid="{581462D7-0F06-4034-8D7A-99F48FCBB3F1}"/>
    <cellStyle name="Comma 4 7 2 4" xfId="9259" xr:uid="{0AEA0DD7-2606-4B59-A4F0-B7CC34D648AE}"/>
    <cellStyle name="Comma 4 7 3" xfId="1151" xr:uid="{00000000-0005-0000-0000-00006F0A0000}"/>
    <cellStyle name="Comma 4 7 3 2" xfId="3382" xr:uid="{00000000-0005-0000-0000-0000700A0000}"/>
    <cellStyle name="Comma 4 7 3 2 2" xfId="7606" xr:uid="{00000000-0005-0000-0000-0000710A0000}"/>
    <cellStyle name="Comma 4 7 3 2 2 2" xfId="16035" xr:uid="{F9D9B218-EAB3-43DD-A730-1A3EA414D4EC}"/>
    <cellStyle name="Comma 4 7 3 2 3" xfId="11817" xr:uid="{0A69C8AA-3609-4213-AADC-F39AFD979ACA}"/>
    <cellStyle name="Comma 4 7 3 3" xfId="5461" xr:uid="{00000000-0005-0000-0000-0000720A0000}"/>
    <cellStyle name="Comma 4 7 3 3 2" xfId="13890" xr:uid="{ABD6DF41-24E5-4A26-89E2-F982CF82CDCA}"/>
    <cellStyle name="Comma 4 7 3 4" xfId="9672" xr:uid="{0E6D1727-539B-4584-808D-EB6DE1A66C15}"/>
    <cellStyle name="Comma 4 7 4" xfId="1565" xr:uid="{00000000-0005-0000-0000-0000730A0000}"/>
    <cellStyle name="Comma 4 7 4 2" xfId="3795" xr:uid="{00000000-0005-0000-0000-0000740A0000}"/>
    <cellStyle name="Comma 4 7 4 2 2" xfId="8019" xr:uid="{00000000-0005-0000-0000-0000750A0000}"/>
    <cellStyle name="Comma 4 7 4 2 2 2" xfId="16448" xr:uid="{5215D0DF-F258-40FF-BF6C-FFDD6828B98F}"/>
    <cellStyle name="Comma 4 7 4 2 3" xfId="12230" xr:uid="{0FC118C4-B836-46AE-8B49-FAE983886921}"/>
    <cellStyle name="Comma 4 7 4 3" xfId="5874" xr:uid="{00000000-0005-0000-0000-0000760A0000}"/>
    <cellStyle name="Comma 4 7 4 3 2" xfId="14303" xr:uid="{E99FEF4D-5E4A-46DE-89B2-9B4B0969DB8B}"/>
    <cellStyle name="Comma 4 7 4 4" xfId="10085" xr:uid="{9AB4BE74-7740-45FD-90EC-FA5512506C40}"/>
    <cellStyle name="Comma 4 7 5" xfId="1979" xr:uid="{00000000-0005-0000-0000-0000770A0000}"/>
    <cellStyle name="Comma 4 7 5 2" xfId="4208" xr:uid="{00000000-0005-0000-0000-0000780A0000}"/>
    <cellStyle name="Comma 4 7 5 2 2" xfId="8432" xr:uid="{00000000-0005-0000-0000-0000790A0000}"/>
    <cellStyle name="Comma 4 7 5 2 2 2" xfId="16861" xr:uid="{4A95CDB0-BB78-48B5-9496-A78A9E43449E}"/>
    <cellStyle name="Comma 4 7 5 2 3" xfId="12643" xr:uid="{FD2E6647-114A-4442-B10F-D0BEAF901286}"/>
    <cellStyle name="Comma 4 7 5 3" xfId="6287" xr:uid="{00000000-0005-0000-0000-00007A0A0000}"/>
    <cellStyle name="Comma 4 7 5 3 2" xfId="14716" xr:uid="{133ED972-36D1-455D-B2A5-9644E0B6BFEF}"/>
    <cellStyle name="Comma 4 7 5 4" xfId="10498" xr:uid="{072A7797-A8D6-41A8-AC16-0325FE2370BC}"/>
    <cellStyle name="Comma 4 7 6" xfId="2414" xr:uid="{00000000-0005-0000-0000-00007B0A0000}"/>
    <cellStyle name="Comma 4 7 6 2" xfId="6700" xr:uid="{00000000-0005-0000-0000-00007C0A0000}"/>
    <cellStyle name="Comma 4 7 6 2 2" xfId="15129" xr:uid="{324C93DB-3396-482B-9B00-757954184B5F}"/>
    <cellStyle name="Comma 4 7 6 3" xfId="10911" xr:uid="{5E2C6B30-89A2-4935-9ED1-FF192742FA8E}"/>
    <cellStyle name="Comma 4 7 7" xfId="2710" xr:uid="{00000000-0005-0000-0000-00007D0A0000}"/>
    <cellStyle name="Comma 4 7 8" xfId="2792" xr:uid="{00000000-0005-0000-0000-00007E0A0000}"/>
    <cellStyle name="Comma 4 7 8 2" xfId="7017" xr:uid="{00000000-0005-0000-0000-00007F0A0000}"/>
    <cellStyle name="Comma 4 7 8 2 2" xfId="15446" xr:uid="{EF3016FC-3F80-4073-9FAE-CC43B34DAF2C}"/>
    <cellStyle name="Comma 4 7 8 3" xfId="11228" xr:uid="{B34BB293-0B33-4512-8928-5623F1D9E1BB}"/>
    <cellStyle name="Comma 4 7 9" xfId="4634" xr:uid="{00000000-0005-0000-0000-0000800A0000}"/>
    <cellStyle name="Comma 4 7 9 2" xfId="13063" xr:uid="{CCCA41F3-9CA1-48D4-ACAA-427BC598B72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B64FA1D1-F458-4B89-968A-CBFB9AF711E7}"/>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3DF79ACF-C3DF-448D-85FA-F825B943AEFA}"/>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6D583342-61C2-4BAF-B31F-56A5C80C55CA}"/>
    <cellStyle name="Currency 3 2 2 10 3" xfId="11229" xr:uid="{1FE009B9-A7C9-40DE-9ECE-50085FF99E42}"/>
    <cellStyle name="Currency 3 2 2 11" xfId="4635" xr:uid="{00000000-0005-0000-0000-0000A50A0000}"/>
    <cellStyle name="Currency 3 2 2 11 2" xfId="13064" xr:uid="{6400E41B-B39C-4F8D-AB7B-7157C47BDEC4}"/>
    <cellStyle name="Currency 3 2 2 12" xfId="8846" xr:uid="{80E81ED3-49F0-4B38-A3ED-78B5E6E9398D}"/>
    <cellStyle name="Currency 3 2 2 2" xfId="179" xr:uid="{00000000-0005-0000-0000-0000A60A0000}"/>
    <cellStyle name="Currency 3 2 2 2 10" xfId="4636" xr:uid="{00000000-0005-0000-0000-0000A70A0000}"/>
    <cellStyle name="Currency 3 2 2 2 10 2" xfId="13065" xr:uid="{556F9A7F-6884-4F37-8C43-1CBB5E4B8763}"/>
    <cellStyle name="Currency 3 2 2 2 11" xfId="8847" xr:uid="{4B2AB09A-4E87-4598-B4A9-165988F10FF0}"/>
    <cellStyle name="Currency 3 2 2 2 2" xfId="180" xr:uid="{00000000-0005-0000-0000-0000A80A0000}"/>
    <cellStyle name="Currency 3 2 2 2 2 10" xfId="8848" xr:uid="{57C1D66D-4B4C-4A11-836F-0CCEF7A35347}"/>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088F2234-88DE-433C-B7EB-31D94477616F}"/>
    <cellStyle name="Currency 3 2 2 2 2 2 2 3" xfId="11407" xr:uid="{43C0A9DD-1779-48A7-984A-4FA5647C4C2C}"/>
    <cellStyle name="Currency 3 2 2 2 2 2 3" xfId="5051" xr:uid="{00000000-0005-0000-0000-0000AC0A0000}"/>
    <cellStyle name="Currency 3 2 2 2 2 2 3 2" xfId="13480" xr:uid="{568A7A59-2DAE-432B-8374-838AC6CD0720}"/>
    <cellStyle name="Currency 3 2 2 2 2 2 4" xfId="9262" xr:uid="{25383B2A-7377-437A-9C4E-5DC29958730C}"/>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FCBC37D4-46C5-432F-AD73-F3F31CEBFD73}"/>
    <cellStyle name="Currency 3 2 2 2 2 3 2 3" xfId="11820" xr:uid="{80A28A76-BE3E-49E1-B6EE-B111DDC55D41}"/>
    <cellStyle name="Currency 3 2 2 2 2 3 3" xfId="5464" xr:uid="{00000000-0005-0000-0000-0000B00A0000}"/>
    <cellStyle name="Currency 3 2 2 2 2 3 3 2" xfId="13893" xr:uid="{972EBA51-DC32-45CB-AB07-989163C4C806}"/>
    <cellStyle name="Currency 3 2 2 2 2 3 4" xfId="9675" xr:uid="{B85E6C5D-EF88-4CDF-A48F-0817666D75FE}"/>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4E0010CD-3E65-43A1-9AB0-F8DBAB2F1FE5}"/>
    <cellStyle name="Currency 3 2 2 2 2 4 2 3" xfId="12233" xr:uid="{E69B26D2-BF0F-4823-9FF7-8C09517C4F8D}"/>
    <cellStyle name="Currency 3 2 2 2 2 4 3" xfId="5877" xr:uid="{00000000-0005-0000-0000-0000B40A0000}"/>
    <cellStyle name="Currency 3 2 2 2 2 4 3 2" xfId="14306" xr:uid="{CAB8736E-144A-4E9F-B589-06FED4FE41EC}"/>
    <cellStyle name="Currency 3 2 2 2 2 4 4" xfId="10088" xr:uid="{B5009C9E-16C9-4887-8799-2CE12B26E43A}"/>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F6EBED28-5AB3-4CFA-8C2F-AE367D9E58B5}"/>
    <cellStyle name="Currency 3 2 2 2 2 5 2 3" xfId="12646" xr:uid="{4CD6EBA3-0721-46F5-993E-1E41D7E70F28}"/>
    <cellStyle name="Currency 3 2 2 2 2 5 3" xfId="6290" xr:uid="{00000000-0005-0000-0000-0000B80A0000}"/>
    <cellStyle name="Currency 3 2 2 2 2 5 3 2" xfId="14719" xr:uid="{105563BA-C6B7-4021-BCAC-E5C557AFE795}"/>
    <cellStyle name="Currency 3 2 2 2 2 5 4" xfId="10501" xr:uid="{13F297DC-7876-4F56-959E-BDC8E05FE088}"/>
    <cellStyle name="Currency 3 2 2 2 2 6" xfId="2417" xr:uid="{00000000-0005-0000-0000-0000B90A0000}"/>
    <cellStyle name="Currency 3 2 2 2 2 6 2" xfId="6703" xr:uid="{00000000-0005-0000-0000-0000BA0A0000}"/>
    <cellStyle name="Currency 3 2 2 2 2 6 2 2" xfId="15132" xr:uid="{BD581794-6616-499E-80BC-E27E39736C01}"/>
    <cellStyle name="Currency 3 2 2 2 2 6 3" xfId="10914" xr:uid="{E4D1F894-7302-47F3-9F08-2568B90D3FA8}"/>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74B6B00F-704B-4EFA-BB88-CDAEA1A867AE}"/>
    <cellStyle name="Currency 3 2 2 2 2 8 3" xfId="11231" xr:uid="{3C8C305B-4B33-489F-83AB-E62CDA25873B}"/>
    <cellStyle name="Currency 3 2 2 2 2 9" xfId="4637" xr:uid="{00000000-0005-0000-0000-0000BE0A0000}"/>
    <cellStyle name="Currency 3 2 2 2 2 9 2" xfId="13066" xr:uid="{6722183E-0576-4975-A2CE-C6403E37A3C2}"/>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9C8B6232-F980-4850-AB7A-6826CD7D6DD1}"/>
    <cellStyle name="Currency 3 2 2 2 3 2 3" xfId="11406" xr:uid="{3EC6D3EC-091F-4046-83EC-AE30B3295DA2}"/>
    <cellStyle name="Currency 3 2 2 2 3 3" xfId="5050" xr:uid="{00000000-0005-0000-0000-0000C20A0000}"/>
    <cellStyle name="Currency 3 2 2 2 3 3 2" xfId="13479" xr:uid="{746E79F8-2100-432E-A01E-BADAB6E4BAA6}"/>
    <cellStyle name="Currency 3 2 2 2 3 4" xfId="9261" xr:uid="{56BD0095-A621-4219-9A32-33BF795C4DBB}"/>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471AD8EB-BBB4-49DA-A9A9-8A6EE53B9800}"/>
    <cellStyle name="Currency 3 2 2 2 4 2 3" xfId="11819" xr:uid="{41B38678-64B8-46F1-ACA8-65A4564A64A2}"/>
    <cellStyle name="Currency 3 2 2 2 4 3" xfId="5463" xr:uid="{00000000-0005-0000-0000-0000C60A0000}"/>
    <cellStyle name="Currency 3 2 2 2 4 3 2" xfId="13892" xr:uid="{31DDA480-B76C-4DFD-96EC-CDD662781E63}"/>
    <cellStyle name="Currency 3 2 2 2 4 4" xfId="9674" xr:uid="{51170D59-6F6F-4FF3-9C7D-D44DCF2F77FA}"/>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96DA49D2-F239-49D3-BD41-A66C06F7831C}"/>
    <cellStyle name="Currency 3 2 2 2 5 2 3" xfId="12232" xr:uid="{70CA1E67-7F35-49A5-AB3D-3E269C57FF22}"/>
    <cellStyle name="Currency 3 2 2 2 5 3" xfId="5876" xr:uid="{00000000-0005-0000-0000-0000CA0A0000}"/>
    <cellStyle name="Currency 3 2 2 2 5 3 2" xfId="14305" xr:uid="{0B9DA01F-DFB9-4C73-A801-D41F1C03ACFA}"/>
    <cellStyle name="Currency 3 2 2 2 5 4" xfId="10087" xr:uid="{152647E0-573A-4CE9-BF96-3AA66A140971}"/>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9C2AD20A-D415-4401-BB16-68247D9595A3}"/>
    <cellStyle name="Currency 3 2 2 2 6 2 3" xfId="12645" xr:uid="{DA10EC0D-AEA7-4F46-8A98-B89B49D8525E}"/>
    <cellStyle name="Currency 3 2 2 2 6 3" xfId="6289" xr:uid="{00000000-0005-0000-0000-0000CE0A0000}"/>
    <cellStyle name="Currency 3 2 2 2 6 3 2" xfId="14718" xr:uid="{7300CFE6-ACDB-4A7C-9ACA-21E9791C8A0F}"/>
    <cellStyle name="Currency 3 2 2 2 6 4" xfId="10500" xr:uid="{CA8D38E9-A60C-4B8A-8136-44EFE9751AE4}"/>
    <cellStyle name="Currency 3 2 2 2 7" xfId="2416" xr:uid="{00000000-0005-0000-0000-0000CF0A0000}"/>
    <cellStyle name="Currency 3 2 2 2 7 2" xfId="6702" xr:uid="{00000000-0005-0000-0000-0000D00A0000}"/>
    <cellStyle name="Currency 3 2 2 2 7 2 2" xfId="15131" xr:uid="{874CBEC5-8443-4994-B39D-9E5E58FAA942}"/>
    <cellStyle name="Currency 3 2 2 2 7 3" xfId="10913" xr:uid="{38957A86-484A-4116-BB16-E94827D239C5}"/>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AB340AEA-6A91-4D87-B918-F4B6E9E3CB52}"/>
    <cellStyle name="Currency 3 2 2 2 9 3" xfId="11230" xr:uid="{B32EE62F-4922-4AA9-8DBA-31195EC60639}"/>
    <cellStyle name="Currency 3 2 2 3" xfId="181" xr:uid="{00000000-0005-0000-0000-0000D40A0000}"/>
    <cellStyle name="Currency 3 2 2 3 10" xfId="8849" xr:uid="{88C83A8A-1696-40BE-8051-1407438ABDE3}"/>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B7CDDCB4-F0A2-4E68-81C3-FB31C6F0461B}"/>
    <cellStyle name="Currency 3 2 2 3 2 2 3" xfId="11408" xr:uid="{EB9980D1-CA6C-4BEF-9619-497AC551700D}"/>
    <cellStyle name="Currency 3 2 2 3 2 3" xfId="5052" xr:uid="{00000000-0005-0000-0000-0000D80A0000}"/>
    <cellStyle name="Currency 3 2 2 3 2 3 2" xfId="13481" xr:uid="{274FD4D6-F74A-4FCB-82B6-0CA20787DC35}"/>
    <cellStyle name="Currency 3 2 2 3 2 4" xfId="9263" xr:uid="{3BDBEA75-98D1-48D7-9E5B-8DDCE77649F7}"/>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242390F4-6445-4E47-958E-A9318B7581C9}"/>
    <cellStyle name="Currency 3 2 2 3 3 2 3" xfId="11821" xr:uid="{DB59C098-8B69-430D-80E5-CD83F95B8242}"/>
    <cellStyle name="Currency 3 2 2 3 3 3" xfId="5465" xr:uid="{00000000-0005-0000-0000-0000DC0A0000}"/>
    <cellStyle name="Currency 3 2 2 3 3 3 2" xfId="13894" xr:uid="{A37BF2CA-0ACD-4433-BC02-5208544763CC}"/>
    <cellStyle name="Currency 3 2 2 3 3 4" xfId="9676" xr:uid="{E4FE6BCE-B704-42B3-B403-E984DE4E1A88}"/>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A812187B-31E6-48A7-8802-80B159D3AD16}"/>
    <cellStyle name="Currency 3 2 2 3 4 2 3" xfId="12234" xr:uid="{68FA21E4-FFA1-40BF-B6E1-346C0EE2E55D}"/>
    <cellStyle name="Currency 3 2 2 3 4 3" xfId="5878" xr:uid="{00000000-0005-0000-0000-0000E00A0000}"/>
    <cellStyle name="Currency 3 2 2 3 4 3 2" xfId="14307" xr:uid="{EDFF7638-17D8-4831-917A-74DA06AD8ADC}"/>
    <cellStyle name="Currency 3 2 2 3 4 4" xfId="10089" xr:uid="{F44B94FE-6B02-46FC-886A-F6A76AFDA06C}"/>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17697851-64EA-464B-ACE6-C76A1B129889}"/>
    <cellStyle name="Currency 3 2 2 3 5 2 3" xfId="12647" xr:uid="{DD265161-18BC-48DF-BA76-8C288EDB26F1}"/>
    <cellStyle name="Currency 3 2 2 3 5 3" xfId="6291" xr:uid="{00000000-0005-0000-0000-0000E40A0000}"/>
    <cellStyle name="Currency 3 2 2 3 5 3 2" xfId="14720" xr:uid="{E618C0AC-28BA-40BD-A1E2-04D2B7436F61}"/>
    <cellStyle name="Currency 3 2 2 3 5 4" xfId="10502" xr:uid="{20B03800-2BB5-4370-AE54-47087F18A108}"/>
    <cellStyle name="Currency 3 2 2 3 6" xfId="2418" xr:uid="{00000000-0005-0000-0000-0000E50A0000}"/>
    <cellStyle name="Currency 3 2 2 3 6 2" xfId="6704" xr:uid="{00000000-0005-0000-0000-0000E60A0000}"/>
    <cellStyle name="Currency 3 2 2 3 6 2 2" xfId="15133" xr:uid="{04AF2613-2A9E-43D0-9A87-DCBEC9F29AC0}"/>
    <cellStyle name="Currency 3 2 2 3 6 3" xfId="10915" xr:uid="{90F80A79-5B26-49A6-9E12-552A4C43D1C3}"/>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9EAF7DE1-142D-4A33-9E87-0D372A2FFDDE}"/>
    <cellStyle name="Currency 3 2 2 3 8 3" xfId="11232" xr:uid="{FDBD5522-4B52-4E4A-B613-595BF68BC956}"/>
    <cellStyle name="Currency 3 2 2 3 9" xfId="4638" xr:uid="{00000000-0005-0000-0000-0000EA0A0000}"/>
    <cellStyle name="Currency 3 2 2 3 9 2" xfId="13067" xr:uid="{5C6B7028-F449-4262-AECA-E9C3B6CE0E66}"/>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1AF97FA0-8FFB-4A3B-9864-03A2579AE1A8}"/>
    <cellStyle name="Currency 3 2 2 4 2 3" xfId="11405" xr:uid="{DD5A76A3-334A-4664-9CEC-9873741BFF0B}"/>
    <cellStyle name="Currency 3 2 2 4 3" xfId="5049" xr:uid="{00000000-0005-0000-0000-0000EE0A0000}"/>
    <cellStyle name="Currency 3 2 2 4 3 2" xfId="13478" xr:uid="{821A3565-1DCB-4413-8221-63225903C3D7}"/>
    <cellStyle name="Currency 3 2 2 4 4" xfId="9260" xr:uid="{33BE02F4-D96D-48A7-9548-FBE96DC86E04}"/>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8A845318-ABD5-4176-B046-1C78EBA8346A}"/>
    <cellStyle name="Currency 3 2 2 5 2 3" xfId="11818" xr:uid="{D3D01EB0-3421-4AFD-93CF-D6945B6EA9E1}"/>
    <cellStyle name="Currency 3 2 2 5 3" xfId="5462" xr:uid="{00000000-0005-0000-0000-0000F20A0000}"/>
    <cellStyle name="Currency 3 2 2 5 3 2" xfId="13891" xr:uid="{B82462F4-3867-41DC-BFB0-8B1A10FA626C}"/>
    <cellStyle name="Currency 3 2 2 5 4" xfId="9673" xr:uid="{AAF2C5DA-D339-4D3D-97F1-A6E891374526}"/>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EABB455A-44FC-4C26-B473-6D98013A1EC8}"/>
    <cellStyle name="Currency 3 2 2 6 2 3" xfId="12231" xr:uid="{CD80887E-C584-46C9-B824-E63F33BB0616}"/>
    <cellStyle name="Currency 3 2 2 6 3" xfId="5875" xr:uid="{00000000-0005-0000-0000-0000F60A0000}"/>
    <cellStyle name="Currency 3 2 2 6 3 2" xfId="14304" xr:uid="{6A858C63-DC88-411F-B42F-81FEC390B2E1}"/>
    <cellStyle name="Currency 3 2 2 6 4" xfId="10086" xr:uid="{B95E733B-AE64-437C-9F50-0BDE65AA3F60}"/>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0F971CF9-EC5B-48A0-9603-ED6ADF3AE788}"/>
    <cellStyle name="Currency 3 2 2 7 2 3" xfId="12644" xr:uid="{501DD9B0-6F11-4834-AF4A-2B67F529D271}"/>
    <cellStyle name="Currency 3 2 2 7 3" xfId="6288" xr:uid="{00000000-0005-0000-0000-0000FA0A0000}"/>
    <cellStyle name="Currency 3 2 2 7 3 2" xfId="14717" xr:uid="{20AF7B41-6324-4DD8-A429-D416C0102411}"/>
    <cellStyle name="Currency 3 2 2 7 4" xfId="10499" xr:uid="{71537469-ECCE-4BF6-A532-D39ABE5F7A32}"/>
    <cellStyle name="Currency 3 2 2 8" xfId="2415" xr:uid="{00000000-0005-0000-0000-0000FB0A0000}"/>
    <cellStyle name="Currency 3 2 2 8 2" xfId="6701" xr:uid="{00000000-0005-0000-0000-0000FC0A0000}"/>
    <cellStyle name="Currency 3 2 2 8 2 2" xfId="15130" xr:uid="{E372EAC2-785E-44F9-8EEE-C19FA5031A15}"/>
    <cellStyle name="Currency 3 2 2 8 3" xfId="10912" xr:uid="{8225B1AE-717C-4A1E-99AE-33CEEB815BE4}"/>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568849F1-FF6C-40A4-A69E-7A0572C5D08D}"/>
    <cellStyle name="Currency 3 2 3 11" xfId="8850" xr:uid="{AF1F787B-F64A-43CA-A5AE-DF972EF89F9A}"/>
    <cellStyle name="Currency 3 2 3 2" xfId="183" xr:uid="{00000000-0005-0000-0000-0000000B0000}"/>
    <cellStyle name="Currency 3 2 3 2 10" xfId="8851" xr:uid="{F8819991-A969-4F1C-980B-60178705D359}"/>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B623EFF3-8B70-4BC0-A2FD-5126F9DC026F}"/>
    <cellStyle name="Currency 3 2 3 2 2 2 3" xfId="11410" xr:uid="{C5507BDB-64B6-4E4D-8E26-663758017CC1}"/>
    <cellStyle name="Currency 3 2 3 2 2 3" xfId="5054" xr:uid="{00000000-0005-0000-0000-0000040B0000}"/>
    <cellStyle name="Currency 3 2 3 2 2 3 2" xfId="13483" xr:uid="{331A1C45-10CF-492F-AF40-D886F3703216}"/>
    <cellStyle name="Currency 3 2 3 2 2 4" xfId="9265" xr:uid="{EBE3A12C-F870-4048-B4DA-7C920C91DE3B}"/>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5926A842-50AC-486C-822C-1100877AA218}"/>
    <cellStyle name="Currency 3 2 3 2 3 2 3" xfId="11823" xr:uid="{5260C1FE-6604-4E55-B146-B3F1305CC0DD}"/>
    <cellStyle name="Currency 3 2 3 2 3 3" xfId="5467" xr:uid="{00000000-0005-0000-0000-0000080B0000}"/>
    <cellStyle name="Currency 3 2 3 2 3 3 2" xfId="13896" xr:uid="{926382EF-903A-405C-900A-8E8D016F5435}"/>
    <cellStyle name="Currency 3 2 3 2 3 4" xfId="9678" xr:uid="{1B767F09-3C72-40CF-8C5C-61347158E393}"/>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7619C715-6BCB-4B93-9373-846A7D96541E}"/>
    <cellStyle name="Currency 3 2 3 2 4 2 3" xfId="12236" xr:uid="{C793DDED-7682-4B06-BDE7-2A3EDFF8F7C5}"/>
    <cellStyle name="Currency 3 2 3 2 4 3" xfId="5880" xr:uid="{00000000-0005-0000-0000-00000C0B0000}"/>
    <cellStyle name="Currency 3 2 3 2 4 3 2" xfId="14309" xr:uid="{A061579E-8D5D-4F92-9ED7-8D360897DF67}"/>
    <cellStyle name="Currency 3 2 3 2 4 4" xfId="10091" xr:uid="{77DD315C-635A-46A8-9280-8D0DE1F66EFE}"/>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D2BB33E3-148A-4551-87B1-FCD06BBAD69B}"/>
    <cellStyle name="Currency 3 2 3 2 5 2 3" xfId="12649" xr:uid="{821ED6D7-FD0B-447F-9B89-B4C6C2F449CC}"/>
    <cellStyle name="Currency 3 2 3 2 5 3" xfId="6293" xr:uid="{00000000-0005-0000-0000-0000100B0000}"/>
    <cellStyle name="Currency 3 2 3 2 5 3 2" xfId="14722" xr:uid="{76941B10-9208-40EA-98AD-280E8F4F6C97}"/>
    <cellStyle name="Currency 3 2 3 2 5 4" xfId="10504" xr:uid="{BF093E0A-EFEB-40A5-8668-D3BE1323FED1}"/>
    <cellStyle name="Currency 3 2 3 2 6" xfId="2420" xr:uid="{00000000-0005-0000-0000-0000110B0000}"/>
    <cellStyle name="Currency 3 2 3 2 6 2" xfId="6706" xr:uid="{00000000-0005-0000-0000-0000120B0000}"/>
    <cellStyle name="Currency 3 2 3 2 6 2 2" xfId="15135" xr:uid="{24F94F3C-D4B3-4EF0-88B2-0FFFE3BE3251}"/>
    <cellStyle name="Currency 3 2 3 2 6 3" xfId="10917" xr:uid="{3F76A803-DB31-4A45-BB4D-5E316AEF0E8B}"/>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1CEB3B92-FD2D-45B3-B2EE-3F169774FB4D}"/>
    <cellStyle name="Currency 3 2 3 2 8 3" xfId="11234" xr:uid="{BC1B6EE9-982C-4FF2-93E0-7B44B11F72AE}"/>
    <cellStyle name="Currency 3 2 3 2 9" xfId="4640" xr:uid="{00000000-0005-0000-0000-0000160B0000}"/>
    <cellStyle name="Currency 3 2 3 2 9 2" xfId="13069" xr:uid="{1BD92404-BCBA-407F-AC50-C2397B5694C7}"/>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79230FAF-BB3C-4845-9D26-E4612CE8EF77}"/>
    <cellStyle name="Currency 3 2 3 3 2 3" xfId="11409" xr:uid="{DBFBC50E-2969-4EC9-B291-E9E80FA990DA}"/>
    <cellStyle name="Currency 3 2 3 3 3" xfId="5053" xr:uid="{00000000-0005-0000-0000-00001A0B0000}"/>
    <cellStyle name="Currency 3 2 3 3 3 2" xfId="13482" xr:uid="{AFD4B76D-57B7-4E95-AA82-FC35C0475085}"/>
    <cellStyle name="Currency 3 2 3 3 4" xfId="9264" xr:uid="{EF9BCA50-B160-4216-B82E-4E2E2D5B232F}"/>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84F50CA9-E65E-4CD2-AA5A-6AA0D3CC7A3C}"/>
    <cellStyle name="Currency 3 2 3 4 2 3" xfId="11822" xr:uid="{9426BA88-58AF-46B4-850A-4A6872A4F587}"/>
    <cellStyle name="Currency 3 2 3 4 3" xfId="5466" xr:uid="{00000000-0005-0000-0000-00001E0B0000}"/>
    <cellStyle name="Currency 3 2 3 4 3 2" xfId="13895" xr:uid="{4FD73EE9-6BD5-4DAB-81C4-4B2F4370DC32}"/>
    <cellStyle name="Currency 3 2 3 4 4" xfId="9677" xr:uid="{541DB775-5BF2-41C6-A662-F7B1F9394C59}"/>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D3243667-F672-4AA0-99B9-C273CF55A8AC}"/>
    <cellStyle name="Currency 3 2 3 5 2 3" xfId="12235" xr:uid="{5591DB02-F6BD-461F-B152-96EB70041359}"/>
    <cellStyle name="Currency 3 2 3 5 3" xfId="5879" xr:uid="{00000000-0005-0000-0000-0000220B0000}"/>
    <cellStyle name="Currency 3 2 3 5 3 2" xfId="14308" xr:uid="{146949B4-D402-4738-84CB-4857D85CB23D}"/>
    <cellStyle name="Currency 3 2 3 5 4" xfId="10090" xr:uid="{B22E60BD-0F33-4589-A6F6-C76E0B124A85}"/>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B65652C0-B822-435E-96BA-FECBADF9F5B7}"/>
    <cellStyle name="Currency 3 2 3 6 2 3" xfId="12648" xr:uid="{D6EEB2D2-0532-497E-9E55-7AB46C36A28C}"/>
    <cellStyle name="Currency 3 2 3 6 3" xfId="6292" xr:uid="{00000000-0005-0000-0000-0000260B0000}"/>
    <cellStyle name="Currency 3 2 3 6 3 2" xfId="14721" xr:uid="{195970E9-C109-47F6-A2D0-E016AB208598}"/>
    <cellStyle name="Currency 3 2 3 6 4" xfId="10503" xr:uid="{E9F77D75-EA4B-4839-A36F-F87BD1EB7875}"/>
    <cellStyle name="Currency 3 2 3 7" xfId="2419" xr:uid="{00000000-0005-0000-0000-0000270B0000}"/>
    <cellStyle name="Currency 3 2 3 7 2" xfId="6705" xr:uid="{00000000-0005-0000-0000-0000280B0000}"/>
    <cellStyle name="Currency 3 2 3 7 2 2" xfId="15134" xr:uid="{1C1E58BE-D697-4590-AFC7-DDC0D4AB459B}"/>
    <cellStyle name="Currency 3 2 3 7 3" xfId="10916" xr:uid="{D91A61EB-83BB-4933-939C-0FE147F15C9E}"/>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7748A2B1-BF6F-4C26-AC1F-2CE74BD4AC19}"/>
    <cellStyle name="Currency 3 2 3 9 3" xfId="11233" xr:uid="{EE1C10D9-1EF2-4E74-879E-2392EFB50700}"/>
    <cellStyle name="Currency 3 2 4" xfId="184" xr:uid="{00000000-0005-0000-0000-00002C0B0000}"/>
    <cellStyle name="Currency 3 2 4 10" xfId="8852" xr:uid="{9DAD004B-DAA2-4644-96FA-FD00DCE8F580}"/>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A9F6C78D-161E-40CB-B0E5-AA034F648EE7}"/>
    <cellStyle name="Currency 3 2 4 2 2 3" xfId="11411" xr:uid="{0EE57613-69CE-4431-A91A-EEE378256E26}"/>
    <cellStyle name="Currency 3 2 4 2 3" xfId="5055" xr:uid="{00000000-0005-0000-0000-0000300B0000}"/>
    <cellStyle name="Currency 3 2 4 2 3 2" xfId="13484" xr:uid="{15F32CD5-B559-4D0D-B414-1BDA283429F0}"/>
    <cellStyle name="Currency 3 2 4 2 4" xfId="9266" xr:uid="{CD536FFB-FFF1-478F-B10C-17AE267F7B46}"/>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1F504DC9-1176-4CF7-A494-9C7C1A891392}"/>
    <cellStyle name="Currency 3 2 4 3 2 3" xfId="11824" xr:uid="{9AED31DF-4C45-44B1-961C-A27805D86FD4}"/>
    <cellStyle name="Currency 3 2 4 3 3" xfId="5468" xr:uid="{00000000-0005-0000-0000-0000340B0000}"/>
    <cellStyle name="Currency 3 2 4 3 3 2" xfId="13897" xr:uid="{5A683228-9090-4ED0-B601-EB1DA33FC076}"/>
    <cellStyle name="Currency 3 2 4 3 4" xfId="9679" xr:uid="{AEBD1F88-A418-4004-85CE-7692A5B9A0EE}"/>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0BA3DE29-7174-4E2E-B84F-9EC93F316D24}"/>
    <cellStyle name="Currency 3 2 4 4 2 3" xfId="12237" xr:uid="{7F9DC035-C809-4466-8163-981ACE0A823C}"/>
    <cellStyle name="Currency 3 2 4 4 3" xfId="5881" xr:uid="{00000000-0005-0000-0000-0000380B0000}"/>
    <cellStyle name="Currency 3 2 4 4 3 2" xfId="14310" xr:uid="{887DE302-9533-4511-B302-3E689373011E}"/>
    <cellStyle name="Currency 3 2 4 4 4" xfId="10092" xr:uid="{81BCAB89-D764-4543-8564-D3D4E4D7D5DF}"/>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911560C9-1024-432E-A0EA-3387F3257F9E}"/>
    <cellStyle name="Currency 3 2 4 5 2 3" xfId="12650" xr:uid="{E65A9A12-D7C3-416D-85B8-856C17938FD3}"/>
    <cellStyle name="Currency 3 2 4 5 3" xfId="6294" xr:uid="{00000000-0005-0000-0000-00003C0B0000}"/>
    <cellStyle name="Currency 3 2 4 5 3 2" xfId="14723" xr:uid="{45ACCD29-4306-42C8-9958-FC18D8041487}"/>
    <cellStyle name="Currency 3 2 4 5 4" xfId="10505" xr:uid="{BA9054EC-E212-4864-A43C-2B245B1DF101}"/>
    <cellStyle name="Currency 3 2 4 6" xfId="2421" xr:uid="{00000000-0005-0000-0000-00003D0B0000}"/>
    <cellStyle name="Currency 3 2 4 6 2" xfId="6707" xr:uid="{00000000-0005-0000-0000-00003E0B0000}"/>
    <cellStyle name="Currency 3 2 4 6 2 2" xfId="15136" xr:uid="{664F9B99-BA47-48A5-B402-745D69E7252D}"/>
    <cellStyle name="Currency 3 2 4 6 3" xfId="10918" xr:uid="{1E79389D-6505-4824-ADE3-D6EFFA39DCEE}"/>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5DF3D100-28B3-4DC8-AD88-A1C423E47325}"/>
    <cellStyle name="Currency 3 2 4 8 3" xfId="11235" xr:uid="{35ECA698-A562-400A-88BC-79B71BF325A0}"/>
    <cellStyle name="Currency 3 2 4 9" xfId="4641" xr:uid="{00000000-0005-0000-0000-0000420B0000}"/>
    <cellStyle name="Currency 3 2 4 9 2" xfId="13070" xr:uid="{F36E7805-E101-44AA-923D-D26C5B8948E5}"/>
    <cellStyle name="Currency 3 2 5" xfId="185" xr:uid="{00000000-0005-0000-0000-0000430B0000}"/>
    <cellStyle name="Currency 3 2 5 10" xfId="8853" xr:uid="{DFE1E82C-9C26-40B1-9A2B-F19AAB74D4E3}"/>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D84B9F91-F299-4DBB-965C-858804573A6C}"/>
    <cellStyle name="Currency 3 2 5 2 2 3" xfId="11412" xr:uid="{DE4E5256-BC48-440C-9110-69AAA4223ECC}"/>
    <cellStyle name="Currency 3 2 5 2 3" xfId="5056" xr:uid="{00000000-0005-0000-0000-0000470B0000}"/>
    <cellStyle name="Currency 3 2 5 2 3 2" xfId="13485" xr:uid="{70B94BD0-5873-49D1-AFCB-AE7DCB7A7126}"/>
    <cellStyle name="Currency 3 2 5 2 4" xfId="9267" xr:uid="{E496EE6D-B6EB-4957-9EED-C85A39A3A1E7}"/>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C84D5352-417C-4E67-BC76-7648DADEAC71}"/>
    <cellStyle name="Currency 3 2 5 3 2 3" xfId="11825" xr:uid="{30B6F53A-2B5A-47FF-93A3-FF4620268D06}"/>
    <cellStyle name="Currency 3 2 5 3 3" xfId="5469" xr:uid="{00000000-0005-0000-0000-00004B0B0000}"/>
    <cellStyle name="Currency 3 2 5 3 3 2" xfId="13898" xr:uid="{D5F1E792-DA20-4070-87BE-9FF973C9581C}"/>
    <cellStyle name="Currency 3 2 5 3 4" xfId="9680" xr:uid="{E2329781-B1B8-4FF9-A02F-92E9E92FBE49}"/>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739608F1-BD9C-4FBF-8A06-E8AB097CCE0A}"/>
    <cellStyle name="Currency 3 2 5 4 2 3" xfId="12238" xr:uid="{683E656A-2407-4EB4-86D2-2CAA6312E203}"/>
    <cellStyle name="Currency 3 2 5 4 3" xfId="5882" xr:uid="{00000000-0005-0000-0000-00004F0B0000}"/>
    <cellStyle name="Currency 3 2 5 4 3 2" xfId="14311" xr:uid="{D705E3B0-0B31-4BBC-A432-1E34B067E3F6}"/>
    <cellStyle name="Currency 3 2 5 4 4" xfId="10093" xr:uid="{7F087B59-0913-46DC-96BB-D5D741E2D229}"/>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88C2885F-E849-4F5A-9C3D-A48C29740C48}"/>
    <cellStyle name="Currency 3 2 5 5 2 3" xfId="12651" xr:uid="{FA30B9D9-6AD6-491C-9F01-6918666F243D}"/>
    <cellStyle name="Currency 3 2 5 5 3" xfId="6295" xr:uid="{00000000-0005-0000-0000-0000530B0000}"/>
    <cellStyle name="Currency 3 2 5 5 3 2" xfId="14724" xr:uid="{CCCDFE11-4705-45F2-9718-49E9253F55F1}"/>
    <cellStyle name="Currency 3 2 5 5 4" xfId="10506" xr:uid="{206805ED-393B-43E0-8BA6-EFA47C12792E}"/>
    <cellStyle name="Currency 3 2 5 6" xfId="2422" xr:uid="{00000000-0005-0000-0000-0000540B0000}"/>
    <cellStyle name="Currency 3 2 5 6 2" xfId="6708" xr:uid="{00000000-0005-0000-0000-0000550B0000}"/>
    <cellStyle name="Currency 3 2 5 6 2 2" xfId="15137" xr:uid="{DD85B1BA-538D-40F8-8641-7E794990A361}"/>
    <cellStyle name="Currency 3 2 5 6 3" xfId="10919" xr:uid="{2ED61F3B-D7E2-4202-8526-2C7E89F148F2}"/>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825D767E-5AFC-4DF0-B291-33C7A66F2869}"/>
    <cellStyle name="Currency 3 2 5 8 3" xfId="11236" xr:uid="{6D00D8EF-4A30-45F3-A735-29C34A047068}"/>
    <cellStyle name="Currency 3 2 5 9" xfId="4642" xr:uid="{00000000-0005-0000-0000-0000590B0000}"/>
    <cellStyle name="Currency 3 2 5 9 2" xfId="13071" xr:uid="{29BF0C23-6D08-499B-8C00-C210C0AC88CD}"/>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DDB9B91E-281E-4698-BD7A-7BD784FF2DBF}"/>
    <cellStyle name="Currency 5 2 2 2 10 3" xfId="11237" xr:uid="{3AA7901B-5BD1-4109-8210-5E75DC9BE605}"/>
    <cellStyle name="Currency 5 2 2 2 11" xfId="4643" xr:uid="{00000000-0005-0000-0000-00006C0B0000}"/>
    <cellStyle name="Currency 5 2 2 2 11 2" xfId="13072" xr:uid="{50C99320-CB96-4308-AC92-636491FB5BE5}"/>
    <cellStyle name="Currency 5 2 2 2 12" xfId="8854" xr:uid="{AE63A44F-F631-4E15-B1B7-9D6D2EE4CC9E}"/>
    <cellStyle name="Currency 5 2 2 2 2" xfId="197" xr:uid="{00000000-0005-0000-0000-00006D0B0000}"/>
    <cellStyle name="Currency 5 2 2 2 2 10" xfId="4644" xr:uid="{00000000-0005-0000-0000-00006E0B0000}"/>
    <cellStyle name="Currency 5 2 2 2 2 10 2" xfId="13073" xr:uid="{1F0EE072-B428-4C03-ADB3-95B421D6CDFA}"/>
    <cellStyle name="Currency 5 2 2 2 2 11" xfId="8855" xr:uid="{A506DDC5-316F-4EDD-BC8D-CA30A92302BD}"/>
    <cellStyle name="Currency 5 2 2 2 2 2" xfId="198" xr:uid="{00000000-0005-0000-0000-00006F0B0000}"/>
    <cellStyle name="Currency 5 2 2 2 2 2 10" xfId="8856" xr:uid="{6BB39458-D78B-43C2-99AB-5311B1DFFB13}"/>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8288C724-9D03-411E-85EA-9EA1BCDEF09A}"/>
    <cellStyle name="Currency 5 2 2 2 2 2 2 2 3" xfId="11415" xr:uid="{6F5B9708-90DC-4B7D-9946-1215321445AC}"/>
    <cellStyle name="Currency 5 2 2 2 2 2 2 3" xfId="5059" xr:uid="{00000000-0005-0000-0000-0000730B0000}"/>
    <cellStyle name="Currency 5 2 2 2 2 2 2 3 2" xfId="13488" xr:uid="{D3BCE1EF-6D07-4AF4-B748-062D8E7416B3}"/>
    <cellStyle name="Currency 5 2 2 2 2 2 2 4" xfId="9270" xr:uid="{37BF0E56-3697-4E66-80EC-413E87090E73}"/>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E7CB1BDF-9EBF-422A-AA81-DEA8704533F6}"/>
    <cellStyle name="Currency 5 2 2 2 2 2 3 2 3" xfId="11828" xr:uid="{A55B806D-FE6B-4478-B5F3-2881C50663DE}"/>
    <cellStyle name="Currency 5 2 2 2 2 2 3 3" xfId="5472" xr:uid="{00000000-0005-0000-0000-0000770B0000}"/>
    <cellStyle name="Currency 5 2 2 2 2 2 3 3 2" xfId="13901" xr:uid="{E47183F3-4A52-4AC3-BAFC-60B8B144102A}"/>
    <cellStyle name="Currency 5 2 2 2 2 2 3 4" xfId="9683" xr:uid="{FAE5DF10-B8EF-460C-9AA4-EDF0980A7133}"/>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214A049B-8C1F-4AB0-AC0E-DD892D322D6E}"/>
    <cellStyle name="Currency 5 2 2 2 2 2 4 2 3" xfId="12241" xr:uid="{902554E5-03FC-4746-8EB3-C5CEB823B008}"/>
    <cellStyle name="Currency 5 2 2 2 2 2 4 3" xfId="5885" xr:uid="{00000000-0005-0000-0000-00007B0B0000}"/>
    <cellStyle name="Currency 5 2 2 2 2 2 4 3 2" xfId="14314" xr:uid="{9852E382-305A-4C1C-B0EC-592AEA2DBCAD}"/>
    <cellStyle name="Currency 5 2 2 2 2 2 4 4" xfId="10096" xr:uid="{E8B2A8F8-1385-43B6-94F0-99A895662A23}"/>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B42440CB-C0A0-4BDB-9F2D-F9DC1230CB7D}"/>
    <cellStyle name="Currency 5 2 2 2 2 2 5 2 3" xfId="12654" xr:uid="{9A046078-AB19-425F-862A-C18ECC870850}"/>
    <cellStyle name="Currency 5 2 2 2 2 2 5 3" xfId="6298" xr:uid="{00000000-0005-0000-0000-00007F0B0000}"/>
    <cellStyle name="Currency 5 2 2 2 2 2 5 3 2" xfId="14727" xr:uid="{BBCA582F-CB22-493A-BECD-0ECA79A01880}"/>
    <cellStyle name="Currency 5 2 2 2 2 2 5 4" xfId="10509" xr:uid="{0F30A200-44D0-41E5-B840-BC588889BAE2}"/>
    <cellStyle name="Currency 5 2 2 2 2 2 6" xfId="2425" xr:uid="{00000000-0005-0000-0000-0000800B0000}"/>
    <cellStyle name="Currency 5 2 2 2 2 2 6 2" xfId="6711" xr:uid="{00000000-0005-0000-0000-0000810B0000}"/>
    <cellStyle name="Currency 5 2 2 2 2 2 6 2 2" xfId="15140" xr:uid="{811F4532-AD71-4012-B2C2-776BC644780F}"/>
    <cellStyle name="Currency 5 2 2 2 2 2 6 3" xfId="10922" xr:uid="{C26BFB5E-4183-4A3D-A8B1-64E2C69ED05E}"/>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EA564813-2A32-43D2-AA99-791190D1CB00}"/>
    <cellStyle name="Currency 5 2 2 2 2 2 8 3" xfId="11239" xr:uid="{781C1943-E382-423B-B17D-FF2778F5DAC8}"/>
    <cellStyle name="Currency 5 2 2 2 2 2 9" xfId="4645" xr:uid="{00000000-0005-0000-0000-0000850B0000}"/>
    <cellStyle name="Currency 5 2 2 2 2 2 9 2" xfId="13074" xr:uid="{5CDE2188-41B3-4D82-86B8-E88DAEF73BA3}"/>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7DEDA30E-F1CE-4A0B-B992-BDC1507152F9}"/>
    <cellStyle name="Currency 5 2 2 2 2 3 2 3" xfId="11414" xr:uid="{F2B1E1EC-33D2-4613-87AE-3E440538A30D}"/>
    <cellStyle name="Currency 5 2 2 2 2 3 3" xfId="5058" xr:uid="{00000000-0005-0000-0000-0000890B0000}"/>
    <cellStyle name="Currency 5 2 2 2 2 3 3 2" xfId="13487" xr:uid="{F2F6FCDC-A675-47CA-B4A2-04B2997F27F2}"/>
    <cellStyle name="Currency 5 2 2 2 2 3 4" xfId="9269" xr:uid="{5F82C94C-3CD2-46EE-9EAD-8B02B9978FB4}"/>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DB21901F-2C6B-43C4-8673-65A4D85EC30F}"/>
    <cellStyle name="Currency 5 2 2 2 2 4 2 3" xfId="11827" xr:uid="{73A90ABE-3FF5-4D58-A6B5-B22B19AC2148}"/>
    <cellStyle name="Currency 5 2 2 2 2 4 3" xfId="5471" xr:uid="{00000000-0005-0000-0000-00008D0B0000}"/>
    <cellStyle name="Currency 5 2 2 2 2 4 3 2" xfId="13900" xr:uid="{D03262BE-FCF1-413E-93EA-0F494472CF40}"/>
    <cellStyle name="Currency 5 2 2 2 2 4 4" xfId="9682" xr:uid="{72F21BD5-A8F5-4B19-BF4A-3D72792281BB}"/>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7474B8A6-8510-4D8F-A4E8-BC56750FD5D7}"/>
    <cellStyle name="Currency 5 2 2 2 2 5 2 3" xfId="12240" xr:uid="{64449559-E9FA-425D-8F5F-206FC1617078}"/>
    <cellStyle name="Currency 5 2 2 2 2 5 3" xfId="5884" xr:uid="{00000000-0005-0000-0000-0000910B0000}"/>
    <cellStyle name="Currency 5 2 2 2 2 5 3 2" xfId="14313" xr:uid="{C4D3FC14-3859-470C-926F-47B9DA979E97}"/>
    <cellStyle name="Currency 5 2 2 2 2 5 4" xfId="10095" xr:uid="{B8550CD1-6381-4B8D-BBB9-D0FD1A00D5F4}"/>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9AA904FA-03FE-4C34-9E8F-C3DAA822030F}"/>
    <cellStyle name="Currency 5 2 2 2 2 6 2 3" xfId="12653" xr:uid="{CB1D499C-59C2-4ABE-BF2E-F00C6306D05C}"/>
    <cellStyle name="Currency 5 2 2 2 2 6 3" xfId="6297" xr:uid="{00000000-0005-0000-0000-0000950B0000}"/>
    <cellStyle name="Currency 5 2 2 2 2 6 3 2" xfId="14726" xr:uid="{8A511400-766A-4BAE-B5D2-F692EB18B387}"/>
    <cellStyle name="Currency 5 2 2 2 2 6 4" xfId="10508" xr:uid="{A0E40605-92E9-45DE-9641-FE3D3EDEA592}"/>
    <cellStyle name="Currency 5 2 2 2 2 7" xfId="2424" xr:uid="{00000000-0005-0000-0000-0000960B0000}"/>
    <cellStyle name="Currency 5 2 2 2 2 7 2" xfId="6710" xr:uid="{00000000-0005-0000-0000-0000970B0000}"/>
    <cellStyle name="Currency 5 2 2 2 2 7 2 2" xfId="15139" xr:uid="{3B616865-F1B6-43ED-BC3C-68ED52C7EEF0}"/>
    <cellStyle name="Currency 5 2 2 2 2 7 3" xfId="10921" xr:uid="{C658F597-5998-442E-BA09-C983DDB9765B}"/>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00B85454-810E-464B-BDC3-2CF18530AE24}"/>
    <cellStyle name="Currency 5 2 2 2 2 9 3" xfId="11238" xr:uid="{6AB12533-0884-4A51-81DD-0ED56DC3EEE4}"/>
    <cellStyle name="Currency 5 2 2 2 3" xfId="199" xr:uid="{00000000-0005-0000-0000-00009B0B0000}"/>
    <cellStyle name="Currency 5 2 2 2 3 10" xfId="8857" xr:uid="{F14BBA5F-960A-4ED9-AFFB-3BEF4E7D218D}"/>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1BE9F6AE-2F08-4339-956E-8A9223363D6F}"/>
    <cellStyle name="Currency 5 2 2 2 3 2 2 3" xfId="11416" xr:uid="{013F3888-5C81-4D0B-B135-91EED29BF510}"/>
    <cellStyle name="Currency 5 2 2 2 3 2 3" xfId="5060" xr:uid="{00000000-0005-0000-0000-00009F0B0000}"/>
    <cellStyle name="Currency 5 2 2 2 3 2 3 2" xfId="13489" xr:uid="{E27F2827-2D0B-49A2-8344-B293409611FF}"/>
    <cellStyle name="Currency 5 2 2 2 3 2 4" xfId="9271" xr:uid="{5D9F6E89-D08A-4B2D-B9F3-93913069A27A}"/>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39226452-0815-49D0-A9F5-10C44A2C8D34}"/>
    <cellStyle name="Currency 5 2 2 2 3 3 2 3" xfId="11829" xr:uid="{7AE324E1-C6ED-4549-A341-227098BF634D}"/>
    <cellStyle name="Currency 5 2 2 2 3 3 3" xfId="5473" xr:uid="{00000000-0005-0000-0000-0000A30B0000}"/>
    <cellStyle name="Currency 5 2 2 2 3 3 3 2" xfId="13902" xr:uid="{2B44F77D-22F2-45EA-9C90-C67E07C4C4D2}"/>
    <cellStyle name="Currency 5 2 2 2 3 3 4" xfId="9684" xr:uid="{0B466E20-7968-42C3-9D66-1C4C7741FA27}"/>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34B77F59-6946-4215-B081-0D283ACB7559}"/>
    <cellStyle name="Currency 5 2 2 2 3 4 2 3" xfId="12242" xr:uid="{6EE2835E-A2C2-46D7-B133-434CAB32EC18}"/>
    <cellStyle name="Currency 5 2 2 2 3 4 3" xfId="5886" xr:uid="{00000000-0005-0000-0000-0000A70B0000}"/>
    <cellStyle name="Currency 5 2 2 2 3 4 3 2" xfId="14315" xr:uid="{0388BE09-D0AB-4542-8919-16104BCE9531}"/>
    <cellStyle name="Currency 5 2 2 2 3 4 4" xfId="10097" xr:uid="{33165001-8945-4AC0-BAF2-591CC7DE884F}"/>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7D914DA1-C39A-4D9D-A96B-965F3F335284}"/>
    <cellStyle name="Currency 5 2 2 2 3 5 2 3" xfId="12655" xr:uid="{D605029B-8C23-4DD6-9D5D-A40A63B41177}"/>
    <cellStyle name="Currency 5 2 2 2 3 5 3" xfId="6299" xr:uid="{00000000-0005-0000-0000-0000AB0B0000}"/>
    <cellStyle name="Currency 5 2 2 2 3 5 3 2" xfId="14728" xr:uid="{B157ECC9-0A40-400E-9939-AAEDD91342DD}"/>
    <cellStyle name="Currency 5 2 2 2 3 5 4" xfId="10510" xr:uid="{B2763BE2-6157-4E3C-993B-036DA7E70C30}"/>
    <cellStyle name="Currency 5 2 2 2 3 6" xfId="2426" xr:uid="{00000000-0005-0000-0000-0000AC0B0000}"/>
    <cellStyle name="Currency 5 2 2 2 3 6 2" xfId="6712" xr:uid="{00000000-0005-0000-0000-0000AD0B0000}"/>
    <cellStyle name="Currency 5 2 2 2 3 6 2 2" xfId="15141" xr:uid="{88CD37D3-29F6-44D0-8035-AB67AB903C07}"/>
    <cellStyle name="Currency 5 2 2 2 3 6 3" xfId="10923" xr:uid="{7D1CC789-8AF1-49C6-BB07-E6720F3E98AA}"/>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A3BDCBC5-3FBE-40BA-8086-D51902A4F410}"/>
    <cellStyle name="Currency 5 2 2 2 3 8 3" xfId="11240" xr:uid="{DAF5667E-D498-48E2-89F3-221AECE81414}"/>
    <cellStyle name="Currency 5 2 2 2 3 9" xfId="4646" xr:uid="{00000000-0005-0000-0000-0000B10B0000}"/>
    <cellStyle name="Currency 5 2 2 2 3 9 2" xfId="13075" xr:uid="{2DA0693B-1A88-40C8-9A7E-2DEA2FBFBABD}"/>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45B81E9A-C5DD-497A-9A85-DC90CB655E86}"/>
    <cellStyle name="Currency 5 2 2 2 4 2 3" xfId="11413" xr:uid="{524D7CFC-3CB2-4A93-AC3A-51A88BDD9881}"/>
    <cellStyle name="Currency 5 2 2 2 4 3" xfId="5057" xr:uid="{00000000-0005-0000-0000-0000B50B0000}"/>
    <cellStyle name="Currency 5 2 2 2 4 3 2" xfId="13486" xr:uid="{2D9E5324-CAC9-4BCF-BA3A-EA46A056920C}"/>
    <cellStyle name="Currency 5 2 2 2 4 4" xfId="9268" xr:uid="{135761FC-751D-498A-9CE8-C1E30FDA12B6}"/>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D7CE6DB8-CB15-4CE9-83CC-7D60B86B74E2}"/>
    <cellStyle name="Currency 5 2 2 2 5 2 3" xfId="11826" xr:uid="{C3F76F37-D962-45E0-ABDE-69A1133248CA}"/>
    <cellStyle name="Currency 5 2 2 2 5 3" xfId="5470" xr:uid="{00000000-0005-0000-0000-0000B90B0000}"/>
    <cellStyle name="Currency 5 2 2 2 5 3 2" xfId="13899" xr:uid="{383818E9-1965-48CA-BB09-F19F9AA0004E}"/>
    <cellStyle name="Currency 5 2 2 2 5 4" xfId="9681" xr:uid="{94522330-C13D-44C0-A07D-42C54F946E21}"/>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287F3893-569F-4E52-88B8-EDD4D065942B}"/>
    <cellStyle name="Currency 5 2 2 2 6 2 3" xfId="12239" xr:uid="{C501CB51-2CFC-4C63-A156-D1FA4017DD54}"/>
    <cellStyle name="Currency 5 2 2 2 6 3" xfId="5883" xr:uid="{00000000-0005-0000-0000-0000BD0B0000}"/>
    <cellStyle name="Currency 5 2 2 2 6 3 2" xfId="14312" xr:uid="{4B23835D-CD4C-43B1-A4CB-3C385D7396CB}"/>
    <cellStyle name="Currency 5 2 2 2 6 4" xfId="10094" xr:uid="{36E4AB36-CA33-468E-968E-D9FD067EE5FE}"/>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4031BD2A-9F8F-4A45-8A98-EBB78A85429D}"/>
    <cellStyle name="Currency 5 2 2 2 7 2 3" xfId="12652" xr:uid="{019367E3-AF49-419E-B6B9-D259ACC68249}"/>
    <cellStyle name="Currency 5 2 2 2 7 3" xfId="6296" xr:uid="{00000000-0005-0000-0000-0000C10B0000}"/>
    <cellStyle name="Currency 5 2 2 2 7 3 2" xfId="14725" xr:uid="{7E3D7F43-93DA-4128-B8F3-2E5977A2BAA6}"/>
    <cellStyle name="Currency 5 2 2 2 7 4" xfId="10507" xr:uid="{8E82FDB4-86AF-4D3E-A25F-EA20609AD2E1}"/>
    <cellStyle name="Currency 5 2 2 2 8" xfId="2423" xr:uid="{00000000-0005-0000-0000-0000C20B0000}"/>
    <cellStyle name="Currency 5 2 2 2 8 2" xfId="6709" xr:uid="{00000000-0005-0000-0000-0000C30B0000}"/>
    <cellStyle name="Currency 5 2 2 2 8 2 2" xfId="15138" xr:uid="{43741F95-5C35-4463-8480-270397ACB764}"/>
    <cellStyle name="Currency 5 2 2 2 8 3" xfId="10920" xr:uid="{D0FC91FE-7565-4B74-AFDB-25E582AD1203}"/>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A226F885-080B-4AD7-90F5-F51B16AEC1B8}"/>
    <cellStyle name="Currency 5 2 2 3 11" xfId="8858" xr:uid="{90A4AD19-E48C-412A-A735-12B66E9C6A69}"/>
    <cellStyle name="Currency 5 2 2 3 2" xfId="201" xr:uid="{00000000-0005-0000-0000-0000C70B0000}"/>
    <cellStyle name="Currency 5 2 2 3 2 10" xfId="8859" xr:uid="{F9540A0E-D366-4024-B457-D3AFD042439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94282F44-7171-44B2-87D7-88F127B27CAD}"/>
    <cellStyle name="Currency 5 2 2 3 2 2 2 3" xfId="11418" xr:uid="{A47FA52A-AB81-482B-8312-69E2E9037D72}"/>
    <cellStyle name="Currency 5 2 2 3 2 2 3" xfId="5062" xr:uid="{00000000-0005-0000-0000-0000CB0B0000}"/>
    <cellStyle name="Currency 5 2 2 3 2 2 3 2" xfId="13491" xr:uid="{0D7749A6-CD40-4B4C-BBA9-D8CC7CD7751F}"/>
    <cellStyle name="Currency 5 2 2 3 2 2 4" xfId="9273" xr:uid="{DC05DD7F-166B-4805-8B59-6F9D20A87206}"/>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395E2553-FB67-4BB7-9907-0830A0BAC9A1}"/>
    <cellStyle name="Currency 5 2 2 3 2 3 2 3" xfId="11831" xr:uid="{E31C582F-5B16-40C5-B933-C0D3A3DC4CEE}"/>
    <cellStyle name="Currency 5 2 2 3 2 3 3" xfId="5475" xr:uid="{00000000-0005-0000-0000-0000CF0B0000}"/>
    <cellStyle name="Currency 5 2 2 3 2 3 3 2" xfId="13904" xr:uid="{CABE3469-EE38-4709-BBDD-97C6E59C26E6}"/>
    <cellStyle name="Currency 5 2 2 3 2 3 4" xfId="9686" xr:uid="{8E1B72FB-B0C6-4F6D-90A1-4C2F17C49A8D}"/>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EE5C27E9-02C8-4BB5-82EE-5223C9BE2D57}"/>
    <cellStyle name="Currency 5 2 2 3 2 4 2 3" xfId="12244" xr:uid="{3B66DE9D-3C73-4EE7-BB3E-8F456EC885D1}"/>
    <cellStyle name="Currency 5 2 2 3 2 4 3" xfId="5888" xr:uid="{00000000-0005-0000-0000-0000D30B0000}"/>
    <cellStyle name="Currency 5 2 2 3 2 4 3 2" xfId="14317" xr:uid="{8E60417C-9638-4C91-8250-F4195D0B463E}"/>
    <cellStyle name="Currency 5 2 2 3 2 4 4" xfId="10099" xr:uid="{ABCB3D79-90AF-443E-BC07-D10A7A976537}"/>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7E77026B-208A-406D-9608-A3ADE7FFCFEF}"/>
    <cellStyle name="Currency 5 2 2 3 2 5 2 3" xfId="12657" xr:uid="{90BA3912-D5D9-4EDD-8C9A-736CA12DB0C0}"/>
    <cellStyle name="Currency 5 2 2 3 2 5 3" xfId="6301" xr:uid="{00000000-0005-0000-0000-0000D70B0000}"/>
    <cellStyle name="Currency 5 2 2 3 2 5 3 2" xfId="14730" xr:uid="{AE168188-2056-410B-AE48-BC103ED8F836}"/>
    <cellStyle name="Currency 5 2 2 3 2 5 4" xfId="10512" xr:uid="{5ED3DA35-0999-4319-B302-D8B886B8A183}"/>
    <cellStyle name="Currency 5 2 2 3 2 6" xfId="2428" xr:uid="{00000000-0005-0000-0000-0000D80B0000}"/>
    <cellStyle name="Currency 5 2 2 3 2 6 2" xfId="6714" xr:uid="{00000000-0005-0000-0000-0000D90B0000}"/>
    <cellStyle name="Currency 5 2 2 3 2 6 2 2" xfId="15143" xr:uid="{5A761214-7FC1-43DD-B7D6-48BFAEE6A7DB}"/>
    <cellStyle name="Currency 5 2 2 3 2 6 3" xfId="10925" xr:uid="{0485E87E-FE6B-4F27-A73D-7556ED1226B2}"/>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57FF0FDC-F570-44F1-BC25-60CBD5590903}"/>
    <cellStyle name="Currency 5 2 2 3 2 8 3" xfId="11242" xr:uid="{AB2F7D2A-46E2-478D-ACEB-9814ACB8DB2A}"/>
    <cellStyle name="Currency 5 2 2 3 2 9" xfId="4648" xr:uid="{00000000-0005-0000-0000-0000DD0B0000}"/>
    <cellStyle name="Currency 5 2 2 3 2 9 2" xfId="13077" xr:uid="{30B45901-D56D-4DE8-A78E-221088E982AA}"/>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C73145F8-CE9B-460C-93D0-7F55471261FA}"/>
    <cellStyle name="Currency 5 2 2 3 3 2 3" xfId="11417" xr:uid="{3F32EBC7-53D2-419E-ADEC-4E2FA8BB8668}"/>
    <cellStyle name="Currency 5 2 2 3 3 3" xfId="5061" xr:uid="{00000000-0005-0000-0000-0000E10B0000}"/>
    <cellStyle name="Currency 5 2 2 3 3 3 2" xfId="13490" xr:uid="{B2FBBE92-ECD3-4AD3-B2FC-5B7E13552369}"/>
    <cellStyle name="Currency 5 2 2 3 3 4" xfId="9272" xr:uid="{A3C97E06-25D7-471D-925A-C3ECE0F59F99}"/>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3C5FC2A9-3644-448F-948C-A20E29638C28}"/>
    <cellStyle name="Currency 5 2 2 3 4 2 3" xfId="11830" xr:uid="{1CBBDCDD-8365-4EAB-A835-D07521835E57}"/>
    <cellStyle name="Currency 5 2 2 3 4 3" xfId="5474" xr:uid="{00000000-0005-0000-0000-0000E50B0000}"/>
    <cellStyle name="Currency 5 2 2 3 4 3 2" xfId="13903" xr:uid="{914B5E83-9601-400C-89C5-97EDA2687EC4}"/>
    <cellStyle name="Currency 5 2 2 3 4 4" xfId="9685" xr:uid="{F6E561BC-9D9C-49A4-ADBA-42AB55AC725F}"/>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AE62D24B-B10C-4A14-83DA-0F3DF1249603}"/>
    <cellStyle name="Currency 5 2 2 3 5 2 3" xfId="12243" xr:uid="{340BA456-EE9A-4A75-9835-091E8C7E3528}"/>
    <cellStyle name="Currency 5 2 2 3 5 3" xfId="5887" xr:uid="{00000000-0005-0000-0000-0000E90B0000}"/>
    <cellStyle name="Currency 5 2 2 3 5 3 2" xfId="14316" xr:uid="{D7C794D9-9236-4176-A3F9-9E67E44179BD}"/>
    <cellStyle name="Currency 5 2 2 3 5 4" xfId="10098" xr:uid="{F710015F-1036-4608-8DEF-6891105EFC35}"/>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0A6C881A-0C31-48B9-B9A2-8B1164A7B649}"/>
    <cellStyle name="Currency 5 2 2 3 6 2 3" xfId="12656" xr:uid="{4F23E079-2C59-4067-8243-5E27C050EC1E}"/>
    <cellStyle name="Currency 5 2 2 3 6 3" xfId="6300" xr:uid="{00000000-0005-0000-0000-0000ED0B0000}"/>
    <cellStyle name="Currency 5 2 2 3 6 3 2" xfId="14729" xr:uid="{4BD7E310-66D1-4F2E-9CBD-9D0911138FB2}"/>
    <cellStyle name="Currency 5 2 2 3 6 4" xfId="10511" xr:uid="{DB8E55D9-FC2B-4761-94BB-A6D234C4DAE6}"/>
    <cellStyle name="Currency 5 2 2 3 7" xfId="2427" xr:uid="{00000000-0005-0000-0000-0000EE0B0000}"/>
    <cellStyle name="Currency 5 2 2 3 7 2" xfId="6713" xr:uid="{00000000-0005-0000-0000-0000EF0B0000}"/>
    <cellStyle name="Currency 5 2 2 3 7 2 2" xfId="15142" xr:uid="{5CAF4F55-04A1-4532-BE45-7335DC260E94}"/>
    <cellStyle name="Currency 5 2 2 3 7 3" xfId="10924" xr:uid="{FD6D855C-82AB-4846-AA5F-7FF0B099C5CC}"/>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555BD9CF-ABAC-4CE7-863E-A417D90C7476}"/>
    <cellStyle name="Currency 5 2 2 3 9 3" xfId="11241" xr:uid="{84A3FDBA-7C4D-4B4B-9BF3-B9FF7BEAE43D}"/>
    <cellStyle name="Currency 5 2 2 4" xfId="202" xr:uid="{00000000-0005-0000-0000-0000F30B0000}"/>
    <cellStyle name="Currency 5 2 2 4 10" xfId="8860" xr:uid="{6112CED9-FB80-4A68-B335-411B7C86AE46}"/>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7EBE257B-626A-4629-AD44-E11B5F80D0D8}"/>
    <cellStyle name="Currency 5 2 2 4 2 2 3" xfId="11419" xr:uid="{4B93527F-AB24-4F25-AF90-3F8C01E47541}"/>
    <cellStyle name="Currency 5 2 2 4 2 3" xfId="5063" xr:uid="{00000000-0005-0000-0000-0000F70B0000}"/>
    <cellStyle name="Currency 5 2 2 4 2 3 2" xfId="13492" xr:uid="{DE947BF4-D276-49E8-A5CF-19B508CCFCB8}"/>
    <cellStyle name="Currency 5 2 2 4 2 4" xfId="9274" xr:uid="{D7A942DC-94EB-4FE6-B597-0C891AA76C23}"/>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CBE97C87-DB99-48A8-AAC8-60BAF3310493}"/>
    <cellStyle name="Currency 5 2 2 4 3 2 3" xfId="11832" xr:uid="{DFCD96DA-A467-4116-9844-ED30148A9627}"/>
    <cellStyle name="Currency 5 2 2 4 3 3" xfId="5476" xr:uid="{00000000-0005-0000-0000-0000FB0B0000}"/>
    <cellStyle name="Currency 5 2 2 4 3 3 2" xfId="13905" xr:uid="{5BC1E9B2-5825-43C1-9A8C-755C20C0D73F}"/>
    <cellStyle name="Currency 5 2 2 4 3 4" xfId="9687" xr:uid="{7FDE3AF7-8FE9-4D69-A276-1577B3E4F23C}"/>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C7A1C2DC-B1CC-4326-A251-4CA0927A6CDF}"/>
    <cellStyle name="Currency 5 2 2 4 4 2 3" xfId="12245" xr:uid="{6029BDF5-2F82-4676-9DAD-69D7BB659F7B}"/>
    <cellStyle name="Currency 5 2 2 4 4 3" xfId="5889" xr:uid="{00000000-0005-0000-0000-0000FF0B0000}"/>
    <cellStyle name="Currency 5 2 2 4 4 3 2" xfId="14318" xr:uid="{4B8A55EC-B584-4FAC-B32B-2DA18D244D13}"/>
    <cellStyle name="Currency 5 2 2 4 4 4" xfId="10100" xr:uid="{C7D923DB-ED30-41EE-9F55-A5E58CF723D4}"/>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309433F8-49CE-470F-92DB-456C8F6F6662}"/>
    <cellStyle name="Currency 5 2 2 4 5 2 3" xfId="12658" xr:uid="{B8DE41FD-A9A6-44FB-A31A-7FA7C5F021DF}"/>
    <cellStyle name="Currency 5 2 2 4 5 3" xfId="6302" xr:uid="{00000000-0005-0000-0000-0000030C0000}"/>
    <cellStyle name="Currency 5 2 2 4 5 3 2" xfId="14731" xr:uid="{53724482-DA17-4FC0-ADB8-8D92BC928CC8}"/>
    <cellStyle name="Currency 5 2 2 4 5 4" xfId="10513" xr:uid="{B704B269-1A33-4EC1-AB41-781D7FCFF001}"/>
    <cellStyle name="Currency 5 2 2 4 6" xfId="2429" xr:uid="{00000000-0005-0000-0000-0000040C0000}"/>
    <cellStyle name="Currency 5 2 2 4 6 2" xfId="6715" xr:uid="{00000000-0005-0000-0000-0000050C0000}"/>
    <cellStyle name="Currency 5 2 2 4 6 2 2" xfId="15144" xr:uid="{1327C525-0C7E-488A-AB3F-B78778AC2D36}"/>
    <cellStyle name="Currency 5 2 2 4 6 3" xfId="10926" xr:uid="{98C72442-7F6B-4623-A673-63A037B2DDAB}"/>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26F80338-DA95-490C-9D52-55790C6EEE20}"/>
    <cellStyle name="Currency 5 2 2 4 8 3" xfId="11243" xr:uid="{1C8CC422-25D7-49A5-A2E1-1299B168B1A0}"/>
    <cellStyle name="Currency 5 2 2 4 9" xfId="4649" xr:uid="{00000000-0005-0000-0000-0000090C0000}"/>
    <cellStyle name="Currency 5 2 2 4 9 2" xfId="13078" xr:uid="{CED18301-EAA8-4015-985D-DB9BF4EC78DF}"/>
    <cellStyle name="Currency 5 2 2 5" xfId="203" xr:uid="{00000000-0005-0000-0000-00000A0C0000}"/>
    <cellStyle name="Currency 5 2 2 5 10" xfId="8861" xr:uid="{A96D15C1-0629-44DF-9E30-70374DEC2A21}"/>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72F551B6-DCD5-4006-999D-725940822257}"/>
    <cellStyle name="Currency 5 2 2 5 2 2 3" xfId="11420" xr:uid="{1D2345E9-80ED-4B29-9597-702A1E63D2F3}"/>
    <cellStyle name="Currency 5 2 2 5 2 3" xfId="5064" xr:uid="{00000000-0005-0000-0000-00000E0C0000}"/>
    <cellStyle name="Currency 5 2 2 5 2 3 2" xfId="13493" xr:uid="{DACCE3EC-C5DA-4B35-99CE-A3D768B4C464}"/>
    <cellStyle name="Currency 5 2 2 5 2 4" xfId="9275" xr:uid="{9F4BAA32-CDD7-4D76-A44F-BB77826FEE8D}"/>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83EF3F57-BF4F-4121-8115-3CE7E60A40FE}"/>
    <cellStyle name="Currency 5 2 2 5 3 2 3" xfId="11833" xr:uid="{894716A5-977F-40A4-BE77-3BDD05E9F2AC}"/>
    <cellStyle name="Currency 5 2 2 5 3 3" xfId="5477" xr:uid="{00000000-0005-0000-0000-0000120C0000}"/>
    <cellStyle name="Currency 5 2 2 5 3 3 2" xfId="13906" xr:uid="{D075CE67-6371-455F-9C01-6399153A0BFE}"/>
    <cellStyle name="Currency 5 2 2 5 3 4" xfId="9688" xr:uid="{7CBE223C-0005-413A-A80F-D7E898250FA2}"/>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CDC0B760-414C-4CAB-ADB5-FD748B12E0D9}"/>
    <cellStyle name="Currency 5 2 2 5 4 2 3" xfId="12246" xr:uid="{C6797822-705F-4F38-A604-05FC055B8E5F}"/>
    <cellStyle name="Currency 5 2 2 5 4 3" xfId="5890" xr:uid="{00000000-0005-0000-0000-0000160C0000}"/>
    <cellStyle name="Currency 5 2 2 5 4 3 2" xfId="14319" xr:uid="{53729E51-BD3A-45D4-84B0-97DA7485F1F1}"/>
    <cellStyle name="Currency 5 2 2 5 4 4" xfId="10101" xr:uid="{4116FD30-E230-433C-9629-947808C88A14}"/>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EEF6D552-AD3F-4050-B3E4-CE56DC165D5E}"/>
    <cellStyle name="Currency 5 2 2 5 5 2 3" xfId="12659" xr:uid="{989D9A0E-26FF-41DB-AD8D-064BC731E8C3}"/>
    <cellStyle name="Currency 5 2 2 5 5 3" xfId="6303" xr:uid="{00000000-0005-0000-0000-00001A0C0000}"/>
    <cellStyle name="Currency 5 2 2 5 5 3 2" xfId="14732" xr:uid="{72B3537E-0A64-4D29-9E99-B76A46F55C70}"/>
    <cellStyle name="Currency 5 2 2 5 5 4" xfId="10514" xr:uid="{93314AE4-FD59-487A-83ED-AE43D8678B7E}"/>
    <cellStyle name="Currency 5 2 2 5 6" xfId="2430" xr:uid="{00000000-0005-0000-0000-00001B0C0000}"/>
    <cellStyle name="Currency 5 2 2 5 6 2" xfId="6716" xr:uid="{00000000-0005-0000-0000-00001C0C0000}"/>
    <cellStyle name="Currency 5 2 2 5 6 2 2" xfId="15145" xr:uid="{AF192D7F-1C3F-43E7-ADDC-B1ED806E0FB7}"/>
    <cellStyle name="Currency 5 2 2 5 6 3" xfId="10927" xr:uid="{26CE05A9-BF29-48D7-8618-4B1BB140D9FF}"/>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2EAD69E4-B750-4077-9BE5-4C847EBF8C6D}"/>
    <cellStyle name="Currency 5 2 2 5 8 3" xfId="11244" xr:uid="{02206258-15D3-4A8D-AF8C-BC7772E8CC4A}"/>
    <cellStyle name="Currency 5 2 2 5 9" xfId="4650" xr:uid="{00000000-0005-0000-0000-0000200C0000}"/>
    <cellStyle name="Currency 5 2 2 5 9 2" xfId="13079" xr:uid="{E74272F0-32B8-43AA-ABB0-2415F07ECCE9}"/>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59F6B594-6B69-499D-B2F3-2EF645AADE1F}"/>
    <cellStyle name="Currency 5 2 4 11" xfId="8862" xr:uid="{7E06F446-3863-4ACF-A627-C4396143ED22}"/>
    <cellStyle name="Currency 5 2 4 2" xfId="206" xr:uid="{00000000-0005-0000-0000-0000250C0000}"/>
    <cellStyle name="Currency 5 2 4 2 10" xfId="8863" xr:uid="{0EB51123-391F-4FDB-A026-18F91CDB78B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1158569E-96A7-4223-9548-BA89483FC8C3}"/>
    <cellStyle name="Currency 5 2 4 2 2 2 3" xfId="11422" xr:uid="{4E3E1F5C-1FFE-433C-A0BC-E8ED6429C5C3}"/>
    <cellStyle name="Currency 5 2 4 2 2 3" xfId="5066" xr:uid="{00000000-0005-0000-0000-0000290C0000}"/>
    <cellStyle name="Currency 5 2 4 2 2 3 2" xfId="13495" xr:uid="{2C108498-4B1C-4422-BB32-119B51CF8B3F}"/>
    <cellStyle name="Currency 5 2 4 2 2 4" xfId="9277" xr:uid="{D6A5F42B-97E0-4FCB-8C1F-22816A407EC5}"/>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3F80BAA6-28F1-42AB-BD1A-706669FD74F9}"/>
    <cellStyle name="Currency 5 2 4 2 3 2 3" xfId="11835" xr:uid="{A3D9B776-A8B7-4006-8D06-57C870D98D61}"/>
    <cellStyle name="Currency 5 2 4 2 3 3" xfId="5479" xr:uid="{00000000-0005-0000-0000-00002D0C0000}"/>
    <cellStyle name="Currency 5 2 4 2 3 3 2" xfId="13908" xr:uid="{E632821C-3E3F-4E7F-A986-2F842527F3CE}"/>
    <cellStyle name="Currency 5 2 4 2 3 4" xfId="9690" xr:uid="{73AF9E43-E799-41E3-9636-8E29CC599512}"/>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BBBD97A8-72A7-47D3-B57D-0D94F8510707}"/>
    <cellStyle name="Currency 5 2 4 2 4 2 3" xfId="12248" xr:uid="{6AA140FD-18E0-4896-BC20-948CC26D3186}"/>
    <cellStyle name="Currency 5 2 4 2 4 3" xfId="5892" xr:uid="{00000000-0005-0000-0000-0000310C0000}"/>
    <cellStyle name="Currency 5 2 4 2 4 3 2" xfId="14321" xr:uid="{87540CA2-7B26-4DE1-B78F-441358312E86}"/>
    <cellStyle name="Currency 5 2 4 2 4 4" xfId="10103" xr:uid="{8836E0F4-154D-40CF-8E3A-7119EBE10A1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3A6A06D1-4AE5-4CD1-B826-CCA558FDDD53}"/>
    <cellStyle name="Currency 5 2 4 2 5 2 3" xfId="12661" xr:uid="{B7259223-60D3-49D5-A0B0-0E06A63AD2CE}"/>
    <cellStyle name="Currency 5 2 4 2 5 3" xfId="6305" xr:uid="{00000000-0005-0000-0000-0000350C0000}"/>
    <cellStyle name="Currency 5 2 4 2 5 3 2" xfId="14734" xr:uid="{46A84435-BB65-4214-BDDE-958A47C2864C}"/>
    <cellStyle name="Currency 5 2 4 2 5 4" xfId="10516" xr:uid="{BBE6312B-7906-454D-AA5A-403560A34E48}"/>
    <cellStyle name="Currency 5 2 4 2 6" xfId="2432" xr:uid="{00000000-0005-0000-0000-0000360C0000}"/>
    <cellStyle name="Currency 5 2 4 2 6 2" xfId="6718" xr:uid="{00000000-0005-0000-0000-0000370C0000}"/>
    <cellStyle name="Currency 5 2 4 2 6 2 2" xfId="15147" xr:uid="{127E66EC-7C68-4399-BE6C-746B911ACC52}"/>
    <cellStyle name="Currency 5 2 4 2 6 3" xfId="10929" xr:uid="{F92950B2-F0F6-4E1C-8FC7-E27F7D8765F8}"/>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64FCE900-F447-477F-B453-FEE92800A0BA}"/>
    <cellStyle name="Currency 5 2 4 2 8 3" xfId="11246" xr:uid="{FEFFF208-CA29-430F-8475-F5A36D361147}"/>
    <cellStyle name="Currency 5 2 4 2 9" xfId="4652" xr:uid="{00000000-0005-0000-0000-00003B0C0000}"/>
    <cellStyle name="Currency 5 2 4 2 9 2" xfId="13081" xr:uid="{65D84D8A-F43F-4D0F-B4E6-7E00822AD520}"/>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34352A7F-C62F-46B1-815C-DDBB7421BB14}"/>
    <cellStyle name="Currency 5 2 4 3 2 3" xfId="11421" xr:uid="{08B5ECBA-F3E4-4ADE-938F-7DF8A898F682}"/>
    <cellStyle name="Currency 5 2 4 3 3" xfId="5065" xr:uid="{00000000-0005-0000-0000-00003F0C0000}"/>
    <cellStyle name="Currency 5 2 4 3 3 2" xfId="13494" xr:uid="{FB22BBC6-843A-4E64-A03B-8895C139EA89}"/>
    <cellStyle name="Currency 5 2 4 3 4" xfId="9276" xr:uid="{DD9E457B-9E36-4304-97C7-E688F062EF20}"/>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0F9A6A0E-E3DF-41F4-B4E8-24F12C32F2D4}"/>
    <cellStyle name="Currency 5 2 4 4 2 3" xfId="11834" xr:uid="{6D6FFA37-6FB5-4B13-BB4A-DF1DDBF64F1D}"/>
    <cellStyle name="Currency 5 2 4 4 3" xfId="5478" xr:uid="{00000000-0005-0000-0000-0000430C0000}"/>
    <cellStyle name="Currency 5 2 4 4 3 2" xfId="13907" xr:uid="{DF87443C-2A33-4231-B8DE-702816421B56}"/>
    <cellStyle name="Currency 5 2 4 4 4" xfId="9689" xr:uid="{5C7BD018-3079-4893-AAFA-909A1C59D17C}"/>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B5EBF070-F72B-4B42-9005-FC41CC1F0248}"/>
    <cellStyle name="Currency 5 2 4 5 2 3" xfId="12247" xr:uid="{5C0ABED0-E0DD-4558-9044-DC0086D7510C}"/>
    <cellStyle name="Currency 5 2 4 5 3" xfId="5891" xr:uid="{00000000-0005-0000-0000-0000470C0000}"/>
    <cellStyle name="Currency 5 2 4 5 3 2" xfId="14320" xr:uid="{3E353F59-827D-4492-8B6B-7A58F56A39B8}"/>
    <cellStyle name="Currency 5 2 4 5 4" xfId="10102" xr:uid="{F96D0852-9276-4837-880A-46D6FD0DAD98}"/>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9DA538EE-D746-4A7C-8394-5AC4561EE319}"/>
    <cellStyle name="Currency 5 2 4 6 2 3" xfId="12660" xr:uid="{0AA0C902-CD22-4526-85D6-F27E1DDF0554}"/>
    <cellStyle name="Currency 5 2 4 6 3" xfId="6304" xr:uid="{00000000-0005-0000-0000-00004B0C0000}"/>
    <cellStyle name="Currency 5 2 4 6 3 2" xfId="14733" xr:uid="{B3DD5897-DD93-494E-8C08-343DC0D35EFD}"/>
    <cellStyle name="Currency 5 2 4 6 4" xfId="10515" xr:uid="{79168D46-C08B-418A-8485-BEE51957021C}"/>
    <cellStyle name="Currency 5 2 4 7" xfId="2431" xr:uid="{00000000-0005-0000-0000-00004C0C0000}"/>
    <cellStyle name="Currency 5 2 4 7 2" xfId="6717" xr:uid="{00000000-0005-0000-0000-00004D0C0000}"/>
    <cellStyle name="Currency 5 2 4 7 2 2" xfId="15146" xr:uid="{B03E5322-D38F-42B7-B667-5626F026B017}"/>
    <cellStyle name="Currency 5 2 4 7 3" xfId="10928" xr:uid="{2391D058-4FB9-4CA2-BD65-1C96C410FF28}"/>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22B6D6FC-2353-4B52-8695-B42D3895BF30}"/>
    <cellStyle name="Currency 5 2 4 9 3" xfId="11245" xr:uid="{E30A9151-7A46-4D9B-B1D6-E23F0A2BAD74}"/>
    <cellStyle name="Currency 5 2 5" xfId="207" xr:uid="{00000000-0005-0000-0000-0000510C0000}"/>
    <cellStyle name="Currency 5 2 5 10" xfId="8864" xr:uid="{7B8F8860-A6AC-4BC3-91CC-5F94B8B747A7}"/>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32294D5D-3E01-42E5-9D50-4AA1ED465FD7}"/>
    <cellStyle name="Currency 5 2 5 2 2 3" xfId="11423" xr:uid="{7D1C6DE4-4FBD-4F63-A844-65AE7D2062F8}"/>
    <cellStyle name="Currency 5 2 5 2 3" xfId="5067" xr:uid="{00000000-0005-0000-0000-0000550C0000}"/>
    <cellStyle name="Currency 5 2 5 2 3 2" xfId="13496" xr:uid="{C2261D73-1033-4D0C-AE3D-DF74BB2BB5F6}"/>
    <cellStyle name="Currency 5 2 5 2 4" xfId="9278" xr:uid="{C3EA4F6E-2E18-4C60-9ABC-82A506A447B7}"/>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FAA93665-75CE-4F25-AC98-BAE560BD155B}"/>
    <cellStyle name="Currency 5 2 5 3 2 3" xfId="11836" xr:uid="{DACE917D-0254-4ADD-8E1C-7875560062D9}"/>
    <cellStyle name="Currency 5 2 5 3 3" xfId="5480" xr:uid="{00000000-0005-0000-0000-0000590C0000}"/>
    <cellStyle name="Currency 5 2 5 3 3 2" xfId="13909" xr:uid="{79ACB9DC-F07D-48A1-9060-2FF55B44BAD4}"/>
    <cellStyle name="Currency 5 2 5 3 4" xfId="9691" xr:uid="{F2B494BE-4304-4C32-B9F0-2FF7A080D267}"/>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B4D0BC4C-AE09-4A7B-8D7A-4E62F0D33AE9}"/>
    <cellStyle name="Currency 5 2 5 4 2 3" xfId="12249" xr:uid="{2B609235-17E5-4074-9AC7-AE615AFFD31B}"/>
    <cellStyle name="Currency 5 2 5 4 3" xfId="5893" xr:uid="{00000000-0005-0000-0000-00005D0C0000}"/>
    <cellStyle name="Currency 5 2 5 4 3 2" xfId="14322" xr:uid="{1D576ADF-D6A7-4B54-9121-66B6481449CA}"/>
    <cellStyle name="Currency 5 2 5 4 4" xfId="10104" xr:uid="{526C2020-6A60-486F-93D2-B07E61146560}"/>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A9C87263-156D-4A61-88BC-5AE794DB0706}"/>
    <cellStyle name="Currency 5 2 5 5 2 3" xfId="12662" xr:uid="{BF02FE66-E6BE-4E5D-B189-F89CA8B9E343}"/>
    <cellStyle name="Currency 5 2 5 5 3" xfId="6306" xr:uid="{00000000-0005-0000-0000-0000610C0000}"/>
    <cellStyle name="Currency 5 2 5 5 3 2" xfId="14735" xr:uid="{5C2DEB93-7074-4135-BBA2-D6A7093F150E}"/>
    <cellStyle name="Currency 5 2 5 5 4" xfId="10517" xr:uid="{2CE1F772-6BFF-4519-84B4-D73CE0519B01}"/>
    <cellStyle name="Currency 5 2 5 6" xfId="2433" xr:uid="{00000000-0005-0000-0000-0000620C0000}"/>
    <cellStyle name="Currency 5 2 5 6 2" xfId="6719" xr:uid="{00000000-0005-0000-0000-0000630C0000}"/>
    <cellStyle name="Currency 5 2 5 6 2 2" xfId="15148" xr:uid="{0EE0A421-7F23-4E15-AD81-9FC6AAC83AF5}"/>
    <cellStyle name="Currency 5 2 5 6 3" xfId="10930" xr:uid="{A2A64DE0-B760-459A-9E10-1E8C98136799}"/>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0D23A4B0-F6E5-4B74-8BA7-0186403588C2}"/>
    <cellStyle name="Currency 5 2 5 8 3" xfId="11247" xr:uid="{C394D104-43A9-4096-AAF8-ED0218FDCAE0}"/>
    <cellStyle name="Currency 5 2 5 9" xfId="4653" xr:uid="{00000000-0005-0000-0000-0000670C0000}"/>
    <cellStyle name="Currency 5 2 5 9 2" xfId="13082" xr:uid="{53EE5E57-F2A6-43FE-BAC2-CD10B9814A96}"/>
    <cellStyle name="Currency 5 2 6" xfId="208" xr:uid="{00000000-0005-0000-0000-0000680C0000}"/>
    <cellStyle name="Currency 5 2 6 10" xfId="8865" xr:uid="{A55CA454-0A9B-49D0-808A-4E07860E6F29}"/>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F3375C08-9753-45EC-85E0-8EDB47A6C8D2}"/>
    <cellStyle name="Currency 5 2 6 2 2 3" xfId="11424" xr:uid="{13660D80-39D9-4CC7-A13E-0217340B87FD}"/>
    <cellStyle name="Currency 5 2 6 2 3" xfId="5068" xr:uid="{00000000-0005-0000-0000-00006C0C0000}"/>
    <cellStyle name="Currency 5 2 6 2 3 2" xfId="13497" xr:uid="{4E80FB66-4A03-45C8-9416-DD89CD7F5474}"/>
    <cellStyle name="Currency 5 2 6 2 4" xfId="9279" xr:uid="{02286026-479B-4B08-91B5-8E47BFB9EDB8}"/>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D82F6BE6-FAAE-4372-BC11-E37B9CC55CC7}"/>
    <cellStyle name="Currency 5 2 6 3 2 3" xfId="11837" xr:uid="{C673850B-92B5-436B-9EDE-D84A1479239D}"/>
    <cellStyle name="Currency 5 2 6 3 3" xfId="5481" xr:uid="{00000000-0005-0000-0000-0000700C0000}"/>
    <cellStyle name="Currency 5 2 6 3 3 2" xfId="13910" xr:uid="{40DC4FE1-DD19-445E-94C9-A2A782A30388}"/>
    <cellStyle name="Currency 5 2 6 3 4" xfId="9692" xr:uid="{547B9538-6841-448E-9D09-33A064BF557B}"/>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C797C4CA-D02A-433A-A0F3-BB94E3AB603B}"/>
    <cellStyle name="Currency 5 2 6 4 2 3" xfId="12250" xr:uid="{9CA31BDB-C262-4C5E-AEA8-798ED776126B}"/>
    <cellStyle name="Currency 5 2 6 4 3" xfId="5894" xr:uid="{00000000-0005-0000-0000-0000740C0000}"/>
    <cellStyle name="Currency 5 2 6 4 3 2" xfId="14323" xr:uid="{3E490231-2A07-4051-8D08-39B11B07AB9B}"/>
    <cellStyle name="Currency 5 2 6 4 4" xfId="10105" xr:uid="{0A7217FF-51AD-4534-94DE-22F10298A955}"/>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9ACAFD8F-9287-4CD3-9B3D-0E01D0FA6511}"/>
    <cellStyle name="Currency 5 2 6 5 2 3" xfId="12663" xr:uid="{D6D012A6-67AF-4AA7-B1A9-8C5805029B64}"/>
    <cellStyle name="Currency 5 2 6 5 3" xfId="6307" xr:uid="{00000000-0005-0000-0000-0000780C0000}"/>
    <cellStyle name="Currency 5 2 6 5 3 2" xfId="14736" xr:uid="{E66E046F-969F-4D27-9966-AE6FEE3EC5C7}"/>
    <cellStyle name="Currency 5 2 6 5 4" xfId="10518" xr:uid="{256AB876-EDE0-4345-A0BD-992CFB5EC2B3}"/>
    <cellStyle name="Currency 5 2 6 6" xfId="2434" xr:uid="{00000000-0005-0000-0000-0000790C0000}"/>
    <cellStyle name="Currency 5 2 6 6 2" xfId="6720" xr:uid="{00000000-0005-0000-0000-00007A0C0000}"/>
    <cellStyle name="Currency 5 2 6 6 2 2" xfId="15149" xr:uid="{CAC29496-0C77-4BD7-9A01-A912C973522E}"/>
    <cellStyle name="Currency 5 2 6 6 3" xfId="10931" xr:uid="{E9970629-BDF9-42F7-9F76-E10EE925DC42}"/>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08B37E55-E6CE-4AB5-AC96-9C0D13CAA631}"/>
    <cellStyle name="Currency 5 2 6 8 3" xfId="11248" xr:uid="{AE69675E-0B62-4B02-A8AE-50A3113EA874}"/>
    <cellStyle name="Currency 5 2 6 9" xfId="4654" xr:uid="{00000000-0005-0000-0000-00007E0C0000}"/>
    <cellStyle name="Currency 5 2 6 9 2" xfId="13083" xr:uid="{E97F123A-8BE3-4330-9C56-EB271D46BF4D}"/>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92BA949C-AD6C-4785-BC85-0FE1926273DC}"/>
    <cellStyle name="Currency 5 3 2 10 3" xfId="11249" xr:uid="{05D80C18-B01F-4F17-8612-507C97449AAA}"/>
    <cellStyle name="Currency 5 3 2 11" xfId="4655" xr:uid="{00000000-0005-0000-0000-0000840C0000}"/>
    <cellStyle name="Currency 5 3 2 11 2" xfId="13084" xr:uid="{061C821D-08B0-4FC1-A8F5-165A2B4A6217}"/>
    <cellStyle name="Currency 5 3 2 12" xfId="8866" xr:uid="{9835F8D5-12F6-4F1E-91CE-054DF87138EA}"/>
    <cellStyle name="Currency 5 3 2 2" xfId="211" xr:uid="{00000000-0005-0000-0000-0000850C0000}"/>
    <cellStyle name="Currency 5 3 2 2 10" xfId="4656" xr:uid="{00000000-0005-0000-0000-0000860C0000}"/>
    <cellStyle name="Currency 5 3 2 2 10 2" xfId="13085" xr:uid="{E432504C-DE88-4D60-9814-587779B337F9}"/>
    <cellStyle name="Currency 5 3 2 2 11" xfId="8867" xr:uid="{2EDFF727-26DF-4CFA-97F9-B11991CD21A1}"/>
    <cellStyle name="Currency 5 3 2 2 2" xfId="212" xr:uid="{00000000-0005-0000-0000-0000870C0000}"/>
    <cellStyle name="Currency 5 3 2 2 2 10" xfId="8868" xr:uid="{641FC871-A54D-4AB4-B0D2-2FD7FE3873A3}"/>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F7201269-2A18-485D-956A-397BB29F32F4}"/>
    <cellStyle name="Currency 5 3 2 2 2 2 2 3" xfId="11427" xr:uid="{12F5787D-B466-4772-988E-40CB7372DB31}"/>
    <cellStyle name="Currency 5 3 2 2 2 2 3" xfId="5071" xr:uid="{00000000-0005-0000-0000-00008B0C0000}"/>
    <cellStyle name="Currency 5 3 2 2 2 2 3 2" xfId="13500" xr:uid="{9A578F52-8725-4620-806C-058F8BCB53A4}"/>
    <cellStyle name="Currency 5 3 2 2 2 2 4" xfId="9282" xr:uid="{8E07D969-64AA-4423-B830-6CEC2D380BE8}"/>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AA32F8B1-5E57-4F36-AC73-05BE75C6C7FA}"/>
    <cellStyle name="Currency 5 3 2 2 2 3 2 3" xfId="11840" xr:uid="{8DE63127-9220-4B0D-A1F2-7355CB5473BD}"/>
    <cellStyle name="Currency 5 3 2 2 2 3 3" xfId="5484" xr:uid="{00000000-0005-0000-0000-00008F0C0000}"/>
    <cellStyle name="Currency 5 3 2 2 2 3 3 2" xfId="13913" xr:uid="{F2D77E33-FCA0-4A1F-B7BB-FA331C00E5D2}"/>
    <cellStyle name="Currency 5 3 2 2 2 3 4" xfId="9695" xr:uid="{83D4EB2D-531C-4EB0-AD54-E1FA0386ABC5}"/>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B687774C-BBFE-4FB1-BBE7-74110A12AFC6}"/>
    <cellStyle name="Currency 5 3 2 2 2 4 2 3" xfId="12253" xr:uid="{D10310CE-5EAE-4985-B89B-879FB3A69DF7}"/>
    <cellStyle name="Currency 5 3 2 2 2 4 3" xfId="5897" xr:uid="{00000000-0005-0000-0000-0000930C0000}"/>
    <cellStyle name="Currency 5 3 2 2 2 4 3 2" xfId="14326" xr:uid="{107296E9-3122-45ED-87D8-D0614FB4549C}"/>
    <cellStyle name="Currency 5 3 2 2 2 4 4" xfId="10108" xr:uid="{C043093E-7F55-4898-83B2-78143217FA75}"/>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DB46E0E5-683E-4F61-A128-9F0E0E96056F}"/>
    <cellStyle name="Currency 5 3 2 2 2 5 2 3" xfId="12666" xr:uid="{9CE501DB-83A8-4E27-93DA-BD01D0419DF5}"/>
    <cellStyle name="Currency 5 3 2 2 2 5 3" xfId="6310" xr:uid="{00000000-0005-0000-0000-0000970C0000}"/>
    <cellStyle name="Currency 5 3 2 2 2 5 3 2" xfId="14739" xr:uid="{7D36DBA0-C83F-42B8-BBE4-93148B6BB46D}"/>
    <cellStyle name="Currency 5 3 2 2 2 5 4" xfId="10521" xr:uid="{5559C378-D19B-4C24-B2A5-AE3C68861548}"/>
    <cellStyle name="Currency 5 3 2 2 2 6" xfId="2437" xr:uid="{00000000-0005-0000-0000-0000980C0000}"/>
    <cellStyle name="Currency 5 3 2 2 2 6 2" xfId="6723" xr:uid="{00000000-0005-0000-0000-0000990C0000}"/>
    <cellStyle name="Currency 5 3 2 2 2 6 2 2" xfId="15152" xr:uid="{9BE9B0EE-034A-49D7-990F-2080E9A1EB3D}"/>
    <cellStyle name="Currency 5 3 2 2 2 6 3" xfId="10934" xr:uid="{40420B10-F581-4C37-8DA7-CF74CD4E5A38}"/>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E0777D91-190D-4CFF-8FF0-5835C1A014EA}"/>
    <cellStyle name="Currency 5 3 2 2 2 8 3" xfId="11251" xr:uid="{BADC4241-29AE-494F-9E18-51091EB52FC2}"/>
    <cellStyle name="Currency 5 3 2 2 2 9" xfId="4657" xr:uid="{00000000-0005-0000-0000-00009D0C0000}"/>
    <cellStyle name="Currency 5 3 2 2 2 9 2" xfId="13086" xr:uid="{CBF271A0-5C7D-4241-B667-2E8A23C5A673}"/>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41B7E1C6-13C9-4F4F-8C05-6DF49E7D60EC}"/>
    <cellStyle name="Currency 5 3 2 2 3 2 3" xfId="11426" xr:uid="{BE6B8C64-6B7D-453B-B790-39F3ACFACA1E}"/>
    <cellStyle name="Currency 5 3 2 2 3 3" xfId="5070" xr:uid="{00000000-0005-0000-0000-0000A10C0000}"/>
    <cellStyle name="Currency 5 3 2 2 3 3 2" xfId="13499" xr:uid="{96AE90CC-05C2-452F-9EC4-51CEAB55D68F}"/>
    <cellStyle name="Currency 5 3 2 2 3 4" xfId="9281" xr:uid="{47CCCCCA-6ECA-46E9-8207-639A5C4B876F}"/>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4BF40892-A6C4-49B2-A402-FDC96665448E}"/>
    <cellStyle name="Currency 5 3 2 2 4 2 3" xfId="11839" xr:uid="{0BF32755-8F6B-41BB-8DA4-0330FB674084}"/>
    <cellStyle name="Currency 5 3 2 2 4 3" xfId="5483" xr:uid="{00000000-0005-0000-0000-0000A50C0000}"/>
    <cellStyle name="Currency 5 3 2 2 4 3 2" xfId="13912" xr:uid="{D9429F17-3720-462D-B737-BF0FEC43E5F6}"/>
    <cellStyle name="Currency 5 3 2 2 4 4" xfId="9694" xr:uid="{97F68836-0934-4514-A84C-BF37BAD203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D9A0CA1E-954F-428C-9BAD-20E8ED33C0F8}"/>
    <cellStyle name="Currency 5 3 2 2 5 2 3" xfId="12252" xr:uid="{AD689F46-96C9-4EBD-B6C5-ECA036C0C098}"/>
    <cellStyle name="Currency 5 3 2 2 5 3" xfId="5896" xr:uid="{00000000-0005-0000-0000-0000A90C0000}"/>
    <cellStyle name="Currency 5 3 2 2 5 3 2" xfId="14325" xr:uid="{E01AA74D-8865-4832-878A-A3560300FE5A}"/>
    <cellStyle name="Currency 5 3 2 2 5 4" xfId="10107" xr:uid="{4A973AF2-1E05-46DA-88C3-D1DAA56CEB86}"/>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B78402A6-2ACC-4F8D-8355-251C3358FAB4}"/>
    <cellStyle name="Currency 5 3 2 2 6 2 3" xfId="12665" xr:uid="{38B92077-3CED-4B92-A719-C957195CA29C}"/>
    <cellStyle name="Currency 5 3 2 2 6 3" xfId="6309" xr:uid="{00000000-0005-0000-0000-0000AD0C0000}"/>
    <cellStyle name="Currency 5 3 2 2 6 3 2" xfId="14738" xr:uid="{7B135E7D-A9DE-4C3F-84A3-0E79B2DAEBE7}"/>
    <cellStyle name="Currency 5 3 2 2 6 4" xfId="10520" xr:uid="{DAEBE8F5-FBD0-4B44-87DB-E1106DCC56CB}"/>
    <cellStyle name="Currency 5 3 2 2 7" xfId="2436" xr:uid="{00000000-0005-0000-0000-0000AE0C0000}"/>
    <cellStyle name="Currency 5 3 2 2 7 2" xfId="6722" xr:uid="{00000000-0005-0000-0000-0000AF0C0000}"/>
    <cellStyle name="Currency 5 3 2 2 7 2 2" xfId="15151" xr:uid="{AF6128BA-1BAC-48C3-BCF4-B765D2389E69}"/>
    <cellStyle name="Currency 5 3 2 2 7 3" xfId="10933" xr:uid="{EDFFA9DE-953C-4263-90A3-054EB33A205F}"/>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2DBC1378-2151-49D2-9270-F98414FE6EF6}"/>
    <cellStyle name="Currency 5 3 2 2 9 3" xfId="11250" xr:uid="{9E6F578F-0D5A-4F29-95A5-EE00A7381FAB}"/>
    <cellStyle name="Currency 5 3 2 3" xfId="213" xr:uid="{00000000-0005-0000-0000-0000B30C0000}"/>
    <cellStyle name="Currency 5 3 2 3 10" xfId="8869" xr:uid="{68DCD982-74D0-4A23-9005-28C25A87842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831B9445-1E52-46D5-A014-2514725D96B0}"/>
    <cellStyle name="Currency 5 3 2 3 2 2 3" xfId="11428" xr:uid="{BFAC9511-19F0-4AED-8544-105B10E77460}"/>
    <cellStyle name="Currency 5 3 2 3 2 3" xfId="5072" xr:uid="{00000000-0005-0000-0000-0000B70C0000}"/>
    <cellStyle name="Currency 5 3 2 3 2 3 2" xfId="13501" xr:uid="{4D4380E1-DCE9-4BCD-89E9-ABA59C29417B}"/>
    <cellStyle name="Currency 5 3 2 3 2 4" xfId="9283" xr:uid="{5099CBCB-D4B5-4804-AA64-2BB284B3EFFF}"/>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DAD40944-7DFF-4477-B8F7-01ECE8D0D989}"/>
    <cellStyle name="Currency 5 3 2 3 3 2 3" xfId="11841" xr:uid="{5C3A5D0E-4FF9-4A20-A164-3AA2E0C3488E}"/>
    <cellStyle name="Currency 5 3 2 3 3 3" xfId="5485" xr:uid="{00000000-0005-0000-0000-0000BB0C0000}"/>
    <cellStyle name="Currency 5 3 2 3 3 3 2" xfId="13914" xr:uid="{2EF0A17D-5616-492B-B3AB-297EF010589F}"/>
    <cellStyle name="Currency 5 3 2 3 3 4" xfId="9696" xr:uid="{0CDA65B4-788B-48B5-BB3B-FFA8AB8E60A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7792EEF7-07C7-4F81-AF9A-A62D74836E6A}"/>
    <cellStyle name="Currency 5 3 2 3 4 2 3" xfId="12254" xr:uid="{4186B12E-3CDE-4437-BF59-16D7FE686993}"/>
    <cellStyle name="Currency 5 3 2 3 4 3" xfId="5898" xr:uid="{00000000-0005-0000-0000-0000BF0C0000}"/>
    <cellStyle name="Currency 5 3 2 3 4 3 2" xfId="14327" xr:uid="{D62453D3-9B70-42AD-B152-5E3C00B95B54}"/>
    <cellStyle name="Currency 5 3 2 3 4 4" xfId="10109" xr:uid="{91602715-C184-455D-9272-14E6C615E376}"/>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53E12227-65CF-4C88-8E26-653D31A10893}"/>
    <cellStyle name="Currency 5 3 2 3 5 2 3" xfId="12667" xr:uid="{646E21BF-ADE5-435C-802B-A033551439BB}"/>
    <cellStyle name="Currency 5 3 2 3 5 3" xfId="6311" xr:uid="{00000000-0005-0000-0000-0000C30C0000}"/>
    <cellStyle name="Currency 5 3 2 3 5 3 2" xfId="14740" xr:uid="{9F80FBA9-047F-4242-A434-7D2A0315B4B5}"/>
    <cellStyle name="Currency 5 3 2 3 5 4" xfId="10522" xr:uid="{923E7C26-3EBC-44E4-A06F-27D588102EE9}"/>
    <cellStyle name="Currency 5 3 2 3 6" xfId="2438" xr:uid="{00000000-0005-0000-0000-0000C40C0000}"/>
    <cellStyle name="Currency 5 3 2 3 6 2" xfId="6724" xr:uid="{00000000-0005-0000-0000-0000C50C0000}"/>
    <cellStyle name="Currency 5 3 2 3 6 2 2" xfId="15153" xr:uid="{6FD1029E-C91D-4A31-BE2D-55779D43306C}"/>
    <cellStyle name="Currency 5 3 2 3 6 3" xfId="10935" xr:uid="{99A76162-12BD-4CCB-83DE-3B622D732209}"/>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1A44A683-F5EC-4E3E-81EB-272C661D0009}"/>
    <cellStyle name="Currency 5 3 2 3 8 3" xfId="11252" xr:uid="{ADEE1883-5104-40C5-818A-F6CD614CCC6F}"/>
    <cellStyle name="Currency 5 3 2 3 9" xfId="4658" xr:uid="{00000000-0005-0000-0000-0000C90C0000}"/>
    <cellStyle name="Currency 5 3 2 3 9 2" xfId="13087" xr:uid="{3C284478-BD58-419B-9CD4-60E794C2ADFD}"/>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1C38EB34-B923-4702-A9B2-440F6E5BE17F}"/>
    <cellStyle name="Currency 5 3 2 4 2 3" xfId="11425" xr:uid="{F595DBC9-019A-435A-BF82-A8AF7522FEB7}"/>
    <cellStyle name="Currency 5 3 2 4 3" xfId="5069" xr:uid="{00000000-0005-0000-0000-0000CD0C0000}"/>
    <cellStyle name="Currency 5 3 2 4 3 2" xfId="13498" xr:uid="{ED66D8FA-294D-4DFB-8C79-3CA092DDFD3E}"/>
    <cellStyle name="Currency 5 3 2 4 4" xfId="9280" xr:uid="{76BF789A-BA8F-4694-9403-0A316A5CE978}"/>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2D7960A4-7CF1-4D75-B270-71E226C5C1EF}"/>
    <cellStyle name="Currency 5 3 2 5 2 3" xfId="11838" xr:uid="{A8A5211B-B2AF-41CD-8214-496316445C51}"/>
    <cellStyle name="Currency 5 3 2 5 3" xfId="5482" xr:uid="{00000000-0005-0000-0000-0000D10C0000}"/>
    <cellStyle name="Currency 5 3 2 5 3 2" xfId="13911" xr:uid="{70C8E721-6454-4820-8827-12BC72F87F11}"/>
    <cellStyle name="Currency 5 3 2 5 4" xfId="9693" xr:uid="{AB70C6C0-5030-4B0D-AB73-E34359A6E05E}"/>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F56C3E3F-147A-41CD-956B-BB7AC8D21A5F}"/>
    <cellStyle name="Currency 5 3 2 6 2 3" xfId="12251" xr:uid="{ABDA48C3-976E-4B65-A455-3073D38887C2}"/>
    <cellStyle name="Currency 5 3 2 6 3" xfId="5895" xr:uid="{00000000-0005-0000-0000-0000D50C0000}"/>
    <cellStyle name="Currency 5 3 2 6 3 2" xfId="14324" xr:uid="{ED035FB9-4A3E-4CFF-BCDF-4E4CD99FAB10}"/>
    <cellStyle name="Currency 5 3 2 6 4" xfId="10106" xr:uid="{E1744335-D452-41AC-986D-C18EFA43770B}"/>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EB598BD9-A265-4692-9150-743979FA964F}"/>
    <cellStyle name="Currency 5 3 2 7 2 3" xfId="12664" xr:uid="{59590B68-E997-4A5E-9FFB-7868047B53C6}"/>
    <cellStyle name="Currency 5 3 2 7 3" xfId="6308" xr:uid="{00000000-0005-0000-0000-0000D90C0000}"/>
    <cellStyle name="Currency 5 3 2 7 3 2" xfId="14737" xr:uid="{A34B1DDE-FBBB-4109-A6DC-B6ABC851797C}"/>
    <cellStyle name="Currency 5 3 2 7 4" xfId="10519" xr:uid="{539E0885-176C-432C-86B5-A97527141C75}"/>
    <cellStyle name="Currency 5 3 2 8" xfId="2435" xr:uid="{00000000-0005-0000-0000-0000DA0C0000}"/>
    <cellStyle name="Currency 5 3 2 8 2" xfId="6721" xr:uid="{00000000-0005-0000-0000-0000DB0C0000}"/>
    <cellStyle name="Currency 5 3 2 8 2 2" xfId="15150" xr:uid="{88FF79EF-4967-49E2-B5D7-5C9B8A314B2E}"/>
    <cellStyle name="Currency 5 3 2 8 3" xfId="10932" xr:uid="{BF7965DD-A6D6-4FE5-B6AB-6C9BEEFCA4DC}"/>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043F096A-45E9-4621-9272-DD8D622BB209}"/>
    <cellStyle name="Currency 5 3 3 11" xfId="8870" xr:uid="{7B229F47-66C9-4BA5-9F7E-643DC4FFB2C1}"/>
    <cellStyle name="Currency 5 3 3 2" xfId="215" xr:uid="{00000000-0005-0000-0000-0000DF0C0000}"/>
    <cellStyle name="Currency 5 3 3 2 10" xfId="8871" xr:uid="{F25A55DD-6CC5-4583-89DB-656A133B60FA}"/>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83798AF6-099F-462F-9860-9044C4FCB4DD}"/>
    <cellStyle name="Currency 5 3 3 2 2 2 3" xfId="11430" xr:uid="{06E0E928-EA7E-41CB-90EA-A1D8589954C0}"/>
    <cellStyle name="Currency 5 3 3 2 2 3" xfId="5074" xr:uid="{00000000-0005-0000-0000-0000E30C0000}"/>
    <cellStyle name="Currency 5 3 3 2 2 3 2" xfId="13503" xr:uid="{A07D5385-5A77-43EC-B6C5-CA848AD59752}"/>
    <cellStyle name="Currency 5 3 3 2 2 4" xfId="9285" xr:uid="{578B8B44-A60F-48A1-A20A-6336EAC31F8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AA39FEC2-A3C6-4DF5-AFF1-F8FA1A2FAA1E}"/>
    <cellStyle name="Currency 5 3 3 2 3 2 3" xfId="11843" xr:uid="{D8D3A43D-FBD5-4845-8C7D-A2119B3785F8}"/>
    <cellStyle name="Currency 5 3 3 2 3 3" xfId="5487" xr:uid="{00000000-0005-0000-0000-0000E70C0000}"/>
    <cellStyle name="Currency 5 3 3 2 3 3 2" xfId="13916" xr:uid="{25C73DBE-DD11-4C17-9E48-3D11C2B22A3A}"/>
    <cellStyle name="Currency 5 3 3 2 3 4" xfId="9698" xr:uid="{45F0894F-EFA3-45ED-BC0D-B7BE214A7EC5}"/>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EB5088EE-A7E9-46DB-9A6B-E180B9E60CD1}"/>
    <cellStyle name="Currency 5 3 3 2 4 2 3" xfId="12256" xr:uid="{75C015E5-A291-4763-A93E-BC1169B05670}"/>
    <cellStyle name="Currency 5 3 3 2 4 3" xfId="5900" xr:uid="{00000000-0005-0000-0000-0000EB0C0000}"/>
    <cellStyle name="Currency 5 3 3 2 4 3 2" xfId="14329" xr:uid="{CDC58AE8-A129-4786-A321-A9EB819D2E46}"/>
    <cellStyle name="Currency 5 3 3 2 4 4" xfId="10111" xr:uid="{1EFC1CAC-A9E3-427E-AD54-60EC7F81813E}"/>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E8DF0CEF-4153-4B64-9077-D49C44021D49}"/>
    <cellStyle name="Currency 5 3 3 2 5 2 3" xfId="12669" xr:uid="{C88101FF-B8B3-4FA2-B136-26D31EB429D1}"/>
    <cellStyle name="Currency 5 3 3 2 5 3" xfId="6313" xr:uid="{00000000-0005-0000-0000-0000EF0C0000}"/>
    <cellStyle name="Currency 5 3 3 2 5 3 2" xfId="14742" xr:uid="{321491B4-03F7-4FFB-A71E-9D977DA661A2}"/>
    <cellStyle name="Currency 5 3 3 2 5 4" xfId="10524" xr:uid="{83B174F5-A7B2-4A33-9547-AD67155EE2FA}"/>
    <cellStyle name="Currency 5 3 3 2 6" xfId="2440" xr:uid="{00000000-0005-0000-0000-0000F00C0000}"/>
    <cellStyle name="Currency 5 3 3 2 6 2" xfId="6726" xr:uid="{00000000-0005-0000-0000-0000F10C0000}"/>
    <cellStyle name="Currency 5 3 3 2 6 2 2" xfId="15155" xr:uid="{DE836CF0-DEC7-43A2-9DCD-AC2192B51BC1}"/>
    <cellStyle name="Currency 5 3 3 2 6 3" xfId="10937" xr:uid="{66B6D41A-A37C-4FA8-AAB6-5D162486C42E}"/>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30DE433C-2D67-4FFD-8106-6B17DF7B484C}"/>
    <cellStyle name="Currency 5 3 3 2 8 3" xfId="11254" xr:uid="{BD68CD3C-E9C1-4443-8228-64CCF4944BB6}"/>
    <cellStyle name="Currency 5 3 3 2 9" xfId="4660" xr:uid="{00000000-0005-0000-0000-0000F50C0000}"/>
    <cellStyle name="Currency 5 3 3 2 9 2" xfId="13089" xr:uid="{A311119D-3C72-454F-825C-F04582934C4C}"/>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F9DE67F8-96E3-4E7F-9D87-CC84183F1E55}"/>
    <cellStyle name="Currency 5 3 3 3 2 3" xfId="11429" xr:uid="{CFD0733A-4C14-4231-A475-E328A3E72D2D}"/>
    <cellStyle name="Currency 5 3 3 3 3" xfId="5073" xr:uid="{00000000-0005-0000-0000-0000F90C0000}"/>
    <cellStyle name="Currency 5 3 3 3 3 2" xfId="13502" xr:uid="{523C22F6-FE01-440D-91A5-788B6B6D205B}"/>
    <cellStyle name="Currency 5 3 3 3 4" xfId="9284" xr:uid="{7D5C81B7-D8D9-4AE7-8794-030C1A786703}"/>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EEC48A4A-1B2F-4F5A-ADEE-05E82062360D}"/>
    <cellStyle name="Currency 5 3 3 4 2 3" xfId="11842" xr:uid="{7934EBD1-36B3-40C4-8B92-6393AECE37B0}"/>
    <cellStyle name="Currency 5 3 3 4 3" xfId="5486" xr:uid="{00000000-0005-0000-0000-0000FD0C0000}"/>
    <cellStyle name="Currency 5 3 3 4 3 2" xfId="13915" xr:uid="{B21D0F71-13B0-491A-900F-5D27079E3259}"/>
    <cellStyle name="Currency 5 3 3 4 4" xfId="9697" xr:uid="{43C923C5-F12F-4092-8265-3BE7715ECC7C}"/>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CA7D2CEA-0FD3-4499-A562-227DF76EFAE9}"/>
    <cellStyle name="Currency 5 3 3 5 2 3" xfId="12255" xr:uid="{F78CFDCF-E570-4BD6-A032-6CBC5FCE65A2}"/>
    <cellStyle name="Currency 5 3 3 5 3" xfId="5899" xr:uid="{00000000-0005-0000-0000-0000010D0000}"/>
    <cellStyle name="Currency 5 3 3 5 3 2" xfId="14328" xr:uid="{6357ED46-F994-44D8-A48A-6AD8880AD485}"/>
    <cellStyle name="Currency 5 3 3 5 4" xfId="10110" xr:uid="{EA96D543-C616-4C71-B0C0-CFDEB5175D5E}"/>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7726CC86-A3FA-426B-A1BA-3B69A49D49DD}"/>
    <cellStyle name="Currency 5 3 3 6 2 3" xfId="12668" xr:uid="{1F41CFA1-A921-4941-8683-B07DFDA3AC3C}"/>
    <cellStyle name="Currency 5 3 3 6 3" xfId="6312" xr:uid="{00000000-0005-0000-0000-0000050D0000}"/>
    <cellStyle name="Currency 5 3 3 6 3 2" xfId="14741" xr:uid="{34BA9033-AE66-49CE-BF59-99BB5AAA88D4}"/>
    <cellStyle name="Currency 5 3 3 6 4" xfId="10523" xr:uid="{83FC4C78-8401-4EB1-AE3D-ADCE0863CAF0}"/>
    <cellStyle name="Currency 5 3 3 7" xfId="2439" xr:uid="{00000000-0005-0000-0000-0000060D0000}"/>
    <cellStyle name="Currency 5 3 3 7 2" xfId="6725" xr:uid="{00000000-0005-0000-0000-0000070D0000}"/>
    <cellStyle name="Currency 5 3 3 7 2 2" xfId="15154" xr:uid="{8853C998-099B-465E-B932-21C187D3159F}"/>
    <cellStyle name="Currency 5 3 3 7 3" xfId="10936" xr:uid="{19069CF8-38C7-40CF-9F9A-F1980A0C1FE4}"/>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993B5948-FA66-4D5F-83C4-FB899B93277D}"/>
    <cellStyle name="Currency 5 3 3 9 3" xfId="11253" xr:uid="{6DAE8CD6-D66B-4055-8EEF-611EF594814E}"/>
    <cellStyle name="Currency 5 3 4" xfId="216" xr:uid="{00000000-0005-0000-0000-00000B0D0000}"/>
    <cellStyle name="Currency 5 3 4 10" xfId="8872" xr:uid="{655BD7C3-23C7-46B6-B372-02AAAD5A3306}"/>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A46EFE4A-257B-4F29-9E02-220B9561DB90}"/>
    <cellStyle name="Currency 5 3 4 2 2 3" xfId="11431" xr:uid="{DFBAB8FA-A492-455C-A9DF-73EF1822552D}"/>
    <cellStyle name="Currency 5 3 4 2 3" xfId="5075" xr:uid="{00000000-0005-0000-0000-00000F0D0000}"/>
    <cellStyle name="Currency 5 3 4 2 3 2" xfId="13504" xr:uid="{E0235D0C-6C70-4CA6-8A7A-715A9E8437D2}"/>
    <cellStyle name="Currency 5 3 4 2 4" xfId="9286" xr:uid="{910CCBC7-00BB-4081-BF5D-5616443D4EDD}"/>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331C3336-FE2F-4525-888E-79E903B47A5B}"/>
    <cellStyle name="Currency 5 3 4 3 2 3" xfId="11844" xr:uid="{A6420BBC-7802-4193-8128-4243608C2FCE}"/>
    <cellStyle name="Currency 5 3 4 3 3" xfId="5488" xr:uid="{00000000-0005-0000-0000-0000130D0000}"/>
    <cellStyle name="Currency 5 3 4 3 3 2" xfId="13917" xr:uid="{BD52DA00-8BA0-4DFB-85A5-572D2637B66F}"/>
    <cellStyle name="Currency 5 3 4 3 4" xfId="9699" xr:uid="{06253EF9-E44C-4877-9F30-CC0D1A8BF81A}"/>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CE9919F6-E3AC-4B6A-A189-8C03F78C2BBF}"/>
    <cellStyle name="Currency 5 3 4 4 2 3" xfId="12257" xr:uid="{96EB8FAD-0910-47E4-8437-11D3D0934087}"/>
    <cellStyle name="Currency 5 3 4 4 3" xfId="5901" xr:uid="{00000000-0005-0000-0000-0000170D0000}"/>
    <cellStyle name="Currency 5 3 4 4 3 2" xfId="14330" xr:uid="{31E0190B-6A87-451E-921C-B47BDAAB6DCD}"/>
    <cellStyle name="Currency 5 3 4 4 4" xfId="10112" xr:uid="{8995F6BC-8C00-4B38-A490-FBFA5B7A6CAD}"/>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E3ADA8F5-E185-4E84-8E73-B4487BF074DA}"/>
    <cellStyle name="Currency 5 3 4 5 2 3" xfId="12670" xr:uid="{533DDAE7-A5FC-4475-9C80-A78B5E9BE64A}"/>
    <cellStyle name="Currency 5 3 4 5 3" xfId="6314" xr:uid="{00000000-0005-0000-0000-00001B0D0000}"/>
    <cellStyle name="Currency 5 3 4 5 3 2" xfId="14743" xr:uid="{264B5F4A-823F-4CB3-B059-5A764003B9B5}"/>
    <cellStyle name="Currency 5 3 4 5 4" xfId="10525" xr:uid="{4521E7CD-6C98-4688-B65E-F298FCE05085}"/>
    <cellStyle name="Currency 5 3 4 6" xfId="2441" xr:uid="{00000000-0005-0000-0000-00001C0D0000}"/>
    <cellStyle name="Currency 5 3 4 6 2" xfId="6727" xr:uid="{00000000-0005-0000-0000-00001D0D0000}"/>
    <cellStyle name="Currency 5 3 4 6 2 2" xfId="15156" xr:uid="{AAD751B4-5057-40E8-AA2A-0ED86F289EBE}"/>
    <cellStyle name="Currency 5 3 4 6 3" xfId="10938" xr:uid="{3FCD0405-BA53-4C34-971C-44E6A48E28E2}"/>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CF41989E-7612-4BFD-B5B4-24629ACF8893}"/>
    <cellStyle name="Currency 5 3 4 8 3" xfId="11255" xr:uid="{F257918A-D020-4FDD-A1EF-5DEEDBD2B7E0}"/>
    <cellStyle name="Currency 5 3 4 9" xfId="4661" xr:uid="{00000000-0005-0000-0000-0000210D0000}"/>
    <cellStyle name="Currency 5 3 4 9 2" xfId="13090" xr:uid="{97AE4E1B-DD47-4B3A-ADB0-F071B3310E64}"/>
    <cellStyle name="Currency 5 3 5" xfId="217" xr:uid="{00000000-0005-0000-0000-0000220D0000}"/>
    <cellStyle name="Currency 5 3 5 10" xfId="8873" xr:uid="{3CF37F68-CDFF-4FE7-B4F9-5717E56D1715}"/>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88EE358E-3B00-4567-9564-8970AFD8CBDD}"/>
    <cellStyle name="Currency 5 3 5 2 2 3" xfId="11432" xr:uid="{24B1ABD1-DAB9-4F12-A6B5-C3A205565B4F}"/>
    <cellStyle name="Currency 5 3 5 2 3" xfId="5076" xr:uid="{00000000-0005-0000-0000-0000260D0000}"/>
    <cellStyle name="Currency 5 3 5 2 3 2" xfId="13505" xr:uid="{5F089B08-56FB-460D-9E32-662E4468C077}"/>
    <cellStyle name="Currency 5 3 5 2 4" xfId="9287" xr:uid="{FB68C658-05A0-4003-B6F8-6227C663D33B}"/>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C796B7C4-E427-4B5E-B576-45BE7DD7C2E6}"/>
    <cellStyle name="Currency 5 3 5 3 2 3" xfId="11845" xr:uid="{A0BD9A63-5C52-40AF-A417-ABD82E4E96C9}"/>
    <cellStyle name="Currency 5 3 5 3 3" xfId="5489" xr:uid="{00000000-0005-0000-0000-00002A0D0000}"/>
    <cellStyle name="Currency 5 3 5 3 3 2" xfId="13918" xr:uid="{245FC9BA-D656-4E66-ADF7-A19A1E5FF53B}"/>
    <cellStyle name="Currency 5 3 5 3 4" xfId="9700" xr:uid="{16A504BD-7A0C-476B-B58E-2EE893689F20}"/>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FA5EA79D-C8C7-40F3-A417-F8C698725A88}"/>
    <cellStyle name="Currency 5 3 5 4 2 3" xfId="12258" xr:uid="{E6880F75-52EB-4DD8-B82F-0CCF181012C9}"/>
    <cellStyle name="Currency 5 3 5 4 3" xfId="5902" xr:uid="{00000000-0005-0000-0000-00002E0D0000}"/>
    <cellStyle name="Currency 5 3 5 4 3 2" xfId="14331" xr:uid="{A26FDE41-7FA4-4C19-B226-B6AD4E536283}"/>
    <cellStyle name="Currency 5 3 5 4 4" xfId="10113" xr:uid="{04666F20-0B1C-4CD6-92B8-2AE6ADCC349E}"/>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C1EDD1EB-7DD9-4828-806A-8143CE6ECDF8}"/>
    <cellStyle name="Currency 5 3 5 5 2 3" xfId="12671" xr:uid="{7E6E2EF1-BC91-4583-939B-DB920EA1E540}"/>
    <cellStyle name="Currency 5 3 5 5 3" xfId="6315" xr:uid="{00000000-0005-0000-0000-0000320D0000}"/>
    <cellStyle name="Currency 5 3 5 5 3 2" xfId="14744" xr:uid="{4FD4E343-C965-4A4D-8F44-2591BC77FC2A}"/>
    <cellStyle name="Currency 5 3 5 5 4" xfId="10526" xr:uid="{C0DFE85F-7079-4DF9-936D-7022A09E6851}"/>
    <cellStyle name="Currency 5 3 5 6" xfId="2442" xr:uid="{00000000-0005-0000-0000-0000330D0000}"/>
    <cellStyle name="Currency 5 3 5 6 2" xfId="6728" xr:uid="{00000000-0005-0000-0000-0000340D0000}"/>
    <cellStyle name="Currency 5 3 5 6 2 2" xfId="15157" xr:uid="{7AE89EC4-B547-45F4-8DE1-F3162D7916FB}"/>
    <cellStyle name="Currency 5 3 5 6 3" xfId="10939" xr:uid="{909F8396-73B6-4ECC-81B4-CD0631C9F5A4}"/>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CEBD99D0-0929-48BA-87D5-E55CAB5880D9}"/>
    <cellStyle name="Currency 5 3 5 8 3" xfId="11256" xr:uid="{6688B76E-687F-4F98-9DEA-15E957D88025}"/>
    <cellStyle name="Currency 5 3 5 9" xfId="4662" xr:uid="{00000000-0005-0000-0000-0000380D0000}"/>
    <cellStyle name="Currency 5 3 5 9 2" xfId="13091" xr:uid="{150861A0-1C1B-4F20-B3A4-5371BB55FF6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0111D193-6030-4280-AEA0-103DFB3F2CC2}"/>
    <cellStyle name="Currency 5 5 11" xfId="8874" xr:uid="{7734136C-CD35-4E5B-8E66-D89504ABCFA5}"/>
    <cellStyle name="Currency 5 5 2" xfId="220" xr:uid="{00000000-0005-0000-0000-00003D0D0000}"/>
    <cellStyle name="Currency 5 5 2 10" xfId="8875" xr:uid="{9085D4C0-8795-48A7-95A1-3292CB333655}"/>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A0994131-9B04-4CF9-9891-8694C1C005CB}"/>
    <cellStyle name="Currency 5 5 2 2 2 3" xfId="11434" xr:uid="{73F2971C-48BC-4F90-BA4B-B2DC2F53ED0F}"/>
    <cellStyle name="Currency 5 5 2 2 3" xfId="5078" xr:uid="{00000000-0005-0000-0000-0000410D0000}"/>
    <cellStyle name="Currency 5 5 2 2 3 2" xfId="13507" xr:uid="{4822CE2A-0CF1-455E-A5F9-37D7C9B5A194}"/>
    <cellStyle name="Currency 5 5 2 2 4" xfId="9289" xr:uid="{B63E6A99-90C9-4BAC-A845-DEC485B1968B}"/>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79D16085-BFCE-4CC7-9745-5DD7AA6A100B}"/>
    <cellStyle name="Currency 5 5 2 3 2 3" xfId="11847" xr:uid="{CE33E196-2F61-4249-B62A-2DA3788E513D}"/>
    <cellStyle name="Currency 5 5 2 3 3" xfId="5491" xr:uid="{00000000-0005-0000-0000-0000450D0000}"/>
    <cellStyle name="Currency 5 5 2 3 3 2" xfId="13920" xr:uid="{BB45988B-B876-4A49-A78D-187355F831C2}"/>
    <cellStyle name="Currency 5 5 2 3 4" xfId="9702" xr:uid="{654E7E08-CD23-4742-AECF-62E818DD1276}"/>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73AE317D-1C95-492B-B779-9036686B520E}"/>
    <cellStyle name="Currency 5 5 2 4 2 3" xfId="12260" xr:uid="{46594C8E-D6F0-4596-8881-E3E997AA71AB}"/>
    <cellStyle name="Currency 5 5 2 4 3" xfId="5904" xr:uid="{00000000-0005-0000-0000-0000490D0000}"/>
    <cellStyle name="Currency 5 5 2 4 3 2" xfId="14333" xr:uid="{80D2991D-1C0B-4019-BA6C-CA95A3242FE0}"/>
    <cellStyle name="Currency 5 5 2 4 4" xfId="10115" xr:uid="{A3387D00-AB57-48C6-B60B-9FB27B29ADCA}"/>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3418C418-5901-4C74-9A94-368B7B5EEA08}"/>
    <cellStyle name="Currency 5 5 2 5 2 3" xfId="12673" xr:uid="{F9B60258-E25A-4B88-ADAA-A1F91B5B7160}"/>
    <cellStyle name="Currency 5 5 2 5 3" xfId="6317" xr:uid="{00000000-0005-0000-0000-00004D0D0000}"/>
    <cellStyle name="Currency 5 5 2 5 3 2" xfId="14746" xr:uid="{047F4207-0F9C-4E42-B084-F2FC20F94BDA}"/>
    <cellStyle name="Currency 5 5 2 5 4" xfId="10528" xr:uid="{5DED8764-FF67-4C73-9E6E-1F77C99A3090}"/>
    <cellStyle name="Currency 5 5 2 6" xfId="2444" xr:uid="{00000000-0005-0000-0000-00004E0D0000}"/>
    <cellStyle name="Currency 5 5 2 6 2" xfId="6730" xr:uid="{00000000-0005-0000-0000-00004F0D0000}"/>
    <cellStyle name="Currency 5 5 2 6 2 2" xfId="15159" xr:uid="{BD1A4A77-93C1-4ED5-9914-687CFD37DCC5}"/>
    <cellStyle name="Currency 5 5 2 6 3" xfId="10941" xr:uid="{2FC7CD1F-4DBC-4331-AA11-6B253F894549}"/>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B25679E5-DE1B-4187-9DB9-E4C154F8A9AD}"/>
    <cellStyle name="Currency 5 5 2 8 3" xfId="11258" xr:uid="{B5C3C081-0EF0-440F-AFDD-BBCB87413C3E}"/>
    <cellStyle name="Currency 5 5 2 9" xfId="4664" xr:uid="{00000000-0005-0000-0000-0000530D0000}"/>
    <cellStyle name="Currency 5 5 2 9 2" xfId="13093" xr:uid="{3BF703AD-A4EF-46E0-A9E2-E12774058849}"/>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91474194-BF9A-479D-8C3A-B3941B4993E4}"/>
    <cellStyle name="Currency 5 5 3 2 3" xfId="11433" xr:uid="{66F42815-F671-41AA-9D39-9785B03B2E1F}"/>
    <cellStyle name="Currency 5 5 3 3" xfId="5077" xr:uid="{00000000-0005-0000-0000-0000570D0000}"/>
    <cellStyle name="Currency 5 5 3 3 2" xfId="13506" xr:uid="{1A3BF943-58CF-4F71-A78F-4C91B2383C8A}"/>
    <cellStyle name="Currency 5 5 3 4" xfId="9288" xr:uid="{B32EF02F-57EF-4895-B78D-C23B64B16785}"/>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B6B0B09F-9B2E-4CAB-B684-2E7811507F6F}"/>
    <cellStyle name="Currency 5 5 4 2 3" xfId="11846" xr:uid="{61C83A53-9B42-4319-914A-894B93966967}"/>
    <cellStyle name="Currency 5 5 4 3" xfId="5490" xr:uid="{00000000-0005-0000-0000-00005B0D0000}"/>
    <cellStyle name="Currency 5 5 4 3 2" xfId="13919" xr:uid="{D8352346-7ABF-4EF2-83B9-3F42AF95E258}"/>
    <cellStyle name="Currency 5 5 4 4" xfId="9701" xr:uid="{39F35869-1828-4D2B-A105-E66FEB588FEF}"/>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4599F006-3C65-4CC6-B07D-5BDEC2E86B8E}"/>
    <cellStyle name="Currency 5 5 5 2 3" xfId="12259" xr:uid="{48D39D43-B68E-4848-BFD8-35C5802A3118}"/>
    <cellStyle name="Currency 5 5 5 3" xfId="5903" xr:uid="{00000000-0005-0000-0000-00005F0D0000}"/>
    <cellStyle name="Currency 5 5 5 3 2" xfId="14332" xr:uid="{EEE7E4BF-F1F0-4CD3-AF12-6C1139696A3D}"/>
    <cellStyle name="Currency 5 5 5 4" xfId="10114" xr:uid="{F1C77129-6D6D-4937-A9F2-483498223B7E}"/>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93BB1303-606C-4022-A528-221E360CD0F7}"/>
    <cellStyle name="Currency 5 5 6 2 3" xfId="12672" xr:uid="{E2F4039E-C320-4F11-860C-953AB69A3975}"/>
    <cellStyle name="Currency 5 5 6 3" xfId="6316" xr:uid="{00000000-0005-0000-0000-0000630D0000}"/>
    <cellStyle name="Currency 5 5 6 3 2" xfId="14745" xr:uid="{4AE6E775-B993-4916-BE87-02E64E2085A5}"/>
    <cellStyle name="Currency 5 5 6 4" xfId="10527" xr:uid="{E5F4ACD7-1B3B-4DD7-8878-D6CA6FD36EC3}"/>
    <cellStyle name="Currency 5 5 7" xfId="2443" xr:uid="{00000000-0005-0000-0000-0000640D0000}"/>
    <cellStyle name="Currency 5 5 7 2" xfId="6729" xr:uid="{00000000-0005-0000-0000-0000650D0000}"/>
    <cellStyle name="Currency 5 5 7 2 2" xfId="15158" xr:uid="{65AC36AB-4182-4479-BFE1-7D79D23AE6DC}"/>
    <cellStyle name="Currency 5 5 7 3" xfId="10940" xr:uid="{AEF3601A-9BA7-4AD2-A0B3-BCF9EF2642A3}"/>
    <cellStyle name="Currency 5 5 8" xfId="2740" xr:uid="{00000000-0005-0000-0000-0000660D0000}"/>
    <cellStyle name="Currency 5 5 9" xfId="2821" xr:uid="{00000000-0005-0000-0000-0000670D0000}"/>
    <cellStyle name="Currency 5 5 9 2" xfId="7046" xr:uid="{00000000-0005-0000-0000-0000680D0000}"/>
    <cellStyle name="Currency 5 5 9 2 2" xfId="15475" xr:uid="{C5B6A8EE-6DB9-4373-B615-46492CF9FB18}"/>
    <cellStyle name="Currency 5 5 9 3" xfId="11257" xr:uid="{3579EBA2-AB37-44F0-B332-04C384BFD62C}"/>
    <cellStyle name="Currency 5 6" xfId="221" xr:uid="{00000000-0005-0000-0000-0000690D0000}"/>
    <cellStyle name="Currency 5 6 10" xfId="8876" xr:uid="{BA502EEB-D0AE-42BE-9E59-CDD9166CBF5B}"/>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62A03EED-BE30-43F2-B6EA-E23F9E976245}"/>
    <cellStyle name="Currency 5 6 2 2 3" xfId="11435" xr:uid="{0F0DF9C8-0162-4256-AA9C-0024D988BACB}"/>
    <cellStyle name="Currency 5 6 2 3" xfId="5079" xr:uid="{00000000-0005-0000-0000-00006D0D0000}"/>
    <cellStyle name="Currency 5 6 2 3 2" xfId="13508" xr:uid="{0D18402C-551F-4178-8DF6-79AD34B3A37F}"/>
    <cellStyle name="Currency 5 6 2 4" xfId="9290" xr:uid="{D03EA5F3-2D45-4037-A1FB-E04B3863ADC9}"/>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3B53EC55-FE57-4F76-9F0B-A4D62CC359DC}"/>
    <cellStyle name="Currency 5 6 3 2 3" xfId="11848" xr:uid="{2C61E044-C1A8-4E2F-80B3-8673E6A8C075}"/>
    <cellStyle name="Currency 5 6 3 3" xfId="5492" xr:uid="{00000000-0005-0000-0000-0000710D0000}"/>
    <cellStyle name="Currency 5 6 3 3 2" xfId="13921" xr:uid="{300AA0B6-D3EB-42BD-9EFB-74F030BA708C}"/>
    <cellStyle name="Currency 5 6 3 4" xfId="9703" xr:uid="{589E52BF-331E-4531-A6DC-899F1FE31008}"/>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0D3CAAB7-15F0-46EB-9767-C3213A8B95E8}"/>
    <cellStyle name="Currency 5 6 4 2 3" xfId="12261" xr:uid="{CCE499F1-3846-4FAD-B765-8E687978F1E7}"/>
    <cellStyle name="Currency 5 6 4 3" xfId="5905" xr:uid="{00000000-0005-0000-0000-0000750D0000}"/>
    <cellStyle name="Currency 5 6 4 3 2" xfId="14334" xr:uid="{3165B76D-7EE0-4F70-B5F1-CA96B26FAD17}"/>
    <cellStyle name="Currency 5 6 4 4" xfId="10116" xr:uid="{60B84312-7BF3-4DE7-82E9-2B1044CA78A3}"/>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B5BAB1A1-0ED0-47BF-BEC2-A361B7DF938B}"/>
    <cellStyle name="Currency 5 6 5 2 3" xfId="12674" xr:uid="{DDF40799-1705-4AA8-946A-11A5B5503614}"/>
    <cellStyle name="Currency 5 6 5 3" xfId="6318" xr:uid="{00000000-0005-0000-0000-0000790D0000}"/>
    <cellStyle name="Currency 5 6 5 3 2" xfId="14747" xr:uid="{4CCB1A97-F7F8-4D60-93C3-DDE0A29924C1}"/>
    <cellStyle name="Currency 5 6 5 4" xfId="10529" xr:uid="{533E5B27-EF95-4769-922A-6DC688EDB8FE}"/>
    <cellStyle name="Currency 5 6 6" xfId="2445" xr:uid="{00000000-0005-0000-0000-00007A0D0000}"/>
    <cellStyle name="Currency 5 6 6 2" xfId="6731" xr:uid="{00000000-0005-0000-0000-00007B0D0000}"/>
    <cellStyle name="Currency 5 6 6 2 2" xfId="15160" xr:uid="{AB6B6AA4-1D4D-4AE7-9F95-8ACE8CC9F17E}"/>
    <cellStyle name="Currency 5 6 6 3" xfId="10942" xr:uid="{2EC31B3C-5AB1-4350-B2B6-69E806047B53}"/>
    <cellStyle name="Currency 5 6 7" xfId="2742" xr:uid="{00000000-0005-0000-0000-00007C0D0000}"/>
    <cellStyle name="Currency 5 6 8" xfId="2823" xr:uid="{00000000-0005-0000-0000-00007D0D0000}"/>
    <cellStyle name="Currency 5 6 8 2" xfId="7048" xr:uid="{00000000-0005-0000-0000-00007E0D0000}"/>
    <cellStyle name="Currency 5 6 8 2 2" xfId="15477" xr:uid="{7BFE14C3-DBFC-4161-ACE3-4100890D3525}"/>
    <cellStyle name="Currency 5 6 8 3" xfId="11259" xr:uid="{CADBC06E-9B09-4D63-B4B4-46E36F044D57}"/>
    <cellStyle name="Currency 5 6 9" xfId="4665" xr:uid="{00000000-0005-0000-0000-00007F0D0000}"/>
    <cellStyle name="Currency 5 6 9 2" xfId="13094" xr:uid="{060B1B38-35C9-4DB6-9021-82D1BB300D0C}"/>
    <cellStyle name="Currency 5 7" xfId="222" xr:uid="{00000000-0005-0000-0000-0000800D0000}"/>
    <cellStyle name="Currency 5 7 10" xfId="8877" xr:uid="{EC7D25C8-E781-4C43-9D8D-9075DD6E3EB0}"/>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046FF711-72D4-40C8-B7D2-193575DE97D6}"/>
    <cellStyle name="Currency 5 7 2 2 3" xfId="11436" xr:uid="{3EC1777F-9EE1-45E7-BF0D-4706C8038578}"/>
    <cellStyle name="Currency 5 7 2 3" xfId="5080" xr:uid="{00000000-0005-0000-0000-0000840D0000}"/>
    <cellStyle name="Currency 5 7 2 3 2" xfId="13509" xr:uid="{F029DD70-A794-4DCB-8FE6-10E07034A5E7}"/>
    <cellStyle name="Currency 5 7 2 4" xfId="9291" xr:uid="{13D5F46D-F5B9-4162-AE1A-AF7228809E06}"/>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8264E291-7597-43A2-BF26-F07E665D79F1}"/>
    <cellStyle name="Currency 5 7 3 2 3" xfId="11849" xr:uid="{01237F9E-5AA8-49D0-9F6A-AA2A4F4309AC}"/>
    <cellStyle name="Currency 5 7 3 3" xfId="5493" xr:uid="{00000000-0005-0000-0000-0000880D0000}"/>
    <cellStyle name="Currency 5 7 3 3 2" xfId="13922" xr:uid="{2A41EE15-8146-4915-95D6-F05B125D1392}"/>
    <cellStyle name="Currency 5 7 3 4" xfId="9704" xr:uid="{6533F5D8-A1A1-4CEF-900D-C72C6C5A740B}"/>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20A5FE79-6A55-42AC-899D-66FC452F9A2D}"/>
    <cellStyle name="Currency 5 7 4 2 3" xfId="12262" xr:uid="{1CA44F54-9F45-464D-98AB-33AD6DF1A07C}"/>
    <cellStyle name="Currency 5 7 4 3" xfId="5906" xr:uid="{00000000-0005-0000-0000-00008C0D0000}"/>
    <cellStyle name="Currency 5 7 4 3 2" xfId="14335" xr:uid="{9654FE6E-9F65-48A9-A436-DDBAD288EB24}"/>
    <cellStyle name="Currency 5 7 4 4" xfId="10117" xr:uid="{B26BE50E-8284-434A-BE23-13D8F4666C8E}"/>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4DD5BAA4-E4CE-4952-BFE0-FF39781B5E9F}"/>
    <cellStyle name="Currency 5 7 5 2 3" xfId="12675" xr:uid="{2218C81A-AFCE-4014-8E06-941A7627F355}"/>
    <cellStyle name="Currency 5 7 5 3" xfId="6319" xr:uid="{00000000-0005-0000-0000-0000900D0000}"/>
    <cellStyle name="Currency 5 7 5 3 2" xfId="14748" xr:uid="{901A02BE-0D0B-4655-9929-0EC0D57CB60D}"/>
    <cellStyle name="Currency 5 7 5 4" xfId="10530" xr:uid="{06256754-71BB-49A8-B066-FAB6622AB7B1}"/>
    <cellStyle name="Currency 5 7 6" xfId="2446" xr:uid="{00000000-0005-0000-0000-0000910D0000}"/>
    <cellStyle name="Currency 5 7 6 2" xfId="6732" xr:uid="{00000000-0005-0000-0000-0000920D0000}"/>
    <cellStyle name="Currency 5 7 6 2 2" xfId="15161" xr:uid="{6E3E3BD7-E1D7-426F-B181-D00A110091DA}"/>
    <cellStyle name="Currency 5 7 6 3" xfId="10943" xr:uid="{255F6F09-9AFE-43E5-B951-3E757C14F864}"/>
    <cellStyle name="Currency 5 7 7" xfId="2743" xr:uid="{00000000-0005-0000-0000-0000930D0000}"/>
    <cellStyle name="Currency 5 7 8" xfId="2824" xr:uid="{00000000-0005-0000-0000-0000940D0000}"/>
    <cellStyle name="Currency 5 7 8 2" xfId="7049" xr:uid="{00000000-0005-0000-0000-0000950D0000}"/>
    <cellStyle name="Currency 5 7 8 2 2" xfId="15478" xr:uid="{60294961-2B8A-4A31-9734-748D6739E75D}"/>
    <cellStyle name="Currency 5 7 8 3" xfId="11260" xr:uid="{81F1CDDF-8FBE-4954-AA69-74E042D263EB}"/>
    <cellStyle name="Currency 5 7 9" xfId="4666" xr:uid="{00000000-0005-0000-0000-0000960D0000}"/>
    <cellStyle name="Currency 5 7 9 2" xfId="13095" xr:uid="{7AAE389E-6CC4-48F9-95E3-B3F331B5E5C5}"/>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1D4721B4-7B50-4031-86C6-FA5430E45BB0}"/>
    <cellStyle name="Normal 12 10 3" xfId="10944" xr:uid="{7B24AB99-F798-4EBB-8381-9BCFBB054C52}"/>
    <cellStyle name="Normal 12 11" xfId="4667" xr:uid="{00000000-0005-0000-0000-0000CC0D0000}"/>
    <cellStyle name="Normal 12 11 2" xfId="13096" xr:uid="{AE79B9BF-2FA0-41FB-8F7D-4D7EA8D02678}"/>
    <cellStyle name="Normal 12 12" xfId="8878" xr:uid="{36F3DFBD-7147-4902-92CE-B6F30C2C1F3E}"/>
    <cellStyle name="Normal 12 2" xfId="260" xr:uid="{00000000-0005-0000-0000-0000CD0D0000}"/>
    <cellStyle name="Normal 12 2 10" xfId="8879" xr:uid="{C2FB4078-8ED4-46CC-B545-C73F09000A69}"/>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CBEE89F2-E824-458E-A0B6-2ED3407E2D6D}"/>
    <cellStyle name="Normal 12 2 2 2 2 2 3" xfId="11440" xr:uid="{2B47BBC9-1025-4DA0-A6F1-3A3C30BBBB64}"/>
    <cellStyle name="Normal 12 2 2 2 2 3" xfId="5084" xr:uid="{00000000-0005-0000-0000-0000D30D0000}"/>
    <cellStyle name="Normal 12 2 2 2 2 3 2" xfId="13513" xr:uid="{2F04A4A1-CE27-49EC-8A83-7669888F6DED}"/>
    <cellStyle name="Normal 12 2 2 2 2 4" xfId="9295" xr:uid="{29D32C5D-344D-4C8E-B3A8-345824D61B7A}"/>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BDB365F4-E377-480A-8A77-B44022C8104F}"/>
    <cellStyle name="Normal 12 2 2 2 3 2 3" xfId="11853" xr:uid="{466D1DA6-A8E1-401B-A90F-EDF2FCAA6175}"/>
    <cellStyle name="Normal 12 2 2 2 3 3" xfId="5497" xr:uid="{00000000-0005-0000-0000-0000D70D0000}"/>
    <cellStyle name="Normal 12 2 2 2 3 3 2" xfId="13926" xr:uid="{CB5CE156-9F87-4474-B4F0-491836E96980}"/>
    <cellStyle name="Normal 12 2 2 2 3 4" xfId="9708" xr:uid="{144079B1-2976-434C-B9F9-9719F056B12D}"/>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3AB14799-295E-4BEB-8AAD-343A0142A30C}"/>
    <cellStyle name="Normal 12 2 2 2 4 2 3" xfId="12266" xr:uid="{8022C47E-0DC5-4749-8691-C94B83D6C43A}"/>
    <cellStyle name="Normal 12 2 2 2 4 3" xfId="5910" xr:uid="{00000000-0005-0000-0000-0000DB0D0000}"/>
    <cellStyle name="Normal 12 2 2 2 4 3 2" xfId="14339" xr:uid="{FF1B547D-62E7-4736-B22F-6C8B487577CE}"/>
    <cellStyle name="Normal 12 2 2 2 4 4" xfId="10121" xr:uid="{035488DE-05BB-44F0-9E4A-67B8D1DA49BF}"/>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FE8AADA1-F37C-4654-AFEA-9F208FCBD437}"/>
    <cellStyle name="Normal 12 2 2 2 5 2 3" xfId="12679" xr:uid="{5B2BADC4-A198-4398-A8B5-418024DDFF77}"/>
    <cellStyle name="Normal 12 2 2 2 5 3" xfId="6323" xr:uid="{00000000-0005-0000-0000-0000DF0D0000}"/>
    <cellStyle name="Normal 12 2 2 2 5 3 2" xfId="14752" xr:uid="{463F90A7-AEF6-4408-888F-D2C1C968FEA7}"/>
    <cellStyle name="Normal 12 2 2 2 5 4" xfId="10534" xr:uid="{0B21A463-51C4-4329-A31F-422654098BEC}"/>
    <cellStyle name="Normal 12 2 2 2 6" xfId="2451" xr:uid="{00000000-0005-0000-0000-0000E00D0000}"/>
    <cellStyle name="Normal 12 2 2 2 6 2" xfId="6736" xr:uid="{00000000-0005-0000-0000-0000E10D0000}"/>
    <cellStyle name="Normal 12 2 2 2 6 2 2" xfId="15165" xr:uid="{EB75F57A-AC9F-4FEB-90DB-1C0BA7DBE9DB}"/>
    <cellStyle name="Normal 12 2 2 2 6 3" xfId="10947" xr:uid="{C501B290-C287-477C-B7AA-6D5594CBCBA6}"/>
    <cellStyle name="Normal 12 2 2 2 7" xfId="4670" xr:uid="{00000000-0005-0000-0000-0000E20D0000}"/>
    <cellStyle name="Normal 12 2 2 2 7 2" xfId="13099" xr:uid="{778A6A70-28E7-4F6C-80DC-B1A7F6C4759B}"/>
    <cellStyle name="Normal 12 2 2 2 8" xfId="8881" xr:uid="{52D0CFF6-D953-4815-9EE9-66E3756ADD5A}"/>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7267A1B8-B943-4F4E-9656-E824A31FD2F0}"/>
    <cellStyle name="Normal 12 2 2 3 2 3" xfId="11439" xr:uid="{C318D8A7-F91C-4657-B290-CE0E80DE1241}"/>
    <cellStyle name="Normal 12 2 2 3 3" xfId="5083" xr:uid="{00000000-0005-0000-0000-0000E60D0000}"/>
    <cellStyle name="Normal 12 2 2 3 3 2" xfId="13512" xr:uid="{7C724FF8-A4F4-44EB-A39F-E4EFFEC66EF9}"/>
    <cellStyle name="Normal 12 2 2 3 4" xfId="9294" xr:uid="{4B1AB833-4B54-40FB-A966-2C78C3DC9C11}"/>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0994B8A4-0B48-42F5-B713-D565C699E20F}"/>
    <cellStyle name="Normal 12 2 2 4 2 3" xfId="11852" xr:uid="{2AB3BEC5-EA09-4EB2-AB7A-E155787E338E}"/>
    <cellStyle name="Normal 12 2 2 4 3" xfId="5496" xr:uid="{00000000-0005-0000-0000-0000EA0D0000}"/>
    <cellStyle name="Normal 12 2 2 4 3 2" xfId="13925" xr:uid="{97A5D72E-5523-4E45-8BEC-0B8EF34100D5}"/>
    <cellStyle name="Normal 12 2 2 4 4" xfId="9707" xr:uid="{C3803F56-0465-412D-9CB8-C5EC09427BB8}"/>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E93FFBFE-71C9-443E-9935-6A176BBE647C}"/>
    <cellStyle name="Normal 12 2 2 5 2 3" xfId="12265" xr:uid="{EB11CD0E-B22A-462C-A595-66E49989CFE7}"/>
    <cellStyle name="Normal 12 2 2 5 3" xfId="5909" xr:uid="{00000000-0005-0000-0000-0000EE0D0000}"/>
    <cellStyle name="Normal 12 2 2 5 3 2" xfId="14338" xr:uid="{A3D1FCB7-D627-48EB-9A2F-DCBD3BFE1A56}"/>
    <cellStyle name="Normal 12 2 2 5 4" xfId="10120" xr:uid="{D3C1231A-9628-4029-8A6C-FA468153CA7A}"/>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A8708E61-3F4E-4A76-BBED-C42954013681}"/>
    <cellStyle name="Normal 12 2 2 6 2 3" xfId="12678" xr:uid="{77E13E84-3B5A-454B-A26D-992CA9E11DEB}"/>
    <cellStyle name="Normal 12 2 2 6 3" xfId="6322" xr:uid="{00000000-0005-0000-0000-0000F20D0000}"/>
    <cellStyle name="Normal 12 2 2 6 3 2" xfId="14751" xr:uid="{71E691FD-7346-4C7E-B474-DFAA4BBBE33A}"/>
    <cellStyle name="Normal 12 2 2 6 4" xfId="10533" xr:uid="{688CED20-20BA-4AD4-81F2-F5F6D731DE54}"/>
    <cellStyle name="Normal 12 2 2 7" xfId="2450" xr:uid="{00000000-0005-0000-0000-0000F30D0000}"/>
    <cellStyle name="Normal 12 2 2 7 2" xfId="6735" xr:uid="{00000000-0005-0000-0000-0000F40D0000}"/>
    <cellStyle name="Normal 12 2 2 7 2 2" xfId="15164" xr:uid="{4622F916-68BB-477B-A423-D32D03203F7E}"/>
    <cellStyle name="Normal 12 2 2 7 3" xfId="10946" xr:uid="{C74A5E8E-50B5-4B45-80FB-F64B188957A3}"/>
    <cellStyle name="Normal 12 2 2 8" xfId="4669" xr:uid="{00000000-0005-0000-0000-0000F50D0000}"/>
    <cellStyle name="Normal 12 2 2 8 2" xfId="13098" xr:uid="{CF9E5A61-BA80-4410-B97D-56A84530C583}"/>
    <cellStyle name="Normal 12 2 2 9" xfId="8880" xr:uid="{63CC2C19-B5E4-4FD3-9D3D-B76E3993B632}"/>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066E6394-B038-4DAB-8286-A0F1327930C7}"/>
    <cellStyle name="Normal 12 2 3 2 2 3" xfId="11441" xr:uid="{A211C705-CD91-4046-BFD5-35B9AA975562}"/>
    <cellStyle name="Normal 12 2 3 2 3" xfId="5085" xr:uid="{00000000-0005-0000-0000-0000FA0D0000}"/>
    <cellStyle name="Normal 12 2 3 2 3 2" xfId="13514" xr:uid="{ADE21031-194E-4D15-B0E3-9A3005829382}"/>
    <cellStyle name="Normal 12 2 3 2 4" xfId="9296" xr:uid="{9AFEE4CE-DB21-410F-B073-2A2D814BCA26}"/>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B7B3C7B3-49AD-459F-B2C7-FE40C33CAA86}"/>
    <cellStyle name="Normal 12 2 3 3 2 3" xfId="11854" xr:uid="{FAA23D0E-6D17-41EA-8D1B-A90A49118E9A}"/>
    <cellStyle name="Normal 12 2 3 3 3" xfId="5498" xr:uid="{00000000-0005-0000-0000-0000FE0D0000}"/>
    <cellStyle name="Normal 12 2 3 3 3 2" xfId="13927" xr:uid="{8376D85F-EDFC-4EBB-B0B5-4F5FD686FEE2}"/>
    <cellStyle name="Normal 12 2 3 3 4" xfId="9709" xr:uid="{010C816B-BC2B-4343-AB55-4DB0DCFF9E38}"/>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478E16B1-6195-44BE-B451-89194FA2BF20}"/>
    <cellStyle name="Normal 12 2 3 4 2 3" xfId="12267" xr:uid="{AAA078D8-F40D-4A44-9A88-96DF3A0690F2}"/>
    <cellStyle name="Normal 12 2 3 4 3" xfId="5911" xr:uid="{00000000-0005-0000-0000-0000020E0000}"/>
    <cellStyle name="Normal 12 2 3 4 3 2" xfId="14340" xr:uid="{0017A2BB-9795-46C8-B1EE-145621B30456}"/>
    <cellStyle name="Normal 12 2 3 4 4" xfId="10122" xr:uid="{6A2B328E-C349-43E1-830C-0F5FE1C902AB}"/>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174B175A-5BB0-4434-89CA-AC35B80B2502}"/>
    <cellStyle name="Normal 12 2 3 5 2 3" xfId="12680" xr:uid="{A7EFD07B-B1BB-4CD7-9A3F-63B1066DEF9F}"/>
    <cellStyle name="Normal 12 2 3 5 3" xfId="6324" xr:uid="{00000000-0005-0000-0000-0000060E0000}"/>
    <cellStyle name="Normal 12 2 3 5 3 2" xfId="14753" xr:uid="{10C5F8C3-EC76-49FF-91BC-3AE9A9A932E5}"/>
    <cellStyle name="Normal 12 2 3 5 4" xfId="10535" xr:uid="{7C8A0325-5CFB-4D6E-96A3-47FC8E83ECA3}"/>
    <cellStyle name="Normal 12 2 3 6" xfId="2452" xr:uid="{00000000-0005-0000-0000-0000070E0000}"/>
    <cellStyle name="Normal 12 2 3 6 2" xfId="6737" xr:uid="{00000000-0005-0000-0000-0000080E0000}"/>
    <cellStyle name="Normal 12 2 3 6 2 2" xfId="15166" xr:uid="{1B3B191E-C5CF-48B8-B038-49646D6B07D3}"/>
    <cellStyle name="Normal 12 2 3 6 3" xfId="10948" xr:uid="{41D727A1-B532-4DC9-8558-7D0CA0691A9A}"/>
    <cellStyle name="Normal 12 2 3 7" xfId="4671" xr:uid="{00000000-0005-0000-0000-0000090E0000}"/>
    <cellStyle name="Normal 12 2 3 7 2" xfId="13100" xr:uid="{3E755764-235D-4CEC-86ED-A84B6F67274C}"/>
    <cellStyle name="Normal 12 2 3 8" xfId="8882" xr:uid="{0042255A-B1E4-48F2-9618-A5888FC22C92}"/>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A7E92412-C529-42BE-A3B8-6D40C2282FCD}"/>
    <cellStyle name="Normal 12 2 4 2 3" xfId="11438" xr:uid="{738CCB47-3655-4277-903E-5D0D0CB6A3F7}"/>
    <cellStyle name="Normal 12 2 4 3" xfId="5082" xr:uid="{00000000-0005-0000-0000-00000D0E0000}"/>
    <cellStyle name="Normal 12 2 4 3 2" xfId="13511" xr:uid="{ADC0AE40-3CD4-47CA-8298-DC72C9DEA809}"/>
    <cellStyle name="Normal 12 2 4 4" xfId="9293" xr:uid="{48B6F07A-9E11-4A8E-8DE1-4E862DC05FEB}"/>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A19479C9-CCF2-4247-BAC2-D8EB20AFE812}"/>
    <cellStyle name="Normal 12 2 5 2 3" xfId="11851" xr:uid="{EF6FD5EF-1AA2-429C-9480-7CEB48CFE1F8}"/>
    <cellStyle name="Normal 12 2 5 3" xfId="5495" xr:uid="{00000000-0005-0000-0000-0000110E0000}"/>
    <cellStyle name="Normal 12 2 5 3 2" xfId="13924" xr:uid="{869C4DFB-5A10-4010-AB8E-6EA83B44CE8B}"/>
    <cellStyle name="Normal 12 2 5 4" xfId="9706" xr:uid="{B0FCDC5E-D077-45AE-946B-77EB1EF07606}"/>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9F707F0F-5643-427F-AEB2-451230EFC167}"/>
    <cellStyle name="Normal 12 2 6 2 3" xfId="12264" xr:uid="{914664A4-2478-40C7-A161-C45F0A825F56}"/>
    <cellStyle name="Normal 12 2 6 3" xfId="5908" xr:uid="{00000000-0005-0000-0000-0000150E0000}"/>
    <cellStyle name="Normal 12 2 6 3 2" xfId="14337" xr:uid="{B7D51824-ACF5-4928-95FB-C8E91B40B938}"/>
    <cellStyle name="Normal 12 2 6 4" xfId="10119" xr:uid="{DBA9F2E9-BEAE-4201-B2D3-D38995C832A0}"/>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B7792BE9-E1B4-4F22-ACF2-65B7B9C11D30}"/>
    <cellStyle name="Normal 12 2 7 2 3" xfId="12677" xr:uid="{50E533B0-6005-49B6-9480-098E57D1ECFE}"/>
    <cellStyle name="Normal 12 2 7 3" xfId="6321" xr:uid="{00000000-0005-0000-0000-0000190E0000}"/>
    <cellStyle name="Normal 12 2 7 3 2" xfId="14750" xr:uid="{6AA97838-180C-42C0-9B85-5FA1A702D6E9}"/>
    <cellStyle name="Normal 12 2 7 4" xfId="10532" xr:uid="{5E98FE65-997F-45CB-A9A9-22457FBA5FBB}"/>
    <cellStyle name="Normal 12 2 8" xfId="2449" xr:uid="{00000000-0005-0000-0000-00001A0E0000}"/>
    <cellStyle name="Normal 12 2 8 2" xfId="6734" xr:uid="{00000000-0005-0000-0000-00001B0E0000}"/>
    <cellStyle name="Normal 12 2 8 2 2" xfId="15163" xr:uid="{B5E64FB4-27C8-437F-84BB-3311A839A9CB}"/>
    <cellStyle name="Normal 12 2 8 3" xfId="10945" xr:uid="{9DF1C025-A0DD-4440-9BB9-057B6BECE41A}"/>
    <cellStyle name="Normal 12 2 9" xfId="4668" xr:uid="{00000000-0005-0000-0000-00001C0E0000}"/>
    <cellStyle name="Normal 12 2 9 2" xfId="13097" xr:uid="{B0C743F1-9602-4619-B711-FD0DC450001A}"/>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8CF2F668-18AD-45D6-9661-E92B988DE336}"/>
    <cellStyle name="Normal 12 3 2 2 2 3" xfId="11443" xr:uid="{BA8D8C1F-CA68-4477-8A47-3D2445987C3F}"/>
    <cellStyle name="Normal 12 3 2 2 3" xfId="5087" xr:uid="{00000000-0005-0000-0000-0000220E0000}"/>
    <cellStyle name="Normal 12 3 2 2 3 2" xfId="13516" xr:uid="{67CC6B32-AA0A-4F62-AC02-39F01B79E640}"/>
    <cellStyle name="Normal 12 3 2 2 4" xfId="9298" xr:uid="{C6CF970D-79A5-47E7-A539-0B725F051BF0}"/>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D272C404-B949-48AC-87D3-A1A6030F7AF4}"/>
    <cellStyle name="Normal 12 3 2 3 2 3" xfId="11856" xr:uid="{A2330E5F-793D-4DAA-9CD1-342404BF238E}"/>
    <cellStyle name="Normal 12 3 2 3 3" xfId="5500" xr:uid="{00000000-0005-0000-0000-0000260E0000}"/>
    <cellStyle name="Normal 12 3 2 3 3 2" xfId="13929" xr:uid="{100FEF7F-55AC-45BE-8F6D-6A93AF81C75A}"/>
    <cellStyle name="Normal 12 3 2 3 4" xfId="9711" xr:uid="{56AB7A62-F343-4475-AA77-2AF2F8B38109}"/>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8B71D164-D07A-489F-9875-43B2610A0CBB}"/>
    <cellStyle name="Normal 12 3 2 4 2 3" xfId="12269" xr:uid="{5E972EB7-3A24-402C-9C96-7E3C3B7BD8C3}"/>
    <cellStyle name="Normal 12 3 2 4 3" xfId="5913" xr:uid="{00000000-0005-0000-0000-00002A0E0000}"/>
    <cellStyle name="Normal 12 3 2 4 3 2" xfId="14342" xr:uid="{22D2E527-EAF8-43F2-9AE0-9CAF011523B8}"/>
    <cellStyle name="Normal 12 3 2 4 4" xfId="10124" xr:uid="{0247B48A-2916-4DB0-B929-09DD311D6381}"/>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74EA8309-0BF2-453C-AA69-9EA79DEB7BF7}"/>
    <cellStyle name="Normal 12 3 2 5 2 3" xfId="12682" xr:uid="{CFF9D2E1-45D4-4B4A-A7F2-1ED24A54D34F}"/>
    <cellStyle name="Normal 12 3 2 5 3" xfId="6326" xr:uid="{00000000-0005-0000-0000-00002E0E0000}"/>
    <cellStyle name="Normal 12 3 2 5 3 2" xfId="14755" xr:uid="{D2087E0B-2F41-4DB5-A4B5-C89EA3199EFD}"/>
    <cellStyle name="Normal 12 3 2 5 4" xfId="10537" xr:uid="{84577B95-8EB3-491D-B31B-79AA721AC96C}"/>
    <cellStyle name="Normal 12 3 2 6" xfId="2454" xr:uid="{00000000-0005-0000-0000-00002F0E0000}"/>
    <cellStyle name="Normal 12 3 2 6 2" xfId="6739" xr:uid="{00000000-0005-0000-0000-0000300E0000}"/>
    <cellStyle name="Normal 12 3 2 6 2 2" xfId="15168" xr:uid="{398EBFD3-ECD3-4C41-9764-1B50558754F2}"/>
    <cellStyle name="Normal 12 3 2 6 3" xfId="10950" xr:uid="{C3EEED56-B1DB-45D6-A7CE-CF9414363D36}"/>
    <cellStyle name="Normal 12 3 2 7" xfId="4673" xr:uid="{00000000-0005-0000-0000-0000310E0000}"/>
    <cellStyle name="Normal 12 3 2 7 2" xfId="13102" xr:uid="{FF28AE21-6F83-4263-B973-C689CAF7E531}"/>
    <cellStyle name="Normal 12 3 2 8" xfId="8884" xr:uid="{424F4CD6-F1FA-4730-A821-AF195BBA68F1}"/>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5FB88AF7-3DFA-4F13-859A-E55C472E45BD}"/>
    <cellStyle name="Normal 12 3 3 2 3" xfId="11442" xr:uid="{6E26C7BB-1630-4646-B481-B20011534902}"/>
    <cellStyle name="Normal 12 3 3 3" xfId="5086" xr:uid="{00000000-0005-0000-0000-0000350E0000}"/>
    <cellStyle name="Normal 12 3 3 3 2" xfId="13515" xr:uid="{B30E6D89-5F7C-42B8-A12E-71BBA1FA8870}"/>
    <cellStyle name="Normal 12 3 3 4" xfId="9297" xr:uid="{4CBC93E5-0312-43EF-AFC1-367A704DDEF7}"/>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12DB9D9E-F27F-4FBA-97B9-CE5593F8D5C3}"/>
    <cellStyle name="Normal 12 3 4 2 3" xfId="11855" xr:uid="{61E1F5D7-4570-4D10-8FC9-B1FBC958EC08}"/>
    <cellStyle name="Normal 12 3 4 3" xfId="5499" xr:uid="{00000000-0005-0000-0000-0000390E0000}"/>
    <cellStyle name="Normal 12 3 4 3 2" xfId="13928" xr:uid="{416AC9DE-43EA-4EC6-A1CD-84F902B3A8EB}"/>
    <cellStyle name="Normal 12 3 4 4" xfId="9710" xr:uid="{8D70685A-9E82-494E-B7F1-74A472AC6326}"/>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1736779A-9BEC-4D5B-8922-FF7747BD9F2B}"/>
    <cellStyle name="Normal 12 3 5 2 3" xfId="12268" xr:uid="{A1178580-3616-4E17-8548-4EB7C12256A5}"/>
    <cellStyle name="Normal 12 3 5 3" xfId="5912" xr:uid="{00000000-0005-0000-0000-00003D0E0000}"/>
    <cellStyle name="Normal 12 3 5 3 2" xfId="14341" xr:uid="{B98A90C9-C773-4F7E-B42E-7DAFA6E28218}"/>
    <cellStyle name="Normal 12 3 5 4" xfId="10123" xr:uid="{30CAE097-7AD1-4A80-B60F-F5D0ABF6654C}"/>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CD849790-F9F1-4194-ACE4-0B7A7C23F2A4}"/>
    <cellStyle name="Normal 12 3 6 2 3" xfId="12681" xr:uid="{27E8D3D7-FFBF-46A6-8BD6-51643AB7F64B}"/>
    <cellStyle name="Normal 12 3 6 3" xfId="6325" xr:uid="{00000000-0005-0000-0000-0000410E0000}"/>
    <cellStyle name="Normal 12 3 6 3 2" xfId="14754" xr:uid="{61E39210-3BAF-4949-97D5-C21F4FB7E5DF}"/>
    <cellStyle name="Normal 12 3 6 4" xfId="10536" xr:uid="{B598315A-C4DF-4452-AA6E-F00B714DF875}"/>
    <cellStyle name="Normal 12 3 7" xfId="2453" xr:uid="{00000000-0005-0000-0000-0000420E0000}"/>
    <cellStyle name="Normal 12 3 7 2" xfId="6738" xr:uid="{00000000-0005-0000-0000-0000430E0000}"/>
    <cellStyle name="Normal 12 3 7 2 2" xfId="15167" xr:uid="{31D1D597-7117-4060-8A70-E91A5F304E23}"/>
    <cellStyle name="Normal 12 3 7 3" xfId="10949" xr:uid="{86E52957-7A8D-449C-955C-333051B9708F}"/>
    <cellStyle name="Normal 12 3 8" xfId="4672" xr:uid="{00000000-0005-0000-0000-0000440E0000}"/>
    <cellStyle name="Normal 12 3 8 2" xfId="13101" xr:uid="{A1CD16CA-D31E-4B61-B000-F10777ADC51E}"/>
    <cellStyle name="Normal 12 3 9" xfId="8883" xr:uid="{8E4D1604-BE6F-45CF-BF14-4C35A1BBA9C2}"/>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A11170B7-0797-400D-A964-0B223322F2BB}"/>
    <cellStyle name="Normal 12 4 2 2 3" xfId="11444" xr:uid="{6ACFF0EE-A58D-46D2-A44B-E495C10FD373}"/>
    <cellStyle name="Normal 12 4 2 3" xfId="5088" xr:uid="{00000000-0005-0000-0000-0000490E0000}"/>
    <cellStyle name="Normal 12 4 2 3 2" xfId="13517" xr:uid="{37217DAD-1727-4A80-9292-666B79529096}"/>
    <cellStyle name="Normal 12 4 2 4" xfId="9299" xr:uid="{C886CF85-742F-41F7-9D40-39EA36548F14}"/>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EBB6B474-14DD-470B-BF55-4C7F8BEB5830}"/>
    <cellStyle name="Normal 12 4 3 2 3" xfId="11857" xr:uid="{6745EE00-F097-44E7-8A0E-81B990C4BC04}"/>
    <cellStyle name="Normal 12 4 3 3" xfId="5501" xr:uid="{00000000-0005-0000-0000-00004D0E0000}"/>
    <cellStyle name="Normal 12 4 3 3 2" xfId="13930" xr:uid="{EB6726A8-E825-4F3F-A2ED-F29E19DEAC77}"/>
    <cellStyle name="Normal 12 4 3 4" xfId="9712" xr:uid="{DDA94725-6EC7-4204-955D-5049F7F41427}"/>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7C405F80-EF0E-4F90-B117-0740451D0A2E}"/>
    <cellStyle name="Normal 12 4 4 2 3" xfId="12270" xr:uid="{E0A8B1B5-5960-46F6-A740-6C94A755AB4B}"/>
    <cellStyle name="Normal 12 4 4 3" xfId="5914" xr:uid="{00000000-0005-0000-0000-0000510E0000}"/>
    <cellStyle name="Normal 12 4 4 3 2" xfId="14343" xr:uid="{FD87C22D-FA76-4712-A7A4-F59012F75567}"/>
    <cellStyle name="Normal 12 4 4 4" xfId="10125" xr:uid="{C14A05C5-CACA-4365-8318-8BCD55F8DF9C}"/>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957AE48C-1934-4635-82A3-A3783DA1E3AD}"/>
    <cellStyle name="Normal 12 4 5 2 3" xfId="12683" xr:uid="{289FD7E8-87EE-49BE-ACBD-78F1364A3D3E}"/>
    <cellStyle name="Normal 12 4 5 3" xfId="6327" xr:uid="{00000000-0005-0000-0000-0000550E0000}"/>
    <cellStyle name="Normal 12 4 5 3 2" xfId="14756" xr:uid="{2140E9A4-2312-4914-885D-2ACBA9F44CB6}"/>
    <cellStyle name="Normal 12 4 5 4" xfId="10538" xr:uid="{F06C0B55-9AE6-4A97-9CBB-8B5216450E7C}"/>
    <cellStyle name="Normal 12 4 6" xfId="2455" xr:uid="{00000000-0005-0000-0000-0000560E0000}"/>
    <cellStyle name="Normal 12 4 6 2" xfId="6740" xr:uid="{00000000-0005-0000-0000-0000570E0000}"/>
    <cellStyle name="Normal 12 4 6 2 2" xfId="15169" xr:uid="{6839D487-EE31-4827-B609-A099CA0EEF85}"/>
    <cellStyle name="Normal 12 4 6 3" xfId="10951" xr:uid="{E2F0AE80-73CC-42DA-ACB7-DCBA6E8A25AF}"/>
    <cellStyle name="Normal 12 4 7" xfId="4674" xr:uid="{00000000-0005-0000-0000-0000580E0000}"/>
    <cellStyle name="Normal 12 4 7 2" xfId="13103" xr:uid="{C5456D5C-60C4-4B5A-A3E9-F3D32A4414B3}"/>
    <cellStyle name="Normal 12 4 8" xfId="8885" xr:uid="{327F0CD7-EC07-44E3-8CE4-FC9BCAFA33E4}"/>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98CF7E78-4DB6-4F81-916E-8A9D00F8D8D7}"/>
    <cellStyle name="Normal 12 6 2 3" xfId="11437" xr:uid="{89C5EA2F-7C7D-426E-953A-49CE17F2673C}"/>
    <cellStyle name="Normal 12 6 3" xfId="5081" xr:uid="{00000000-0005-0000-0000-00005D0E0000}"/>
    <cellStyle name="Normal 12 6 3 2" xfId="13510" xr:uid="{D1001D85-A12D-4CA9-A6F1-212908D9073A}"/>
    <cellStyle name="Normal 12 6 4" xfId="9292" xr:uid="{696B8179-8061-4B97-A40C-85205F30D09F}"/>
    <cellStyle name="Normal 12 7" xfId="1184" xr:uid="{00000000-0005-0000-0000-00005E0E0000}"/>
    <cellStyle name="Normal 12 7 2" xfId="3415" xr:uid="{00000000-0005-0000-0000-00005F0E0000}"/>
    <cellStyle name="Normal 12 7 2 2" xfId="7639" xr:uid="{00000000-0005-0000-0000-0000600E0000}"/>
    <cellStyle name="Normal 12 7 2 2 2" xfId="16068" xr:uid="{B3E2DB8E-CC9E-4271-A2C4-BAF61A6ED3F0}"/>
    <cellStyle name="Normal 12 7 2 3" xfId="11850" xr:uid="{50AD8E92-CBA7-458C-9D73-3BA004DE3CC3}"/>
    <cellStyle name="Normal 12 7 3" xfId="5494" xr:uid="{00000000-0005-0000-0000-0000610E0000}"/>
    <cellStyle name="Normal 12 7 3 2" xfId="13923" xr:uid="{285A30DC-BEAF-42ED-8519-07C7D7E12C26}"/>
    <cellStyle name="Normal 12 7 4" xfId="9705" xr:uid="{CEA6D05F-3C50-4242-A64B-AAD4AF813D0D}"/>
    <cellStyle name="Normal 12 8" xfId="1598" xr:uid="{00000000-0005-0000-0000-0000620E0000}"/>
    <cellStyle name="Normal 12 8 2" xfId="3828" xr:uid="{00000000-0005-0000-0000-0000630E0000}"/>
    <cellStyle name="Normal 12 8 2 2" xfId="8052" xr:uid="{00000000-0005-0000-0000-0000640E0000}"/>
    <cellStyle name="Normal 12 8 2 2 2" xfId="16481" xr:uid="{0F386633-7181-4704-BFA9-9A32037C6C75}"/>
    <cellStyle name="Normal 12 8 2 3" xfId="12263" xr:uid="{0536DC1D-6146-4584-966A-6C45A1A21A78}"/>
    <cellStyle name="Normal 12 8 3" xfId="5907" xr:uid="{00000000-0005-0000-0000-0000650E0000}"/>
    <cellStyle name="Normal 12 8 3 2" xfId="14336" xr:uid="{708173B5-5CF6-4102-9AD7-F51D0C1DF47A}"/>
    <cellStyle name="Normal 12 8 4" xfId="10118" xr:uid="{5F86EA2C-7C39-4C57-B2A7-AFEA56A81E0B}"/>
    <cellStyle name="Normal 12 9" xfId="2012" xr:uid="{00000000-0005-0000-0000-0000660E0000}"/>
    <cellStyle name="Normal 12 9 2" xfId="4241" xr:uid="{00000000-0005-0000-0000-0000670E0000}"/>
    <cellStyle name="Normal 12 9 2 2" xfId="8465" xr:uid="{00000000-0005-0000-0000-0000680E0000}"/>
    <cellStyle name="Normal 12 9 2 2 2" xfId="16894" xr:uid="{B32F9A9F-B236-4D3C-973F-79578C2F44F9}"/>
    <cellStyle name="Normal 12 9 2 3" xfId="12676" xr:uid="{EAD6BCDE-E3F2-45DF-B866-5BD07586C9F7}"/>
    <cellStyle name="Normal 12 9 3" xfId="6320" xr:uid="{00000000-0005-0000-0000-0000690E0000}"/>
    <cellStyle name="Normal 12 9 3 2" xfId="14749" xr:uid="{59E7706E-DDC4-45DC-B075-C0A2B622C147}"/>
    <cellStyle name="Normal 12 9 4" xfId="10531" xr:uid="{D2DED2B0-1695-4070-9D4E-9A9B74A8F42F}"/>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991B28C8-D35C-4D47-B4A8-E682178F1A95}"/>
    <cellStyle name="Normal 14 2 2 3" xfId="11445" xr:uid="{BBA2DB8C-9763-418F-B3DC-EBDBE377A849}"/>
    <cellStyle name="Normal 14 2 3" xfId="5089" xr:uid="{00000000-0005-0000-0000-0000700E0000}"/>
    <cellStyle name="Normal 14 2 3 2" xfId="13518" xr:uid="{452C5435-BD44-472A-B239-CBE2B100587E}"/>
    <cellStyle name="Normal 14 2 4" xfId="9300" xr:uid="{8ED47735-E1ED-4072-B0FB-6FEB314A977B}"/>
    <cellStyle name="Normal 14 3" xfId="1192" xr:uid="{00000000-0005-0000-0000-0000710E0000}"/>
    <cellStyle name="Normal 14 3 2" xfId="3423" xr:uid="{00000000-0005-0000-0000-0000720E0000}"/>
    <cellStyle name="Normal 14 3 2 2" xfId="7647" xr:uid="{00000000-0005-0000-0000-0000730E0000}"/>
    <cellStyle name="Normal 14 3 2 2 2" xfId="16076" xr:uid="{3CCCAA7C-4D99-4780-915F-B9355B2CAC0C}"/>
    <cellStyle name="Normal 14 3 2 3" xfId="11858" xr:uid="{5FBA1033-C7CC-49E5-B2CB-ABDBB6B0CF94}"/>
    <cellStyle name="Normal 14 3 3" xfId="5502" xr:uid="{00000000-0005-0000-0000-0000740E0000}"/>
    <cellStyle name="Normal 14 3 3 2" xfId="13931" xr:uid="{679D1A9E-E782-496A-A6F5-85E62A8D64EB}"/>
    <cellStyle name="Normal 14 3 4" xfId="9713" xr:uid="{AED14138-BF95-49C0-B3AF-E7707BF1182E}"/>
    <cellStyle name="Normal 14 4" xfId="1606" xr:uid="{00000000-0005-0000-0000-0000750E0000}"/>
    <cellStyle name="Normal 14 4 2" xfId="3836" xr:uid="{00000000-0005-0000-0000-0000760E0000}"/>
    <cellStyle name="Normal 14 4 2 2" xfId="8060" xr:uid="{00000000-0005-0000-0000-0000770E0000}"/>
    <cellStyle name="Normal 14 4 2 2 2" xfId="16489" xr:uid="{172E686A-A4A9-4D7F-9847-2D7018FCC9F7}"/>
    <cellStyle name="Normal 14 4 2 3" xfId="12271" xr:uid="{A751A452-D03A-4A28-8F4A-2BC774F4E668}"/>
    <cellStyle name="Normal 14 4 3" xfId="5915" xr:uid="{00000000-0005-0000-0000-0000780E0000}"/>
    <cellStyle name="Normal 14 4 3 2" xfId="14344" xr:uid="{A52EDEEC-77F6-4E90-99AE-98CAFA849FBF}"/>
    <cellStyle name="Normal 14 4 4" xfId="10126" xr:uid="{B02E41DD-98B5-478D-B8BF-9E941A2CCC45}"/>
    <cellStyle name="Normal 14 5" xfId="2020" xr:uid="{00000000-0005-0000-0000-0000790E0000}"/>
    <cellStyle name="Normal 14 5 2" xfId="4249" xr:uid="{00000000-0005-0000-0000-00007A0E0000}"/>
    <cellStyle name="Normal 14 5 2 2" xfId="8473" xr:uid="{00000000-0005-0000-0000-00007B0E0000}"/>
    <cellStyle name="Normal 14 5 2 2 2" xfId="16902" xr:uid="{F957C15C-FEFC-4892-965D-87FFD8940C01}"/>
    <cellStyle name="Normal 14 5 2 3" xfId="12684" xr:uid="{A991093F-F495-41B0-8095-23EA4F085F91}"/>
    <cellStyle name="Normal 14 5 3" xfId="6328" xr:uid="{00000000-0005-0000-0000-00007C0E0000}"/>
    <cellStyle name="Normal 14 5 3 2" xfId="14757" xr:uid="{144D4583-037B-4C53-A5F3-8659614AAFD5}"/>
    <cellStyle name="Normal 14 5 4" xfId="10539" xr:uid="{3DD08F4C-A8DA-4766-82D1-A45EFB8A8C5A}"/>
    <cellStyle name="Normal 14 6" xfId="2456" xr:uid="{00000000-0005-0000-0000-00007D0E0000}"/>
    <cellStyle name="Normal 14 6 2" xfId="6741" xr:uid="{00000000-0005-0000-0000-00007E0E0000}"/>
    <cellStyle name="Normal 14 6 2 2" xfId="15170" xr:uid="{565E3210-BDE1-40F4-B792-B8CEE5EDD313}"/>
    <cellStyle name="Normal 14 6 3" xfId="10952" xr:uid="{20010479-9C7C-40EF-A9E5-3F690FEA7728}"/>
    <cellStyle name="Normal 14 7" xfId="4675" xr:uid="{00000000-0005-0000-0000-00007F0E0000}"/>
    <cellStyle name="Normal 14 7 2" xfId="13104" xr:uid="{B756D019-094D-4298-A9E2-B86B7772F5CB}"/>
    <cellStyle name="Normal 14 8" xfId="8886" xr:uid="{16318FAD-18EA-48FC-942F-634A43B0E32D}"/>
    <cellStyle name="Normal 15" xfId="4497" xr:uid="{00000000-0005-0000-0000-0000800E0000}"/>
    <cellStyle name="Normal 15 2" xfId="12930" xr:uid="{EAC0248F-7D0C-4297-968A-4545CA40E638}"/>
    <cellStyle name="Normal 16" xfId="4501" xr:uid="{00000000-0005-0000-0000-0000810E0000}"/>
    <cellStyle name="Normal 16 2" xfId="12933" xr:uid="{A08A0972-BC2B-4EFE-993B-CA3D46DBEEC4}"/>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24C92FDB-D7FE-4EF2-BE9E-0C6F7B4C5371}"/>
    <cellStyle name="Normal 2 4 2 10 2 3" xfId="12685" xr:uid="{77AF922D-CA3C-4EDC-873F-2E15086A944A}"/>
    <cellStyle name="Normal 2 4 2 10 3" xfId="6329" xr:uid="{00000000-0005-0000-0000-0000900E0000}"/>
    <cellStyle name="Normal 2 4 2 10 3 2" xfId="14758" xr:uid="{F646BE66-D2DC-4325-AA09-51525FC6A05A}"/>
    <cellStyle name="Normal 2 4 2 10 4" xfId="10540" xr:uid="{EBB9E149-BD73-42C1-B220-D14DF43D747D}"/>
    <cellStyle name="Normal 2 4 2 11" xfId="2457" xr:uid="{00000000-0005-0000-0000-0000910E0000}"/>
    <cellStyle name="Normal 2 4 2 11 2" xfId="6742" xr:uid="{00000000-0005-0000-0000-0000920E0000}"/>
    <cellStyle name="Normal 2 4 2 11 2 2" xfId="15171" xr:uid="{D987691E-6AAE-4327-99A3-035E57DB8C77}"/>
    <cellStyle name="Normal 2 4 2 11 3" xfId="10953" xr:uid="{03E9DD8E-6AEF-4D74-B95E-1E04C8277449}"/>
    <cellStyle name="Normal 2 4 2 12" xfId="4676" xr:uid="{00000000-0005-0000-0000-0000930E0000}"/>
    <cellStyle name="Normal 2 4 2 12 2" xfId="13105" xr:uid="{09F202A2-9C94-4AFB-9176-0A00E7C597A9}"/>
    <cellStyle name="Normal 2 4 2 13" xfId="8887" xr:uid="{F2919B7C-0976-4BD3-972D-FCFDD32F2A73}"/>
    <cellStyle name="Normal 2 4 2 2" xfId="280" xr:uid="{00000000-0005-0000-0000-0000940E0000}"/>
    <cellStyle name="Normal 2 4 2 3" xfId="281" xr:uid="{00000000-0005-0000-0000-0000950E0000}"/>
    <cellStyle name="Normal 2 4 2 3 10" xfId="4677" xr:uid="{00000000-0005-0000-0000-0000960E0000}"/>
    <cellStyle name="Normal 2 4 2 3 10 2" xfId="13106" xr:uid="{74D7ED6B-47F2-4712-AB9C-0CBDEE110D72}"/>
    <cellStyle name="Normal 2 4 2 3 11" xfId="8888" xr:uid="{296CE719-C9CA-4471-A854-E17A0A686ECB}"/>
    <cellStyle name="Normal 2 4 2 3 2" xfId="282" xr:uid="{00000000-0005-0000-0000-0000970E0000}"/>
    <cellStyle name="Normal 2 4 2 3 2 10" xfId="8889" xr:uid="{82C6BCBA-613F-490A-8642-EA9DBBE2C11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1B707DF8-6DA6-4B53-ABD4-B15BCC12CE8D}"/>
    <cellStyle name="Normal 2 4 2 3 2 2 2 2 2 3" xfId="11450" xr:uid="{C7C49CEC-80F5-41BE-987C-EF8496839325}"/>
    <cellStyle name="Normal 2 4 2 3 2 2 2 2 3" xfId="5094" xr:uid="{00000000-0005-0000-0000-00009D0E0000}"/>
    <cellStyle name="Normal 2 4 2 3 2 2 2 2 3 2" xfId="13523" xr:uid="{4E142AC3-4FEC-499A-A139-E9B82A717766}"/>
    <cellStyle name="Normal 2 4 2 3 2 2 2 2 4" xfId="9305" xr:uid="{B3E55277-FAA8-445C-AD8A-15961CFF3DFB}"/>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79F1CCEB-E5E9-4000-AD5F-1CBA833636A3}"/>
    <cellStyle name="Normal 2 4 2 3 2 2 2 3 2 3" xfId="11863" xr:uid="{7D0B6CB9-717F-4033-83CF-80D973C98FE5}"/>
    <cellStyle name="Normal 2 4 2 3 2 2 2 3 3" xfId="5507" xr:uid="{00000000-0005-0000-0000-0000A10E0000}"/>
    <cellStyle name="Normal 2 4 2 3 2 2 2 3 3 2" xfId="13936" xr:uid="{0602E233-E1FA-4217-97D3-8FB89D36032B}"/>
    <cellStyle name="Normal 2 4 2 3 2 2 2 3 4" xfId="9718" xr:uid="{4229DFB2-6A60-4173-81DE-B7B103A12AEB}"/>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F25A1AFA-0D80-41E1-9984-FE7F317200DF}"/>
    <cellStyle name="Normal 2 4 2 3 2 2 2 4 2 3" xfId="12276" xr:uid="{FCE54BCC-2483-48DA-8457-74D8A3BDD58F}"/>
    <cellStyle name="Normal 2 4 2 3 2 2 2 4 3" xfId="5920" xr:uid="{00000000-0005-0000-0000-0000A50E0000}"/>
    <cellStyle name="Normal 2 4 2 3 2 2 2 4 3 2" xfId="14349" xr:uid="{F9ADE0E9-BEDA-42AB-9FBF-8B59F4458968}"/>
    <cellStyle name="Normal 2 4 2 3 2 2 2 4 4" xfId="10131" xr:uid="{95E018F9-F7E2-476E-948A-D98739BD2705}"/>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E7FBD099-E5C5-44AE-A898-C0045D519F93}"/>
    <cellStyle name="Normal 2 4 2 3 2 2 2 5 2 3" xfId="12689" xr:uid="{F86237F0-2537-497E-B6F3-58B8764F84F5}"/>
    <cellStyle name="Normal 2 4 2 3 2 2 2 5 3" xfId="6333" xr:uid="{00000000-0005-0000-0000-0000A90E0000}"/>
    <cellStyle name="Normal 2 4 2 3 2 2 2 5 3 2" xfId="14762" xr:uid="{8EF18D5C-0869-4371-AAB2-0230785C160C}"/>
    <cellStyle name="Normal 2 4 2 3 2 2 2 5 4" xfId="10544" xr:uid="{6B399DDC-53F9-4CF4-8E8F-6476DCB3D685}"/>
    <cellStyle name="Normal 2 4 2 3 2 2 2 6" xfId="2461" xr:uid="{00000000-0005-0000-0000-0000AA0E0000}"/>
    <cellStyle name="Normal 2 4 2 3 2 2 2 6 2" xfId="6746" xr:uid="{00000000-0005-0000-0000-0000AB0E0000}"/>
    <cellStyle name="Normal 2 4 2 3 2 2 2 6 2 2" xfId="15175" xr:uid="{F2B96544-23AE-4E2F-A726-AD3E99B06755}"/>
    <cellStyle name="Normal 2 4 2 3 2 2 2 6 3" xfId="10957" xr:uid="{749FB771-3DE7-41C6-8F2E-B2766A7E6051}"/>
    <cellStyle name="Normal 2 4 2 3 2 2 2 7" xfId="4680" xr:uid="{00000000-0005-0000-0000-0000AC0E0000}"/>
    <cellStyle name="Normal 2 4 2 3 2 2 2 7 2" xfId="13109" xr:uid="{609918D0-FD78-43F5-A039-0228418AD27D}"/>
    <cellStyle name="Normal 2 4 2 3 2 2 2 8" xfId="8891" xr:uid="{8EFB96AF-134A-490E-94C3-F8DF5FAF703E}"/>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1031A364-C091-466A-8A30-0BBC874C95B9}"/>
    <cellStyle name="Normal 2 4 2 3 2 2 3 2 3" xfId="11449" xr:uid="{3D17DDB3-6809-45A7-8808-EFC2F8673E24}"/>
    <cellStyle name="Normal 2 4 2 3 2 2 3 3" xfId="5093" xr:uid="{00000000-0005-0000-0000-0000B00E0000}"/>
    <cellStyle name="Normal 2 4 2 3 2 2 3 3 2" xfId="13522" xr:uid="{7183D67D-E0C9-4D41-A04C-D61A105FDC61}"/>
    <cellStyle name="Normal 2 4 2 3 2 2 3 4" xfId="9304" xr:uid="{EFC2D1C0-317C-43ED-AF2A-7F9EB4BC858F}"/>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EE1431E6-2A30-40E5-8E2E-82A6BBE0C38E}"/>
    <cellStyle name="Normal 2 4 2 3 2 2 4 2 3" xfId="11862" xr:uid="{F2C11AF2-171E-4D63-B814-84D80D6768AB}"/>
    <cellStyle name="Normal 2 4 2 3 2 2 4 3" xfId="5506" xr:uid="{00000000-0005-0000-0000-0000B40E0000}"/>
    <cellStyle name="Normal 2 4 2 3 2 2 4 3 2" xfId="13935" xr:uid="{F15F74C9-5DBF-4FD7-BEBB-8C0B9FEBD02A}"/>
    <cellStyle name="Normal 2 4 2 3 2 2 4 4" xfId="9717" xr:uid="{4035DC82-E8DD-43E9-A9EB-A19A47BAD586}"/>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83F000FD-C65E-496B-813D-D92790B909BA}"/>
    <cellStyle name="Normal 2 4 2 3 2 2 5 2 3" xfId="12275" xr:uid="{E386EF92-ACFF-47EE-9B12-95F1384855CD}"/>
    <cellStyle name="Normal 2 4 2 3 2 2 5 3" xfId="5919" xr:uid="{00000000-0005-0000-0000-0000B80E0000}"/>
    <cellStyle name="Normal 2 4 2 3 2 2 5 3 2" xfId="14348" xr:uid="{2352046E-3A61-42CF-AEAB-6E748EA32C7A}"/>
    <cellStyle name="Normal 2 4 2 3 2 2 5 4" xfId="10130" xr:uid="{DAD34BE0-823A-4E30-9461-08C06127C55B}"/>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BA04AE42-BA85-4E78-AE62-4DB169395D5A}"/>
    <cellStyle name="Normal 2 4 2 3 2 2 6 2 3" xfId="12688" xr:uid="{6664E57F-A9C5-4E13-A71C-BF68B4E851A4}"/>
    <cellStyle name="Normal 2 4 2 3 2 2 6 3" xfId="6332" xr:uid="{00000000-0005-0000-0000-0000BC0E0000}"/>
    <cellStyle name="Normal 2 4 2 3 2 2 6 3 2" xfId="14761" xr:uid="{A79EAB51-6DF2-45F3-8D8C-CFDF0D7FF4D7}"/>
    <cellStyle name="Normal 2 4 2 3 2 2 6 4" xfId="10543" xr:uid="{D592991A-F065-4060-AB6E-2C0CEF11D72A}"/>
    <cellStyle name="Normal 2 4 2 3 2 2 7" xfId="2460" xr:uid="{00000000-0005-0000-0000-0000BD0E0000}"/>
    <cellStyle name="Normal 2 4 2 3 2 2 7 2" xfId="6745" xr:uid="{00000000-0005-0000-0000-0000BE0E0000}"/>
    <cellStyle name="Normal 2 4 2 3 2 2 7 2 2" xfId="15174" xr:uid="{22A9D695-320C-4B58-8B75-9349DB99B28A}"/>
    <cellStyle name="Normal 2 4 2 3 2 2 7 3" xfId="10956" xr:uid="{97C06B83-6413-4CAB-B512-FF942B99455A}"/>
    <cellStyle name="Normal 2 4 2 3 2 2 8" xfId="4679" xr:uid="{00000000-0005-0000-0000-0000BF0E0000}"/>
    <cellStyle name="Normal 2 4 2 3 2 2 8 2" xfId="13108" xr:uid="{5C8EEF6B-82E6-469B-96DD-900500AD956A}"/>
    <cellStyle name="Normal 2 4 2 3 2 2 9" xfId="8890" xr:uid="{CF9E8D91-68FA-472D-A54D-4B5B96308C9D}"/>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BEBD97A3-C52F-4852-9571-D498E68F71EB}"/>
    <cellStyle name="Normal 2 4 2 3 2 3 2 2 3" xfId="11451" xr:uid="{EE28B48C-EE81-4E05-A3C0-1F12EF19C92D}"/>
    <cellStyle name="Normal 2 4 2 3 2 3 2 3" xfId="5095" xr:uid="{00000000-0005-0000-0000-0000C40E0000}"/>
    <cellStyle name="Normal 2 4 2 3 2 3 2 3 2" xfId="13524" xr:uid="{30D0CD05-E763-42AD-83B2-29F46DE85AAA}"/>
    <cellStyle name="Normal 2 4 2 3 2 3 2 4" xfId="9306" xr:uid="{7B059A74-FFBD-488F-B59D-C44B65CADB62}"/>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5A1115F9-4A1C-4A60-8E54-2EC0AB4EACCB}"/>
    <cellStyle name="Normal 2 4 2 3 2 3 3 2 3" xfId="11864" xr:uid="{F1DE4CD5-BEC2-4874-8C08-D47014492DBA}"/>
    <cellStyle name="Normal 2 4 2 3 2 3 3 3" xfId="5508" xr:uid="{00000000-0005-0000-0000-0000C80E0000}"/>
    <cellStyle name="Normal 2 4 2 3 2 3 3 3 2" xfId="13937" xr:uid="{C183E7C3-4D76-4664-92CA-8DC30B26B5F1}"/>
    <cellStyle name="Normal 2 4 2 3 2 3 3 4" xfId="9719" xr:uid="{BCFF1E0F-8760-442C-84AE-271EDD684FDC}"/>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2C80D62A-8AB7-4DE6-80B8-8379694594C8}"/>
    <cellStyle name="Normal 2 4 2 3 2 3 4 2 3" xfId="12277" xr:uid="{C895A442-35B5-4478-AB34-09022631CD03}"/>
    <cellStyle name="Normal 2 4 2 3 2 3 4 3" xfId="5921" xr:uid="{00000000-0005-0000-0000-0000CC0E0000}"/>
    <cellStyle name="Normal 2 4 2 3 2 3 4 3 2" xfId="14350" xr:uid="{4F062A51-41D3-45AA-8B6D-FF8099AA5E9A}"/>
    <cellStyle name="Normal 2 4 2 3 2 3 4 4" xfId="10132" xr:uid="{ED047A08-7AC5-4E61-95A2-EC4D3ACC29E3}"/>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DAB3C0E7-D74B-435D-8614-8F7D67767208}"/>
    <cellStyle name="Normal 2 4 2 3 2 3 5 2 3" xfId="12690" xr:uid="{0F34D10D-44ED-4980-A216-81181F829011}"/>
    <cellStyle name="Normal 2 4 2 3 2 3 5 3" xfId="6334" xr:uid="{00000000-0005-0000-0000-0000D00E0000}"/>
    <cellStyle name="Normal 2 4 2 3 2 3 5 3 2" xfId="14763" xr:uid="{3CED412F-6FA0-4DCD-8B51-3D8A7C77F48B}"/>
    <cellStyle name="Normal 2 4 2 3 2 3 5 4" xfId="10545" xr:uid="{179C272B-857A-4032-8EDC-3A2EC2DDC81D}"/>
    <cellStyle name="Normal 2 4 2 3 2 3 6" xfId="2462" xr:uid="{00000000-0005-0000-0000-0000D10E0000}"/>
    <cellStyle name="Normal 2 4 2 3 2 3 6 2" xfId="6747" xr:uid="{00000000-0005-0000-0000-0000D20E0000}"/>
    <cellStyle name="Normal 2 4 2 3 2 3 6 2 2" xfId="15176" xr:uid="{B2FBFD16-EAF1-4CBD-9AB1-1A524C400DCE}"/>
    <cellStyle name="Normal 2 4 2 3 2 3 6 3" xfId="10958" xr:uid="{4AA6AE89-445B-4793-A864-2C26EE72C360}"/>
    <cellStyle name="Normal 2 4 2 3 2 3 7" xfId="4681" xr:uid="{00000000-0005-0000-0000-0000D30E0000}"/>
    <cellStyle name="Normal 2 4 2 3 2 3 7 2" xfId="13110" xr:uid="{1372B237-52F1-4E10-8601-126BE42BC975}"/>
    <cellStyle name="Normal 2 4 2 3 2 3 8" xfId="8892" xr:uid="{3F5B9906-4CEC-461D-9A42-B5649953D76A}"/>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D71E77F2-12B0-4FA1-9EF9-1A72037B0F0D}"/>
    <cellStyle name="Normal 2 4 2 3 2 4 2 3" xfId="11448" xr:uid="{19E7D1B1-79ED-48FD-9A46-B625B8C51F96}"/>
    <cellStyle name="Normal 2 4 2 3 2 4 3" xfId="5092" xr:uid="{00000000-0005-0000-0000-0000D70E0000}"/>
    <cellStyle name="Normal 2 4 2 3 2 4 3 2" xfId="13521" xr:uid="{87C4D24C-23D6-4F6D-8049-9EBD436D4984}"/>
    <cellStyle name="Normal 2 4 2 3 2 4 4" xfId="9303" xr:uid="{E0C27B0F-286F-4E03-A18C-23DE9A30C2C2}"/>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F3296BC1-3210-46E1-863A-43FA0F73A40A}"/>
    <cellStyle name="Normal 2 4 2 3 2 5 2 3" xfId="11861" xr:uid="{12269AA3-1EC5-4606-BE91-4B70C413130C}"/>
    <cellStyle name="Normal 2 4 2 3 2 5 3" xfId="5505" xr:uid="{00000000-0005-0000-0000-0000DB0E0000}"/>
    <cellStyle name="Normal 2 4 2 3 2 5 3 2" xfId="13934" xr:uid="{1715F560-EF82-4982-B2B3-E0E2BE57794F}"/>
    <cellStyle name="Normal 2 4 2 3 2 5 4" xfId="9716" xr:uid="{100A17F0-4BF3-4858-A099-70726004F58E}"/>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F17784B9-F284-4DE4-B419-2156E2DE4B2D}"/>
    <cellStyle name="Normal 2 4 2 3 2 6 2 3" xfId="12274" xr:uid="{62D49145-F6A8-4CDD-8999-E29795538748}"/>
    <cellStyle name="Normal 2 4 2 3 2 6 3" xfId="5918" xr:uid="{00000000-0005-0000-0000-0000DF0E0000}"/>
    <cellStyle name="Normal 2 4 2 3 2 6 3 2" xfId="14347" xr:uid="{6510A02E-5793-4403-B457-597890D5C2D3}"/>
    <cellStyle name="Normal 2 4 2 3 2 6 4" xfId="10129" xr:uid="{A4DF49CB-6CEC-42E1-88FD-BA254A473572}"/>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7C2AAFFD-3D4A-4CF4-AB0A-332B987A9BB3}"/>
    <cellStyle name="Normal 2 4 2 3 2 7 2 3" xfId="12687" xr:uid="{0C385D93-585C-435F-8CF5-F2B2A4C1B0B3}"/>
    <cellStyle name="Normal 2 4 2 3 2 7 3" xfId="6331" xr:uid="{00000000-0005-0000-0000-0000E30E0000}"/>
    <cellStyle name="Normal 2 4 2 3 2 7 3 2" xfId="14760" xr:uid="{69614626-8A8A-4CD3-AFA0-8B9C51E300BC}"/>
    <cellStyle name="Normal 2 4 2 3 2 7 4" xfId="10542" xr:uid="{B900589E-B0B5-4250-8674-CB08DB0BB915}"/>
    <cellStyle name="Normal 2 4 2 3 2 8" xfId="2459" xr:uid="{00000000-0005-0000-0000-0000E40E0000}"/>
    <cellStyle name="Normal 2 4 2 3 2 8 2" xfId="6744" xr:uid="{00000000-0005-0000-0000-0000E50E0000}"/>
    <cellStyle name="Normal 2 4 2 3 2 8 2 2" xfId="15173" xr:uid="{15EA29C1-50EB-447C-86E9-0FC6253BDAB4}"/>
    <cellStyle name="Normal 2 4 2 3 2 8 3" xfId="10955" xr:uid="{4441FD7B-9B53-4A03-BFA7-663F439ECAF5}"/>
    <cellStyle name="Normal 2 4 2 3 2 9" xfId="4678" xr:uid="{00000000-0005-0000-0000-0000E60E0000}"/>
    <cellStyle name="Normal 2 4 2 3 2 9 2" xfId="13107" xr:uid="{0A165F03-82FE-408B-AABB-0BE721257773}"/>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144724BD-46C9-451F-9485-2401232C46EA}"/>
    <cellStyle name="Normal 2 4 2 3 3 2 2 2 3" xfId="11453" xr:uid="{8ACD8EE6-98F7-48F7-88E8-7E5C8B6840E8}"/>
    <cellStyle name="Normal 2 4 2 3 3 2 2 3" xfId="5097" xr:uid="{00000000-0005-0000-0000-0000EC0E0000}"/>
    <cellStyle name="Normal 2 4 2 3 3 2 2 3 2" xfId="13526" xr:uid="{18100F54-1EC7-4186-999B-286591713C66}"/>
    <cellStyle name="Normal 2 4 2 3 3 2 2 4" xfId="9308" xr:uid="{BC1A84CD-A3BF-4B1E-BBEA-5E9F90B2A1E6}"/>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A3BBE6D1-0170-43CE-AA71-04D83754CEB4}"/>
    <cellStyle name="Normal 2 4 2 3 3 2 3 2 3" xfId="11866" xr:uid="{A800C30C-E86B-4150-BEB0-4EACFF075FD2}"/>
    <cellStyle name="Normal 2 4 2 3 3 2 3 3" xfId="5510" xr:uid="{00000000-0005-0000-0000-0000F00E0000}"/>
    <cellStyle name="Normal 2 4 2 3 3 2 3 3 2" xfId="13939" xr:uid="{C10F1723-E928-4E2E-BAAC-E5C91F706CD3}"/>
    <cellStyle name="Normal 2 4 2 3 3 2 3 4" xfId="9721" xr:uid="{4241729C-C4A5-4963-913F-6B7FD5600221}"/>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727456C5-328B-41F2-840C-1FF198EFFA9B}"/>
    <cellStyle name="Normal 2 4 2 3 3 2 4 2 3" xfId="12279" xr:uid="{63365B1B-E77C-4390-A877-0AF83EAFC94B}"/>
    <cellStyle name="Normal 2 4 2 3 3 2 4 3" xfId="5923" xr:uid="{00000000-0005-0000-0000-0000F40E0000}"/>
    <cellStyle name="Normal 2 4 2 3 3 2 4 3 2" xfId="14352" xr:uid="{1D34BA9E-F9A6-4C6D-94E6-6CA7A1F98341}"/>
    <cellStyle name="Normal 2 4 2 3 3 2 4 4" xfId="10134" xr:uid="{D2E8F23B-1E8B-4CC1-8DD8-E59E4E8EFE3D}"/>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AAEB2D64-D773-4674-BE72-BB0B7BB0610F}"/>
    <cellStyle name="Normal 2 4 2 3 3 2 5 2 3" xfId="12692" xr:uid="{ED5F996F-E156-4A8A-962E-B4FACAE7A6F3}"/>
    <cellStyle name="Normal 2 4 2 3 3 2 5 3" xfId="6336" xr:uid="{00000000-0005-0000-0000-0000F80E0000}"/>
    <cellStyle name="Normal 2 4 2 3 3 2 5 3 2" xfId="14765" xr:uid="{CAAC7A6A-F2C6-4F94-99AD-63BDE5C3993F}"/>
    <cellStyle name="Normal 2 4 2 3 3 2 5 4" xfId="10547" xr:uid="{9C1D968E-D5CF-4866-AAAC-6650DEC94542}"/>
    <cellStyle name="Normal 2 4 2 3 3 2 6" xfId="2464" xr:uid="{00000000-0005-0000-0000-0000F90E0000}"/>
    <cellStyle name="Normal 2 4 2 3 3 2 6 2" xfId="6749" xr:uid="{00000000-0005-0000-0000-0000FA0E0000}"/>
    <cellStyle name="Normal 2 4 2 3 3 2 6 2 2" xfId="15178" xr:uid="{D34789E6-D099-45E5-BB4D-D389D3F415DA}"/>
    <cellStyle name="Normal 2 4 2 3 3 2 6 3" xfId="10960" xr:uid="{006B5A8A-12B7-4981-AF36-56D03E9C7309}"/>
    <cellStyle name="Normal 2 4 2 3 3 2 7" xfId="4683" xr:uid="{00000000-0005-0000-0000-0000FB0E0000}"/>
    <cellStyle name="Normal 2 4 2 3 3 2 7 2" xfId="13112" xr:uid="{7FD8100A-4689-4C46-B040-A790CB671361}"/>
    <cellStyle name="Normal 2 4 2 3 3 2 8" xfId="8894" xr:uid="{61B9A185-5FFE-409C-AA71-39FCD06A2341}"/>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C1561A5A-7B9B-40D9-8CED-0D3D952CA88B}"/>
    <cellStyle name="Normal 2 4 2 3 3 3 2 3" xfId="11452" xr:uid="{FE3515AA-31D1-489F-9C7D-BDED9228444A}"/>
    <cellStyle name="Normal 2 4 2 3 3 3 3" xfId="5096" xr:uid="{00000000-0005-0000-0000-0000FF0E0000}"/>
    <cellStyle name="Normal 2 4 2 3 3 3 3 2" xfId="13525" xr:uid="{B019E229-76A2-4C44-BDDA-F7821C417B6A}"/>
    <cellStyle name="Normal 2 4 2 3 3 3 4" xfId="9307" xr:uid="{1BA553CF-BEDA-4079-B4D6-4E825CD02389}"/>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E6FC1D00-F035-486A-BCDB-123806170976}"/>
    <cellStyle name="Normal 2 4 2 3 3 4 2 3" xfId="11865" xr:uid="{A77B0370-9499-4FF1-9296-56B9E56895A0}"/>
    <cellStyle name="Normal 2 4 2 3 3 4 3" xfId="5509" xr:uid="{00000000-0005-0000-0000-0000030F0000}"/>
    <cellStyle name="Normal 2 4 2 3 3 4 3 2" xfId="13938" xr:uid="{DB95447A-6A36-4871-BA6A-B6919F54584B}"/>
    <cellStyle name="Normal 2 4 2 3 3 4 4" xfId="9720" xr:uid="{4EB6C534-E980-4158-94B3-6955EBD9E99C}"/>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A3142F74-D5D7-4671-B175-3F2BCA4B9B15}"/>
    <cellStyle name="Normal 2 4 2 3 3 5 2 3" xfId="12278" xr:uid="{F1622A4D-F418-4127-9999-3F2CC61A563D}"/>
    <cellStyle name="Normal 2 4 2 3 3 5 3" xfId="5922" xr:uid="{00000000-0005-0000-0000-0000070F0000}"/>
    <cellStyle name="Normal 2 4 2 3 3 5 3 2" xfId="14351" xr:uid="{613EB7F9-58F2-4515-AD2D-E1C4A3C72045}"/>
    <cellStyle name="Normal 2 4 2 3 3 5 4" xfId="10133" xr:uid="{BB2C470A-BC61-473A-B05F-2B3B79DDE972}"/>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B7476C4A-B6BE-4BA1-B133-CD614BD885BB}"/>
    <cellStyle name="Normal 2 4 2 3 3 6 2 3" xfId="12691" xr:uid="{3C1BD421-85D0-484C-9771-131CE8B2D828}"/>
    <cellStyle name="Normal 2 4 2 3 3 6 3" xfId="6335" xr:uid="{00000000-0005-0000-0000-00000B0F0000}"/>
    <cellStyle name="Normal 2 4 2 3 3 6 3 2" xfId="14764" xr:uid="{E6D4FF23-31CB-4C83-AEA9-54C4E204E9D4}"/>
    <cellStyle name="Normal 2 4 2 3 3 6 4" xfId="10546" xr:uid="{756C6513-7143-4FBB-AC1F-F0067578BB4B}"/>
    <cellStyle name="Normal 2 4 2 3 3 7" xfId="2463" xr:uid="{00000000-0005-0000-0000-00000C0F0000}"/>
    <cellStyle name="Normal 2 4 2 3 3 7 2" xfId="6748" xr:uid="{00000000-0005-0000-0000-00000D0F0000}"/>
    <cellStyle name="Normal 2 4 2 3 3 7 2 2" xfId="15177" xr:uid="{E7FEB3E1-5105-4774-BC74-07C57DCC67C3}"/>
    <cellStyle name="Normal 2 4 2 3 3 7 3" xfId="10959" xr:uid="{931CBB15-EE71-4802-9BDE-8B5EBCCE25BC}"/>
    <cellStyle name="Normal 2 4 2 3 3 8" xfId="4682" xr:uid="{00000000-0005-0000-0000-00000E0F0000}"/>
    <cellStyle name="Normal 2 4 2 3 3 8 2" xfId="13111" xr:uid="{9EE6EF7D-95F0-4A90-9209-93E370EF5751}"/>
    <cellStyle name="Normal 2 4 2 3 3 9" xfId="8893" xr:uid="{FCADF799-3562-4592-AB64-00A66C776D65}"/>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0E8E78AE-E50F-4ADC-83D5-6D3CF65F929B}"/>
    <cellStyle name="Normal 2 4 2 3 4 2 2 3" xfId="11454" xr:uid="{1E3F24C2-4689-4AB6-9EFE-7AB9F4079619}"/>
    <cellStyle name="Normal 2 4 2 3 4 2 3" xfId="5098" xr:uid="{00000000-0005-0000-0000-0000130F0000}"/>
    <cellStyle name="Normal 2 4 2 3 4 2 3 2" xfId="13527" xr:uid="{295E7E32-6511-4EBA-AA57-B0E0A53CE28B}"/>
    <cellStyle name="Normal 2 4 2 3 4 2 4" xfId="9309" xr:uid="{C357D1B9-67C3-4B87-9093-0A68B26416BF}"/>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CF0C182E-EAF3-4E2E-9640-2C062084E8C2}"/>
    <cellStyle name="Normal 2 4 2 3 4 3 2 3" xfId="11867" xr:uid="{12F73062-220D-4269-8068-DEE8FFACB520}"/>
    <cellStyle name="Normal 2 4 2 3 4 3 3" xfId="5511" xr:uid="{00000000-0005-0000-0000-0000170F0000}"/>
    <cellStyle name="Normal 2 4 2 3 4 3 3 2" xfId="13940" xr:uid="{209E2690-EB60-483F-89EB-D8FB69C448FE}"/>
    <cellStyle name="Normal 2 4 2 3 4 3 4" xfId="9722" xr:uid="{CB5DEFAB-A9F9-4C7E-AA80-A6B5FB8A5D2A}"/>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F10CF532-8266-426F-88C9-8C43A659DD70}"/>
    <cellStyle name="Normal 2 4 2 3 4 4 2 3" xfId="12280" xr:uid="{A4C400DB-1422-4DC4-84DC-5C1C586463CE}"/>
    <cellStyle name="Normal 2 4 2 3 4 4 3" xfId="5924" xr:uid="{00000000-0005-0000-0000-00001B0F0000}"/>
    <cellStyle name="Normal 2 4 2 3 4 4 3 2" xfId="14353" xr:uid="{6655BFB2-8544-407B-9408-1CA612656B54}"/>
    <cellStyle name="Normal 2 4 2 3 4 4 4" xfId="10135" xr:uid="{9B35CB71-EE81-41C1-AFE0-8A2A8F891761}"/>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E367C95D-012C-4748-83EC-A2787CF3F9D7}"/>
    <cellStyle name="Normal 2 4 2 3 4 5 2 3" xfId="12693" xr:uid="{4DADF41D-B113-461F-9ACA-EED21D01CD59}"/>
    <cellStyle name="Normal 2 4 2 3 4 5 3" xfId="6337" xr:uid="{00000000-0005-0000-0000-00001F0F0000}"/>
    <cellStyle name="Normal 2 4 2 3 4 5 3 2" xfId="14766" xr:uid="{E227B4B8-EE23-4011-B5CC-EDD125929E77}"/>
    <cellStyle name="Normal 2 4 2 3 4 5 4" xfId="10548" xr:uid="{3EBA1E0C-BE33-4694-ACC2-C88C774AC21E}"/>
    <cellStyle name="Normal 2 4 2 3 4 6" xfId="2465" xr:uid="{00000000-0005-0000-0000-0000200F0000}"/>
    <cellStyle name="Normal 2 4 2 3 4 6 2" xfId="6750" xr:uid="{00000000-0005-0000-0000-0000210F0000}"/>
    <cellStyle name="Normal 2 4 2 3 4 6 2 2" xfId="15179" xr:uid="{2B2C15BC-FF4A-4D97-86CA-CA107D7E5EE3}"/>
    <cellStyle name="Normal 2 4 2 3 4 6 3" xfId="10961" xr:uid="{6ABCAB47-C7BD-4948-B6CB-3428246690D6}"/>
    <cellStyle name="Normal 2 4 2 3 4 7" xfId="4684" xr:uid="{00000000-0005-0000-0000-0000220F0000}"/>
    <cellStyle name="Normal 2 4 2 3 4 7 2" xfId="13113" xr:uid="{BC9B221B-2C03-4DCB-96C9-1A31B07E54AE}"/>
    <cellStyle name="Normal 2 4 2 3 4 8" xfId="8895" xr:uid="{6C140F22-AC7A-4D7D-BAED-99C59409618C}"/>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6A5A7309-94E3-4083-9E64-2854EF45A635}"/>
    <cellStyle name="Normal 2 4 2 3 5 2 3" xfId="11447" xr:uid="{868024DB-15D9-4D04-B30F-54C389E51FDE}"/>
    <cellStyle name="Normal 2 4 2 3 5 3" xfId="5091" xr:uid="{00000000-0005-0000-0000-0000260F0000}"/>
    <cellStyle name="Normal 2 4 2 3 5 3 2" xfId="13520" xr:uid="{C9F42ADC-5783-45DA-8014-DB575AB99C57}"/>
    <cellStyle name="Normal 2 4 2 3 5 4" xfId="9302" xr:uid="{215577BC-50CD-40A3-9D64-988B1EB2B641}"/>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DE679E2C-ADB4-43D8-9F5A-114574CDE9BB}"/>
    <cellStyle name="Normal 2 4 2 3 6 2 3" xfId="11860" xr:uid="{831C79A0-A6EF-4651-A856-4A823BEC0689}"/>
    <cellStyle name="Normal 2 4 2 3 6 3" xfId="5504" xr:uid="{00000000-0005-0000-0000-00002A0F0000}"/>
    <cellStyle name="Normal 2 4 2 3 6 3 2" xfId="13933" xr:uid="{5658C4E9-CA32-453A-9AB5-2A207F51DB7D}"/>
    <cellStyle name="Normal 2 4 2 3 6 4" xfId="9715" xr:uid="{6B6A77FC-B003-4F1C-BD9F-E0358C4A59BC}"/>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945AADAE-0E18-488E-83F7-47A12EAD6604}"/>
    <cellStyle name="Normal 2 4 2 3 7 2 3" xfId="12273" xr:uid="{5C8C189A-E595-44A5-B16E-E8E5E44BF50C}"/>
    <cellStyle name="Normal 2 4 2 3 7 3" xfId="5917" xr:uid="{00000000-0005-0000-0000-00002E0F0000}"/>
    <cellStyle name="Normal 2 4 2 3 7 3 2" xfId="14346" xr:uid="{70CCBF2A-8345-4814-AF22-95A629E3E3C6}"/>
    <cellStyle name="Normal 2 4 2 3 7 4" xfId="10128" xr:uid="{AAA62277-7BBB-4124-91AB-E1D16F210BDB}"/>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46DE8F08-5FB7-46B6-B22F-74D98591D3FD}"/>
    <cellStyle name="Normal 2 4 2 3 8 2 3" xfId="12686" xr:uid="{5970FE23-640C-4921-BF7B-499CDCD15A28}"/>
    <cellStyle name="Normal 2 4 2 3 8 3" xfId="6330" xr:uid="{00000000-0005-0000-0000-0000320F0000}"/>
    <cellStyle name="Normal 2 4 2 3 8 3 2" xfId="14759" xr:uid="{8FD1AC0A-379A-4976-8B95-A9698B737348}"/>
    <cellStyle name="Normal 2 4 2 3 8 4" xfId="10541" xr:uid="{E40CD2AC-DE00-4812-8976-219395566FB8}"/>
    <cellStyle name="Normal 2 4 2 3 9" xfId="2458" xr:uid="{00000000-0005-0000-0000-0000330F0000}"/>
    <cellStyle name="Normal 2 4 2 3 9 2" xfId="6743" xr:uid="{00000000-0005-0000-0000-0000340F0000}"/>
    <cellStyle name="Normal 2 4 2 3 9 2 2" xfId="15172" xr:uid="{30E0201B-83AB-4AEB-BBC2-C91D321F38F3}"/>
    <cellStyle name="Normal 2 4 2 3 9 3" xfId="10954" xr:uid="{C344DF9D-CCAA-4430-87DD-6AEDBA886DC4}"/>
    <cellStyle name="Normal 2 4 2 4" xfId="289" xr:uid="{00000000-0005-0000-0000-0000350F0000}"/>
    <cellStyle name="Normal 2 4 2 4 10" xfId="8896" xr:uid="{EC767549-B53E-45AB-B131-59AED1097B39}"/>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D2BB0EA1-D5A2-45A6-BAC3-620AC1B8D683}"/>
    <cellStyle name="Normal 2 4 2 4 2 2 2 2 3" xfId="11457" xr:uid="{BA905E4B-FE01-4E03-A3A7-DE4782CDEA77}"/>
    <cellStyle name="Normal 2 4 2 4 2 2 2 3" xfId="5101" xr:uid="{00000000-0005-0000-0000-00003B0F0000}"/>
    <cellStyle name="Normal 2 4 2 4 2 2 2 3 2" xfId="13530" xr:uid="{4C710158-7B40-42BB-9FA7-92A5067515F2}"/>
    <cellStyle name="Normal 2 4 2 4 2 2 2 4" xfId="9312" xr:uid="{8061167A-ED76-49E3-8CC1-E16FEE248C91}"/>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5BFB4962-AE2C-4F09-9B41-A6317C8E36D3}"/>
    <cellStyle name="Normal 2 4 2 4 2 2 3 2 3" xfId="11870" xr:uid="{6DCC1EBD-36F6-4ADA-B09F-F900EE0F2C53}"/>
    <cellStyle name="Normal 2 4 2 4 2 2 3 3" xfId="5514" xr:uid="{00000000-0005-0000-0000-00003F0F0000}"/>
    <cellStyle name="Normal 2 4 2 4 2 2 3 3 2" xfId="13943" xr:uid="{BA443945-AD3B-41AB-8E8B-E752AF37E762}"/>
    <cellStyle name="Normal 2 4 2 4 2 2 3 4" xfId="9725" xr:uid="{784C266C-E34D-40F7-AC1C-273B44F986CD}"/>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6DA4670B-B8EF-48FD-B122-B5A829CDB163}"/>
    <cellStyle name="Normal 2 4 2 4 2 2 4 2 3" xfId="12283" xr:uid="{EEB8F51A-9723-4223-A9E7-13BE2FD5ED19}"/>
    <cellStyle name="Normal 2 4 2 4 2 2 4 3" xfId="5927" xr:uid="{00000000-0005-0000-0000-0000430F0000}"/>
    <cellStyle name="Normal 2 4 2 4 2 2 4 3 2" xfId="14356" xr:uid="{3625E609-2D35-431C-A065-5B925038615C}"/>
    <cellStyle name="Normal 2 4 2 4 2 2 4 4" xfId="10138" xr:uid="{BB580932-3BFB-4946-8350-B1BE0386A1D7}"/>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1D204D1A-FA14-4198-B6A5-94633B3DC2E3}"/>
    <cellStyle name="Normal 2 4 2 4 2 2 5 2 3" xfId="12696" xr:uid="{4AD2B9E1-766C-459C-ACC9-01F1D356F592}"/>
    <cellStyle name="Normal 2 4 2 4 2 2 5 3" xfId="6340" xr:uid="{00000000-0005-0000-0000-0000470F0000}"/>
    <cellStyle name="Normal 2 4 2 4 2 2 5 3 2" xfId="14769" xr:uid="{7F856FFD-3623-4654-90EB-BBDEB408822D}"/>
    <cellStyle name="Normal 2 4 2 4 2 2 5 4" xfId="10551" xr:uid="{B95DCB87-915C-4D92-9DC9-66716D6CF8C9}"/>
    <cellStyle name="Normal 2 4 2 4 2 2 6" xfId="2468" xr:uid="{00000000-0005-0000-0000-0000480F0000}"/>
    <cellStyle name="Normal 2 4 2 4 2 2 6 2" xfId="6753" xr:uid="{00000000-0005-0000-0000-0000490F0000}"/>
    <cellStyle name="Normal 2 4 2 4 2 2 6 2 2" xfId="15182" xr:uid="{A845A81F-5412-4B8F-959C-59A41818964B}"/>
    <cellStyle name="Normal 2 4 2 4 2 2 6 3" xfId="10964" xr:uid="{672A7B2A-2572-4985-86C3-03126EADA5E3}"/>
    <cellStyle name="Normal 2 4 2 4 2 2 7" xfId="4687" xr:uid="{00000000-0005-0000-0000-00004A0F0000}"/>
    <cellStyle name="Normal 2 4 2 4 2 2 7 2" xfId="13116" xr:uid="{15F1BA3C-E362-4685-809F-4D777CC6D6CF}"/>
    <cellStyle name="Normal 2 4 2 4 2 2 8" xfId="8898" xr:uid="{67EBD6DE-F07E-4DBF-AA3A-F3B579C73602}"/>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8C56A346-9FA9-4CBA-B77D-A36FFDF2810C}"/>
    <cellStyle name="Normal 2 4 2 4 2 3 2 3" xfId="11456" xr:uid="{FDAD8CE6-2059-476F-8B9A-35D9BF2299FF}"/>
    <cellStyle name="Normal 2 4 2 4 2 3 3" xfId="5100" xr:uid="{00000000-0005-0000-0000-00004E0F0000}"/>
    <cellStyle name="Normal 2 4 2 4 2 3 3 2" xfId="13529" xr:uid="{72CDDDB1-878E-4679-83BF-A003696B5537}"/>
    <cellStyle name="Normal 2 4 2 4 2 3 4" xfId="9311" xr:uid="{756BA75C-86AD-4902-B61E-E766F7428A69}"/>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6F1B1B4C-7CF5-4B26-9729-3B70658AA1FC}"/>
    <cellStyle name="Normal 2 4 2 4 2 4 2 3" xfId="11869" xr:uid="{1C5E5481-FB8D-49BA-BC31-78186FEB1448}"/>
    <cellStyle name="Normal 2 4 2 4 2 4 3" xfId="5513" xr:uid="{00000000-0005-0000-0000-0000520F0000}"/>
    <cellStyle name="Normal 2 4 2 4 2 4 3 2" xfId="13942" xr:uid="{D8032154-B4A1-4F9A-88CA-EBB20AC5F27B}"/>
    <cellStyle name="Normal 2 4 2 4 2 4 4" xfId="9724" xr:uid="{B2683D69-5C18-466E-BCF1-00A9330C88FE}"/>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11916F3F-86B0-41A7-BBDB-9532A6215CDF}"/>
    <cellStyle name="Normal 2 4 2 4 2 5 2 3" xfId="12282" xr:uid="{109AC094-5A63-489E-8982-5D3874B1962D}"/>
    <cellStyle name="Normal 2 4 2 4 2 5 3" xfId="5926" xr:uid="{00000000-0005-0000-0000-0000560F0000}"/>
    <cellStyle name="Normal 2 4 2 4 2 5 3 2" xfId="14355" xr:uid="{193FB7F7-FBC9-4A32-B2C3-F908D2DF77F4}"/>
    <cellStyle name="Normal 2 4 2 4 2 5 4" xfId="10137" xr:uid="{BF7348A5-BA3F-47B7-925C-8B8F4D7162D9}"/>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70665EEF-24ED-45C6-A055-6B54CEC06843}"/>
    <cellStyle name="Normal 2 4 2 4 2 6 2 3" xfId="12695" xr:uid="{69CECFDF-D4B2-4CF9-8CA9-2D1814A821F8}"/>
    <cellStyle name="Normal 2 4 2 4 2 6 3" xfId="6339" xr:uid="{00000000-0005-0000-0000-00005A0F0000}"/>
    <cellStyle name="Normal 2 4 2 4 2 6 3 2" xfId="14768" xr:uid="{038E51CF-76C2-43BD-959D-1DFED929A209}"/>
    <cellStyle name="Normal 2 4 2 4 2 6 4" xfId="10550" xr:uid="{C51A2768-3D13-4D93-ACF4-25C008F29812}"/>
    <cellStyle name="Normal 2 4 2 4 2 7" xfId="2467" xr:uid="{00000000-0005-0000-0000-00005B0F0000}"/>
    <cellStyle name="Normal 2 4 2 4 2 7 2" xfId="6752" xr:uid="{00000000-0005-0000-0000-00005C0F0000}"/>
    <cellStyle name="Normal 2 4 2 4 2 7 2 2" xfId="15181" xr:uid="{F9BF36A4-30A2-405B-8507-D7E2726F5286}"/>
    <cellStyle name="Normal 2 4 2 4 2 7 3" xfId="10963" xr:uid="{29BF1380-E23F-4E82-9165-4780834AE891}"/>
    <cellStyle name="Normal 2 4 2 4 2 8" xfId="4686" xr:uid="{00000000-0005-0000-0000-00005D0F0000}"/>
    <cellStyle name="Normal 2 4 2 4 2 8 2" xfId="13115" xr:uid="{BFF06CB3-3C8B-4CEC-A3EE-ED0B1DC9637E}"/>
    <cellStyle name="Normal 2 4 2 4 2 9" xfId="8897" xr:uid="{EFF5C731-888E-4A71-8A57-FF668798E35A}"/>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D47B4AA2-8663-49FF-9A61-DDC1EB320EA9}"/>
    <cellStyle name="Normal 2 4 2 4 3 2 2 3" xfId="11458" xr:uid="{D95138FC-7C0C-4654-AD3E-7EA615D69BD0}"/>
    <cellStyle name="Normal 2 4 2 4 3 2 3" xfId="5102" xr:uid="{00000000-0005-0000-0000-0000620F0000}"/>
    <cellStyle name="Normal 2 4 2 4 3 2 3 2" xfId="13531" xr:uid="{ED25ADD2-908F-4737-9B13-BD862B3ACA66}"/>
    <cellStyle name="Normal 2 4 2 4 3 2 4" xfId="9313" xr:uid="{47511F47-855F-4E07-976A-18D57EEFA29D}"/>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6941231A-EF99-4CEE-913E-3B3A9EAA1099}"/>
    <cellStyle name="Normal 2 4 2 4 3 3 2 3" xfId="11871" xr:uid="{2C30AA47-DFC2-43D6-AD50-DF2D505D784A}"/>
    <cellStyle name="Normal 2 4 2 4 3 3 3" xfId="5515" xr:uid="{00000000-0005-0000-0000-0000660F0000}"/>
    <cellStyle name="Normal 2 4 2 4 3 3 3 2" xfId="13944" xr:uid="{7D723AF4-BB4C-4C10-B6A4-9EB7D5EFE731}"/>
    <cellStyle name="Normal 2 4 2 4 3 3 4" xfId="9726" xr:uid="{12D42645-FBEB-461C-9C3E-5BED21D70FD7}"/>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E4006685-B7A7-4AF2-A607-6FE5788FACAF}"/>
    <cellStyle name="Normal 2 4 2 4 3 4 2 3" xfId="12284" xr:uid="{FF222957-AAE2-477F-B1DF-5E76EEFFBF45}"/>
    <cellStyle name="Normal 2 4 2 4 3 4 3" xfId="5928" xr:uid="{00000000-0005-0000-0000-00006A0F0000}"/>
    <cellStyle name="Normal 2 4 2 4 3 4 3 2" xfId="14357" xr:uid="{F672CB49-809F-4052-B793-513A63747105}"/>
    <cellStyle name="Normal 2 4 2 4 3 4 4" xfId="10139" xr:uid="{F3620ADC-45B1-4116-A255-83BA7D2AF082}"/>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87B97B87-7215-4799-B80A-044FD9640F21}"/>
    <cellStyle name="Normal 2 4 2 4 3 5 2 3" xfId="12697" xr:uid="{1B1335B6-3C84-4ABD-8A03-36B57FB57584}"/>
    <cellStyle name="Normal 2 4 2 4 3 5 3" xfId="6341" xr:uid="{00000000-0005-0000-0000-00006E0F0000}"/>
    <cellStyle name="Normal 2 4 2 4 3 5 3 2" xfId="14770" xr:uid="{F92295E5-80D5-4F09-8E45-92FAAAB07839}"/>
    <cellStyle name="Normal 2 4 2 4 3 5 4" xfId="10552" xr:uid="{69E79022-D0D5-471E-8B72-363809328AC6}"/>
    <cellStyle name="Normal 2 4 2 4 3 6" xfId="2469" xr:uid="{00000000-0005-0000-0000-00006F0F0000}"/>
    <cellStyle name="Normal 2 4 2 4 3 6 2" xfId="6754" xr:uid="{00000000-0005-0000-0000-0000700F0000}"/>
    <cellStyle name="Normal 2 4 2 4 3 6 2 2" xfId="15183" xr:uid="{D4C3DD08-4522-4935-90F7-04121DE65172}"/>
    <cellStyle name="Normal 2 4 2 4 3 6 3" xfId="10965" xr:uid="{029547D6-7FC2-4E6D-887D-CC6AA2A5985D}"/>
    <cellStyle name="Normal 2 4 2 4 3 7" xfId="4688" xr:uid="{00000000-0005-0000-0000-0000710F0000}"/>
    <cellStyle name="Normal 2 4 2 4 3 7 2" xfId="13117" xr:uid="{C5510FA2-EA48-4CA7-8853-10FD7BA20079}"/>
    <cellStyle name="Normal 2 4 2 4 3 8" xfId="8899" xr:uid="{6D1533F0-174A-4689-BB8B-BBD7137890C5}"/>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9A487B4B-FCAB-400C-87D9-27F8459312C2}"/>
    <cellStyle name="Normal 2 4 2 4 4 2 3" xfId="11455" xr:uid="{57C7DB24-53E1-41C5-8459-089E315F113D}"/>
    <cellStyle name="Normal 2 4 2 4 4 3" xfId="5099" xr:uid="{00000000-0005-0000-0000-0000750F0000}"/>
    <cellStyle name="Normal 2 4 2 4 4 3 2" xfId="13528" xr:uid="{083644EE-3D89-4AC9-AC46-550891CB4230}"/>
    <cellStyle name="Normal 2 4 2 4 4 4" xfId="9310" xr:uid="{B4DA44D1-1F5C-4DD2-92F4-4314F7A0708A}"/>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0A8E51B5-B146-4AFC-A0F8-813AC6B47F2C}"/>
    <cellStyle name="Normal 2 4 2 4 5 2 3" xfId="11868" xr:uid="{029AF7F4-820E-4050-9F76-A54BA4689AF3}"/>
    <cellStyle name="Normal 2 4 2 4 5 3" xfId="5512" xr:uid="{00000000-0005-0000-0000-0000790F0000}"/>
    <cellStyle name="Normal 2 4 2 4 5 3 2" xfId="13941" xr:uid="{7925FCF2-D6F3-430D-89CE-4627D56EB76D}"/>
    <cellStyle name="Normal 2 4 2 4 5 4" xfId="9723" xr:uid="{33D8D88B-4F04-4F94-8C3D-7D2225F37B53}"/>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B7192AFA-27DD-4B74-90BD-EC77840E7A2B}"/>
    <cellStyle name="Normal 2 4 2 4 6 2 3" xfId="12281" xr:uid="{787DFCFA-1F56-41A6-954C-236E4B7F1B75}"/>
    <cellStyle name="Normal 2 4 2 4 6 3" xfId="5925" xr:uid="{00000000-0005-0000-0000-00007D0F0000}"/>
    <cellStyle name="Normal 2 4 2 4 6 3 2" xfId="14354" xr:uid="{D562B50F-9B29-4306-A9B4-862A455812A9}"/>
    <cellStyle name="Normal 2 4 2 4 6 4" xfId="10136" xr:uid="{550EDEF7-47D9-44A8-ABF7-67842092ECD6}"/>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E95A819E-F43B-4CCB-9F8C-C454A3E73040}"/>
    <cellStyle name="Normal 2 4 2 4 7 2 3" xfId="12694" xr:uid="{2501A01A-F693-40D6-B7C9-5C07CE2161F5}"/>
    <cellStyle name="Normal 2 4 2 4 7 3" xfId="6338" xr:uid="{00000000-0005-0000-0000-0000810F0000}"/>
    <cellStyle name="Normal 2 4 2 4 7 3 2" xfId="14767" xr:uid="{239C3E71-093E-4FF6-AB35-D0313E301B63}"/>
    <cellStyle name="Normal 2 4 2 4 7 4" xfId="10549" xr:uid="{6B2CCFC5-B1BD-48B9-B893-6D6014BCF147}"/>
    <cellStyle name="Normal 2 4 2 4 8" xfId="2466" xr:uid="{00000000-0005-0000-0000-0000820F0000}"/>
    <cellStyle name="Normal 2 4 2 4 8 2" xfId="6751" xr:uid="{00000000-0005-0000-0000-0000830F0000}"/>
    <cellStyle name="Normal 2 4 2 4 8 2 2" xfId="15180" xr:uid="{4DCA148D-E624-46B6-8FA1-46A3ACF3DD8C}"/>
    <cellStyle name="Normal 2 4 2 4 8 3" xfId="10962" xr:uid="{08E71DA5-F1F1-46AF-A494-90DA86C34BCB}"/>
    <cellStyle name="Normal 2 4 2 4 9" xfId="4685" xr:uid="{00000000-0005-0000-0000-0000840F0000}"/>
    <cellStyle name="Normal 2 4 2 4 9 2" xfId="13114" xr:uid="{3D4DD619-C110-432B-9124-ABBF47A4B8B2}"/>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D855A18B-6408-409B-94CF-A6C78277121D}"/>
    <cellStyle name="Normal 2 4 2 5 2 2 2 3" xfId="11460" xr:uid="{E35CAEEC-0974-499F-B1C6-6F27A47D89E6}"/>
    <cellStyle name="Normal 2 4 2 5 2 2 3" xfId="5104" xr:uid="{00000000-0005-0000-0000-00008A0F0000}"/>
    <cellStyle name="Normal 2 4 2 5 2 2 3 2" xfId="13533" xr:uid="{F0C56F37-BC59-4AA6-8B95-1CE8963092FB}"/>
    <cellStyle name="Normal 2 4 2 5 2 2 4" xfId="9315" xr:uid="{C89F1D39-1A97-40A4-890D-344EB2B8D08E}"/>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0D3EF97C-061A-442A-B1E9-51A72AF10817}"/>
    <cellStyle name="Normal 2 4 2 5 2 3 2 3" xfId="11873" xr:uid="{D2F17D42-C509-42F6-A68C-59AC5E5FAB00}"/>
    <cellStyle name="Normal 2 4 2 5 2 3 3" xfId="5517" xr:uid="{00000000-0005-0000-0000-00008E0F0000}"/>
    <cellStyle name="Normal 2 4 2 5 2 3 3 2" xfId="13946" xr:uid="{0E5572D0-D17D-43BF-983D-3D542166A495}"/>
    <cellStyle name="Normal 2 4 2 5 2 3 4" xfId="9728" xr:uid="{12078296-74E8-4227-84BC-3C618C757B96}"/>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81A55CF5-11A5-4E73-8614-B2C161BEE0A7}"/>
    <cellStyle name="Normal 2 4 2 5 2 4 2 3" xfId="12286" xr:uid="{CD11E735-3F62-4F6D-B5A5-ED81A9DF5CA6}"/>
    <cellStyle name="Normal 2 4 2 5 2 4 3" xfId="5930" xr:uid="{00000000-0005-0000-0000-0000920F0000}"/>
    <cellStyle name="Normal 2 4 2 5 2 4 3 2" xfId="14359" xr:uid="{E74A1811-9D3C-4EB9-8E84-9922798864FA}"/>
    <cellStyle name="Normal 2 4 2 5 2 4 4" xfId="10141" xr:uid="{EE672A22-CBB3-4C93-A15C-C05E1C330354}"/>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0C11159F-D51A-47D4-839F-B49E61A45D7C}"/>
    <cellStyle name="Normal 2 4 2 5 2 5 2 3" xfId="12699" xr:uid="{C2ABCF14-D3B0-4CC0-B000-9F99886F540A}"/>
    <cellStyle name="Normal 2 4 2 5 2 5 3" xfId="6343" xr:uid="{00000000-0005-0000-0000-0000960F0000}"/>
    <cellStyle name="Normal 2 4 2 5 2 5 3 2" xfId="14772" xr:uid="{93DD22DF-3F05-45A5-9A7E-44E1B709307C}"/>
    <cellStyle name="Normal 2 4 2 5 2 5 4" xfId="10554" xr:uid="{A0760986-2524-4720-98BB-EB8AAEF4C8C6}"/>
    <cellStyle name="Normal 2 4 2 5 2 6" xfId="2471" xr:uid="{00000000-0005-0000-0000-0000970F0000}"/>
    <cellStyle name="Normal 2 4 2 5 2 6 2" xfId="6756" xr:uid="{00000000-0005-0000-0000-0000980F0000}"/>
    <cellStyle name="Normal 2 4 2 5 2 6 2 2" xfId="15185" xr:uid="{75A99C62-AD3B-457E-97C3-3511FDE98C07}"/>
    <cellStyle name="Normal 2 4 2 5 2 6 3" xfId="10967" xr:uid="{940C6B9A-0CF5-46F6-97CB-A5B097197875}"/>
    <cellStyle name="Normal 2 4 2 5 2 7" xfId="4690" xr:uid="{00000000-0005-0000-0000-0000990F0000}"/>
    <cellStyle name="Normal 2 4 2 5 2 7 2" xfId="13119" xr:uid="{7001D8BF-9632-4AE7-AC3E-E3834B5B4C5A}"/>
    <cellStyle name="Normal 2 4 2 5 2 8" xfId="8901" xr:uid="{EE5D6793-1A3C-4A1C-9650-53B6C1290C16}"/>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C5750410-1595-40D6-ABCA-1737F094B644}"/>
    <cellStyle name="Normal 2 4 2 5 3 2 3" xfId="11459" xr:uid="{A651A67E-E10C-4BDB-8E2E-4551808C1B4A}"/>
    <cellStyle name="Normal 2 4 2 5 3 3" xfId="5103" xr:uid="{00000000-0005-0000-0000-00009D0F0000}"/>
    <cellStyle name="Normal 2 4 2 5 3 3 2" xfId="13532" xr:uid="{99D75344-969A-4569-8300-3AC9139DB048}"/>
    <cellStyle name="Normal 2 4 2 5 3 4" xfId="9314" xr:uid="{8DAE029F-FD8D-4910-A416-81D3342F23E5}"/>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16F421CD-AFDC-4F4A-8574-C137EFE61A58}"/>
    <cellStyle name="Normal 2 4 2 5 4 2 3" xfId="11872" xr:uid="{623BBA4C-4419-4CEF-B9F2-D7DE38EF8960}"/>
    <cellStyle name="Normal 2 4 2 5 4 3" xfId="5516" xr:uid="{00000000-0005-0000-0000-0000A10F0000}"/>
    <cellStyle name="Normal 2 4 2 5 4 3 2" xfId="13945" xr:uid="{102809A3-7788-49E3-B4F0-5FFBC4E7A4DB}"/>
    <cellStyle name="Normal 2 4 2 5 4 4" xfId="9727" xr:uid="{95701A98-F88A-4913-8112-214F3BC6F833}"/>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707222B1-E8AA-4834-81FE-E301834DB38D}"/>
    <cellStyle name="Normal 2 4 2 5 5 2 3" xfId="12285" xr:uid="{C504D320-6A2A-40C4-B5E8-B3E001F9EB8D}"/>
    <cellStyle name="Normal 2 4 2 5 5 3" xfId="5929" xr:uid="{00000000-0005-0000-0000-0000A50F0000}"/>
    <cellStyle name="Normal 2 4 2 5 5 3 2" xfId="14358" xr:uid="{125B1F28-470A-4F4E-81AF-CBDCBFC7CB1F}"/>
    <cellStyle name="Normal 2 4 2 5 5 4" xfId="10140" xr:uid="{22802AB2-C033-41EE-B1F2-BC292DA6BE81}"/>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4E67FC5D-8902-48F1-B53B-078034408590}"/>
    <cellStyle name="Normal 2 4 2 5 6 2 3" xfId="12698" xr:uid="{DD799EC0-6EDC-4A88-B51D-BC6A2FF7DAC2}"/>
    <cellStyle name="Normal 2 4 2 5 6 3" xfId="6342" xr:uid="{00000000-0005-0000-0000-0000A90F0000}"/>
    <cellStyle name="Normal 2 4 2 5 6 3 2" xfId="14771" xr:uid="{32C4E931-6D90-4261-87A6-F59BBE2AF12E}"/>
    <cellStyle name="Normal 2 4 2 5 6 4" xfId="10553" xr:uid="{852EED61-2303-481F-9F46-05A91EF8BCE5}"/>
    <cellStyle name="Normal 2 4 2 5 7" xfId="2470" xr:uid="{00000000-0005-0000-0000-0000AA0F0000}"/>
    <cellStyle name="Normal 2 4 2 5 7 2" xfId="6755" xr:uid="{00000000-0005-0000-0000-0000AB0F0000}"/>
    <cellStyle name="Normal 2 4 2 5 7 2 2" xfId="15184" xr:uid="{E4FDD638-B131-4BBB-A40B-EF4D6C900F7C}"/>
    <cellStyle name="Normal 2 4 2 5 7 3" xfId="10966" xr:uid="{141A2D5D-33D9-4176-9B3E-0FDE5B9C0497}"/>
    <cellStyle name="Normal 2 4 2 5 8" xfId="4689" xr:uid="{00000000-0005-0000-0000-0000AC0F0000}"/>
    <cellStyle name="Normal 2 4 2 5 8 2" xfId="13118" xr:uid="{C44B7018-6011-42DB-9C21-7F9854F409A6}"/>
    <cellStyle name="Normal 2 4 2 5 9" xfId="8900" xr:uid="{08D72E7B-4CF2-4224-8299-9131C260A0AF}"/>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616E1A24-0F6D-4B03-86CF-745D635D2E0C}"/>
    <cellStyle name="Normal 2 4 2 6 2 2 3" xfId="11461" xr:uid="{7E5547B8-CD6D-4C0A-AD89-378C5EA054EE}"/>
    <cellStyle name="Normal 2 4 2 6 2 3" xfId="5105" xr:uid="{00000000-0005-0000-0000-0000B10F0000}"/>
    <cellStyle name="Normal 2 4 2 6 2 3 2" xfId="13534" xr:uid="{330483CE-8043-422C-B598-50EEDD5C77A5}"/>
    <cellStyle name="Normal 2 4 2 6 2 4" xfId="9316" xr:uid="{0371A904-4D5A-4C16-B58F-25B6BE8E61F2}"/>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FEDB5494-E748-40AB-BA1F-4BC7423A56CD}"/>
    <cellStyle name="Normal 2 4 2 6 3 2 3" xfId="11874" xr:uid="{18791B44-F2C8-4B63-A040-B690C47604D8}"/>
    <cellStyle name="Normal 2 4 2 6 3 3" xfId="5518" xr:uid="{00000000-0005-0000-0000-0000B50F0000}"/>
    <cellStyle name="Normal 2 4 2 6 3 3 2" xfId="13947" xr:uid="{696C2EC1-6611-477E-93FA-B09D278513FC}"/>
    <cellStyle name="Normal 2 4 2 6 3 4" xfId="9729" xr:uid="{88DA317D-6F63-4468-A5FC-1F4A1F29253D}"/>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D15CACC1-27D4-4A7D-973F-24235763BAFC}"/>
    <cellStyle name="Normal 2 4 2 6 4 2 3" xfId="12287" xr:uid="{9691463A-6CA7-43CC-A47F-36AC95153195}"/>
    <cellStyle name="Normal 2 4 2 6 4 3" xfId="5931" xr:uid="{00000000-0005-0000-0000-0000B90F0000}"/>
    <cellStyle name="Normal 2 4 2 6 4 3 2" xfId="14360" xr:uid="{6C4ADCE1-9243-4CB7-B1CF-C154F18F8C39}"/>
    <cellStyle name="Normal 2 4 2 6 4 4" xfId="10142" xr:uid="{2FDE18F2-F519-43AD-9359-F44044479B4E}"/>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139F0273-21F5-4336-9804-53A67E1B924C}"/>
    <cellStyle name="Normal 2 4 2 6 5 2 3" xfId="12700" xr:uid="{45F8BCD0-C2AF-4FC5-9203-2286FB47B4C9}"/>
    <cellStyle name="Normal 2 4 2 6 5 3" xfId="6344" xr:uid="{00000000-0005-0000-0000-0000BD0F0000}"/>
    <cellStyle name="Normal 2 4 2 6 5 3 2" xfId="14773" xr:uid="{BB49F6AC-DAC4-4AAF-A7A0-C491D739616D}"/>
    <cellStyle name="Normal 2 4 2 6 5 4" xfId="10555" xr:uid="{C1814C49-3866-42D6-B479-16B3BC1B198D}"/>
    <cellStyle name="Normal 2 4 2 6 6" xfId="2472" xr:uid="{00000000-0005-0000-0000-0000BE0F0000}"/>
    <cellStyle name="Normal 2 4 2 6 6 2" xfId="6757" xr:uid="{00000000-0005-0000-0000-0000BF0F0000}"/>
    <cellStyle name="Normal 2 4 2 6 6 2 2" xfId="15186" xr:uid="{2AAFD152-D9A8-4D10-8800-E7CCC1FC2206}"/>
    <cellStyle name="Normal 2 4 2 6 6 3" xfId="10968" xr:uid="{4A271D13-F05A-470E-B4AA-AC540C96F1CA}"/>
    <cellStyle name="Normal 2 4 2 6 7" xfId="4691" xr:uid="{00000000-0005-0000-0000-0000C00F0000}"/>
    <cellStyle name="Normal 2 4 2 6 7 2" xfId="13120" xr:uid="{F9FFA4D5-AA04-4CD7-96B3-0A6735630631}"/>
    <cellStyle name="Normal 2 4 2 6 8" xfId="8902" xr:uid="{4FB38490-2538-4F85-90D7-73C735362FD7}"/>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D9F2CA4A-0BED-449F-9068-F6C52F704F1D}"/>
    <cellStyle name="Normal 2 4 2 7 2 3" xfId="11446" xr:uid="{FC2D050D-3F11-4B64-A3D4-C3EE24EDF816}"/>
    <cellStyle name="Normal 2 4 2 7 3" xfId="5090" xr:uid="{00000000-0005-0000-0000-0000C40F0000}"/>
    <cellStyle name="Normal 2 4 2 7 3 2" xfId="13519" xr:uid="{CE862F1F-4BA3-4A8D-9C18-B39CAC773FF8}"/>
    <cellStyle name="Normal 2 4 2 7 4" xfId="9301" xr:uid="{695F1D0B-10DE-497A-B5BF-EF65C7BC5EDB}"/>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4E3C197E-F970-4CE6-B2A4-28C717547AFE}"/>
    <cellStyle name="Normal 2 4 2 8 2 3" xfId="11859" xr:uid="{61929EB7-00C1-4C12-A656-CC7F809D9149}"/>
    <cellStyle name="Normal 2 4 2 8 3" xfId="5503" xr:uid="{00000000-0005-0000-0000-0000C80F0000}"/>
    <cellStyle name="Normal 2 4 2 8 3 2" xfId="13932" xr:uid="{2C3BF98D-0260-456F-89C2-64CA732DCB36}"/>
    <cellStyle name="Normal 2 4 2 8 4" xfId="9714" xr:uid="{6A742979-EAC9-493F-9A80-BAB1241EF710}"/>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EC726E2D-935C-4FF8-97A3-54806723FD7E}"/>
    <cellStyle name="Normal 2 4 2 9 2 3" xfId="12272" xr:uid="{F8933D8E-D1AC-4551-BB4E-31F26E8830C9}"/>
    <cellStyle name="Normal 2 4 2 9 3" xfId="5916" xr:uid="{00000000-0005-0000-0000-0000CC0F0000}"/>
    <cellStyle name="Normal 2 4 2 9 3 2" xfId="14345" xr:uid="{F4D870B1-A943-4ADE-A4EB-3079D6168E8F}"/>
    <cellStyle name="Normal 2 4 2 9 4" xfId="10127" xr:uid="{12684D8D-5DD9-44EB-B414-7EBD22AC2FBB}"/>
    <cellStyle name="Normal 2 4 3" xfId="296" xr:uid="{00000000-0005-0000-0000-0000CD0F0000}"/>
    <cellStyle name="Normal 2 4 3 10" xfId="8903" xr:uid="{DC8B89D7-F67C-4FAA-8AE4-34F0775B13EA}"/>
    <cellStyle name="Normal 2 4 3 2" xfId="297" xr:uid="{00000000-0005-0000-0000-0000CE0F0000}"/>
    <cellStyle name="Normal 2 4 3 3" xfId="298" xr:uid="{00000000-0005-0000-0000-0000CF0F0000}"/>
    <cellStyle name="Normal 2 4 3 3 10" xfId="8904" xr:uid="{045EC076-AB61-4D85-B32E-8823DF6A87CE}"/>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7317B712-5E61-49AA-AA2E-60CABE12DE81}"/>
    <cellStyle name="Normal 2 4 3 3 2 2 2 2 3" xfId="11465" xr:uid="{BAF11C7E-AF92-459A-821D-51DA742D7DC7}"/>
    <cellStyle name="Normal 2 4 3 3 2 2 2 3" xfId="5109" xr:uid="{00000000-0005-0000-0000-0000D50F0000}"/>
    <cellStyle name="Normal 2 4 3 3 2 2 2 3 2" xfId="13538" xr:uid="{F53D9B94-0527-4F13-942C-C094D3FFFD0B}"/>
    <cellStyle name="Normal 2 4 3 3 2 2 2 4" xfId="9320" xr:uid="{2E7B9184-6DFB-4CF6-B11F-0660C2A9DD19}"/>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3AB63B43-C4CC-4575-94E6-6EE5EA15E9E9}"/>
    <cellStyle name="Normal 2 4 3 3 2 2 3 2 3" xfId="11878" xr:uid="{6A7A55B4-223A-4B42-8F1D-4037B5042382}"/>
    <cellStyle name="Normal 2 4 3 3 2 2 3 3" xfId="5522" xr:uid="{00000000-0005-0000-0000-0000D90F0000}"/>
    <cellStyle name="Normal 2 4 3 3 2 2 3 3 2" xfId="13951" xr:uid="{1918396F-4842-4E3C-9FF2-0AC156E34575}"/>
    <cellStyle name="Normal 2 4 3 3 2 2 3 4" xfId="9733" xr:uid="{3ED267AF-BEE8-4E0A-B083-FF637E26CE96}"/>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F62988D7-F7C4-4777-83BF-3F1ADA1FE4FB}"/>
    <cellStyle name="Normal 2 4 3 3 2 2 4 2 3" xfId="12291" xr:uid="{DB5F0A3E-9B0D-4472-B773-73F13B6B52B1}"/>
    <cellStyle name="Normal 2 4 3 3 2 2 4 3" xfId="5935" xr:uid="{00000000-0005-0000-0000-0000DD0F0000}"/>
    <cellStyle name="Normal 2 4 3 3 2 2 4 3 2" xfId="14364" xr:uid="{2B2D15E3-9775-4FCB-ADF5-0D849030F420}"/>
    <cellStyle name="Normal 2 4 3 3 2 2 4 4" xfId="10146" xr:uid="{28B74B22-833F-47A8-9A5A-E9C2C6637295}"/>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1E6A4C2F-D145-475D-A0C9-46DBA0F7FEB8}"/>
    <cellStyle name="Normal 2 4 3 3 2 2 5 2 3" xfId="12704" xr:uid="{CB4DC684-1844-4CEE-8ABE-087081661F5C}"/>
    <cellStyle name="Normal 2 4 3 3 2 2 5 3" xfId="6348" xr:uid="{00000000-0005-0000-0000-0000E10F0000}"/>
    <cellStyle name="Normal 2 4 3 3 2 2 5 3 2" xfId="14777" xr:uid="{3863715C-A9F1-4DBC-B450-557223139F31}"/>
    <cellStyle name="Normal 2 4 3 3 2 2 5 4" xfId="10559" xr:uid="{F95489D8-5442-4913-9073-8959EA53882D}"/>
    <cellStyle name="Normal 2 4 3 3 2 2 6" xfId="2476" xr:uid="{00000000-0005-0000-0000-0000E20F0000}"/>
    <cellStyle name="Normal 2 4 3 3 2 2 6 2" xfId="6761" xr:uid="{00000000-0005-0000-0000-0000E30F0000}"/>
    <cellStyle name="Normal 2 4 3 3 2 2 6 2 2" xfId="15190" xr:uid="{EB20B4E9-7781-4FAD-8FC2-79604B5BF063}"/>
    <cellStyle name="Normal 2 4 3 3 2 2 6 3" xfId="10972" xr:uid="{76E67B0A-229F-4DD6-81F5-73B48FAD4282}"/>
    <cellStyle name="Normal 2 4 3 3 2 2 7" xfId="4695" xr:uid="{00000000-0005-0000-0000-0000E40F0000}"/>
    <cellStyle name="Normal 2 4 3 3 2 2 7 2" xfId="13124" xr:uid="{6B4E5B03-57F2-411B-82FF-EB36CAE7BCEB}"/>
    <cellStyle name="Normal 2 4 3 3 2 2 8" xfId="8906" xr:uid="{8E25EFF8-5D4D-492C-9981-937E3D1B2B6C}"/>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32893B5B-03D6-47AE-A3A0-184510865994}"/>
    <cellStyle name="Normal 2 4 3 3 2 3 2 3" xfId="11464" xr:uid="{60826D7F-78DA-4FD1-80B1-F0D4D42C6258}"/>
    <cellStyle name="Normal 2 4 3 3 2 3 3" xfId="5108" xr:uid="{00000000-0005-0000-0000-0000E80F0000}"/>
    <cellStyle name="Normal 2 4 3 3 2 3 3 2" xfId="13537" xr:uid="{E56B0934-562A-49AB-AD3F-C90001634395}"/>
    <cellStyle name="Normal 2 4 3 3 2 3 4" xfId="9319" xr:uid="{16F45219-59A8-4680-BAC3-DBA80BC7D3C4}"/>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0327A93C-8958-4DEC-BED0-9B49C9EEC9AD}"/>
    <cellStyle name="Normal 2 4 3 3 2 4 2 3" xfId="11877" xr:uid="{B9C9834D-F349-41AC-AEF6-6FFBCB26DC99}"/>
    <cellStyle name="Normal 2 4 3 3 2 4 3" xfId="5521" xr:uid="{00000000-0005-0000-0000-0000EC0F0000}"/>
    <cellStyle name="Normal 2 4 3 3 2 4 3 2" xfId="13950" xr:uid="{5C7436A1-3412-4010-BCE2-7C6AF2900C64}"/>
    <cellStyle name="Normal 2 4 3 3 2 4 4" xfId="9732" xr:uid="{969E92A2-0812-4F81-89A0-16A136D165B3}"/>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88A5283C-9F5B-4851-A496-BCDD9828FD43}"/>
    <cellStyle name="Normal 2 4 3 3 2 5 2 3" xfId="12290" xr:uid="{2113F604-8FAD-4B19-82DC-F550E2D0F927}"/>
    <cellStyle name="Normal 2 4 3 3 2 5 3" xfId="5934" xr:uid="{00000000-0005-0000-0000-0000F00F0000}"/>
    <cellStyle name="Normal 2 4 3 3 2 5 3 2" xfId="14363" xr:uid="{85B33012-3B73-4761-AE52-4A94F48AE533}"/>
    <cellStyle name="Normal 2 4 3 3 2 5 4" xfId="10145" xr:uid="{06E1F501-B7EA-445E-9350-56192CF2D5F7}"/>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45E67265-745D-41A7-92DD-2E1921AD0340}"/>
    <cellStyle name="Normal 2 4 3 3 2 6 2 3" xfId="12703" xr:uid="{06C24A5B-8EF2-43F6-8429-1CF0D0AB4B06}"/>
    <cellStyle name="Normal 2 4 3 3 2 6 3" xfId="6347" xr:uid="{00000000-0005-0000-0000-0000F40F0000}"/>
    <cellStyle name="Normal 2 4 3 3 2 6 3 2" xfId="14776" xr:uid="{6D9864CA-9D3A-4E7B-A1AC-2C479B1014EE}"/>
    <cellStyle name="Normal 2 4 3 3 2 6 4" xfId="10558" xr:uid="{9A4692E7-1B84-44DF-9D5C-6A66F4F85006}"/>
    <cellStyle name="Normal 2 4 3 3 2 7" xfId="2475" xr:uid="{00000000-0005-0000-0000-0000F50F0000}"/>
    <cellStyle name="Normal 2 4 3 3 2 7 2" xfId="6760" xr:uid="{00000000-0005-0000-0000-0000F60F0000}"/>
    <cellStyle name="Normal 2 4 3 3 2 7 2 2" xfId="15189" xr:uid="{053BA2FE-09FB-4CE1-A83E-76193412D652}"/>
    <cellStyle name="Normal 2 4 3 3 2 7 3" xfId="10971" xr:uid="{E7A5C834-3FF0-4B56-B4B6-283CD73C7F7C}"/>
    <cellStyle name="Normal 2 4 3 3 2 8" xfId="4694" xr:uid="{00000000-0005-0000-0000-0000F70F0000}"/>
    <cellStyle name="Normal 2 4 3 3 2 8 2" xfId="13123" xr:uid="{BF9F63AE-4F20-449F-A8CD-66EB8733DB9D}"/>
    <cellStyle name="Normal 2 4 3 3 2 9" xfId="8905" xr:uid="{03A7C36A-C865-490D-AE30-B20DCBCA863E}"/>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A91596C8-F1E1-417A-ADD7-5AC413F62861}"/>
    <cellStyle name="Normal 2 4 3 3 3 2 2 3" xfId="11466" xr:uid="{A871350D-F657-46B9-9926-84C91F4BA581}"/>
    <cellStyle name="Normal 2 4 3 3 3 2 3" xfId="5110" xr:uid="{00000000-0005-0000-0000-0000FC0F0000}"/>
    <cellStyle name="Normal 2 4 3 3 3 2 3 2" xfId="13539" xr:uid="{38D9C8BC-B84A-4B23-A583-7B7AF646FE0D}"/>
    <cellStyle name="Normal 2 4 3 3 3 2 4" xfId="9321" xr:uid="{05C90272-C0A7-4BD3-A4B5-4C03113AED5E}"/>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8CFC968D-0CF9-44A5-97D8-DCB60710EC64}"/>
    <cellStyle name="Normal 2 4 3 3 3 3 2 3" xfId="11879" xr:uid="{2340D8D0-443E-4E58-90E3-3C1DB717439B}"/>
    <cellStyle name="Normal 2 4 3 3 3 3 3" xfId="5523" xr:uid="{00000000-0005-0000-0000-000000100000}"/>
    <cellStyle name="Normal 2 4 3 3 3 3 3 2" xfId="13952" xr:uid="{DE672168-7654-4475-B214-FB94D4CE4270}"/>
    <cellStyle name="Normal 2 4 3 3 3 3 4" xfId="9734" xr:uid="{7ACBE194-5277-42AD-9479-404E0014D7C5}"/>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C1B60AF8-E369-47B6-8E43-1F14B3D08589}"/>
    <cellStyle name="Normal 2 4 3 3 3 4 2 3" xfId="12292" xr:uid="{AD5A4AD0-7FA8-480C-B2D0-109D990967BD}"/>
    <cellStyle name="Normal 2 4 3 3 3 4 3" xfId="5936" xr:uid="{00000000-0005-0000-0000-000004100000}"/>
    <cellStyle name="Normal 2 4 3 3 3 4 3 2" xfId="14365" xr:uid="{61B7A166-CC37-44E9-905E-B4C4C7AC2001}"/>
    <cellStyle name="Normal 2 4 3 3 3 4 4" xfId="10147" xr:uid="{FC06FDE8-6AC7-4B54-900F-FF0694C9A605}"/>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E6E5F6DA-97F2-40BF-BBCD-BF71756DAC5D}"/>
    <cellStyle name="Normal 2 4 3 3 3 5 2 3" xfId="12705" xr:uid="{1CFAF20A-B69B-4A69-B90B-DA458C6346F1}"/>
    <cellStyle name="Normal 2 4 3 3 3 5 3" xfId="6349" xr:uid="{00000000-0005-0000-0000-000008100000}"/>
    <cellStyle name="Normal 2 4 3 3 3 5 3 2" xfId="14778" xr:uid="{48E692CD-EB8D-4865-8AF1-143B782F0BBE}"/>
    <cellStyle name="Normal 2 4 3 3 3 5 4" xfId="10560" xr:uid="{55E8C933-6BC6-4FDD-934D-44E99C91C9AB}"/>
    <cellStyle name="Normal 2 4 3 3 3 6" xfId="2477" xr:uid="{00000000-0005-0000-0000-000009100000}"/>
    <cellStyle name="Normal 2 4 3 3 3 6 2" xfId="6762" xr:uid="{00000000-0005-0000-0000-00000A100000}"/>
    <cellStyle name="Normal 2 4 3 3 3 6 2 2" xfId="15191" xr:uid="{776327F8-F1F8-4F6D-AAC9-7435802BFC17}"/>
    <cellStyle name="Normal 2 4 3 3 3 6 3" xfId="10973" xr:uid="{9D225A5A-94BC-4B5C-9174-C275A822B42B}"/>
    <cellStyle name="Normal 2 4 3 3 3 7" xfId="4696" xr:uid="{00000000-0005-0000-0000-00000B100000}"/>
    <cellStyle name="Normal 2 4 3 3 3 7 2" xfId="13125" xr:uid="{763BD175-1D12-48E6-94A8-872C42F19338}"/>
    <cellStyle name="Normal 2 4 3 3 3 8" xfId="8907" xr:uid="{484A9B5D-AE61-4802-9114-CE0DEF5B27DD}"/>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95EF57E5-CC3A-4B0E-8D10-B54292950550}"/>
    <cellStyle name="Normal 2 4 3 3 4 2 3" xfId="11463" xr:uid="{D72287C9-0CC5-4040-84E5-704798701A72}"/>
    <cellStyle name="Normal 2 4 3 3 4 3" xfId="5107" xr:uid="{00000000-0005-0000-0000-00000F100000}"/>
    <cellStyle name="Normal 2 4 3 3 4 3 2" xfId="13536" xr:uid="{47BAC7A1-FE67-4B5E-8876-39375FE6E519}"/>
    <cellStyle name="Normal 2 4 3 3 4 4" xfId="9318" xr:uid="{F4FB9A8A-CCA0-423C-9586-849BBC5E47E4}"/>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0D10178D-488C-408E-8982-CEC14E3B927A}"/>
    <cellStyle name="Normal 2 4 3 3 5 2 3" xfId="11876" xr:uid="{7EB785C3-9A69-405C-8489-1D93C5889CE3}"/>
    <cellStyle name="Normal 2 4 3 3 5 3" xfId="5520" xr:uid="{00000000-0005-0000-0000-000013100000}"/>
    <cellStyle name="Normal 2 4 3 3 5 3 2" xfId="13949" xr:uid="{F1C242A7-F27E-4989-8E0F-BDD4EA728F31}"/>
    <cellStyle name="Normal 2 4 3 3 5 4" xfId="9731" xr:uid="{E80D84A3-8305-41F3-BE90-45D9498DC3BD}"/>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1C8B7A32-909F-4F90-9534-887DDD347D24}"/>
    <cellStyle name="Normal 2 4 3 3 6 2 3" xfId="12289" xr:uid="{9612A2F8-628E-42B6-86F3-09AB4CBF4E66}"/>
    <cellStyle name="Normal 2 4 3 3 6 3" xfId="5933" xr:uid="{00000000-0005-0000-0000-000017100000}"/>
    <cellStyle name="Normal 2 4 3 3 6 3 2" xfId="14362" xr:uid="{8887EFEB-7C4D-475C-89D0-BD64A296CE93}"/>
    <cellStyle name="Normal 2 4 3 3 6 4" xfId="10144" xr:uid="{F5C24F40-E2B1-493C-8B22-736EC40386F6}"/>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BFBE2A54-C83A-4AB3-B92D-3C80466ACABF}"/>
    <cellStyle name="Normal 2 4 3 3 7 2 3" xfId="12702" xr:uid="{6D283F56-DBDE-4559-8AD1-5285E09C92C9}"/>
    <cellStyle name="Normal 2 4 3 3 7 3" xfId="6346" xr:uid="{00000000-0005-0000-0000-00001B100000}"/>
    <cellStyle name="Normal 2 4 3 3 7 3 2" xfId="14775" xr:uid="{B926B203-F376-4F18-A4C1-98C6CB9B6777}"/>
    <cellStyle name="Normal 2 4 3 3 7 4" xfId="10557" xr:uid="{CC3FDA63-A13B-4B7C-8FCC-C8EEAA4731F2}"/>
    <cellStyle name="Normal 2 4 3 3 8" xfId="2474" xr:uid="{00000000-0005-0000-0000-00001C100000}"/>
    <cellStyle name="Normal 2 4 3 3 8 2" xfId="6759" xr:uid="{00000000-0005-0000-0000-00001D100000}"/>
    <cellStyle name="Normal 2 4 3 3 8 2 2" xfId="15188" xr:uid="{49A24986-AF5F-409A-8A0B-96B46A202FB6}"/>
    <cellStyle name="Normal 2 4 3 3 8 3" xfId="10970" xr:uid="{48828C75-0D03-4516-A955-479ABB5B7B38}"/>
    <cellStyle name="Normal 2 4 3 3 9" xfId="4693" xr:uid="{00000000-0005-0000-0000-00001E100000}"/>
    <cellStyle name="Normal 2 4 3 3 9 2" xfId="13122" xr:uid="{675DDCF8-C46C-447C-85E3-B8DD81FA3352}"/>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8F1300A7-48CC-4A2A-A3D4-F806162AE151}"/>
    <cellStyle name="Normal 2 4 3 4 2 3" xfId="11462" xr:uid="{E1BBB3BB-6FE1-4192-BDC8-24E90E1C9FEF}"/>
    <cellStyle name="Normal 2 4 3 4 3" xfId="5106" xr:uid="{00000000-0005-0000-0000-000022100000}"/>
    <cellStyle name="Normal 2 4 3 4 3 2" xfId="13535" xr:uid="{2670AE2D-4C68-4B10-8DE1-3793E9FBFD45}"/>
    <cellStyle name="Normal 2 4 3 4 4" xfId="9317" xr:uid="{5C39C0C3-9424-4E20-B935-A138DFC04A65}"/>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1B54A123-F375-43E5-88A7-9CA2B1D4CDDA}"/>
    <cellStyle name="Normal 2 4 3 5 2 3" xfId="11875" xr:uid="{32E4C6BD-F2AB-43DD-ABFB-019E7207DD14}"/>
    <cellStyle name="Normal 2 4 3 5 3" xfId="5519" xr:uid="{00000000-0005-0000-0000-000026100000}"/>
    <cellStyle name="Normal 2 4 3 5 3 2" xfId="13948" xr:uid="{E46A8F6D-5707-42C5-AD6A-45644BA06722}"/>
    <cellStyle name="Normal 2 4 3 5 4" xfId="9730" xr:uid="{BA674761-9605-43BE-A6DB-33B67A2E31A2}"/>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E0260E26-25C9-4BD7-B9F7-1ECB83A4E699}"/>
    <cellStyle name="Normal 2 4 3 6 2 3" xfId="12288" xr:uid="{59EED024-3EEA-49E2-B19C-C6BFB9567C65}"/>
    <cellStyle name="Normal 2 4 3 6 3" xfId="5932" xr:uid="{00000000-0005-0000-0000-00002A100000}"/>
    <cellStyle name="Normal 2 4 3 6 3 2" xfId="14361" xr:uid="{E8719686-3808-46C1-BF44-4CB03EE48959}"/>
    <cellStyle name="Normal 2 4 3 6 4" xfId="10143" xr:uid="{5247EFCC-F0FC-4450-8DF6-ECA8F7469EA6}"/>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DB3CB65F-F612-4CB2-82C8-ABC7C0D9CD2D}"/>
    <cellStyle name="Normal 2 4 3 7 2 3" xfId="12701" xr:uid="{0CD1E39A-6265-4F8F-83C8-AC38DB54AD0D}"/>
    <cellStyle name="Normal 2 4 3 7 3" xfId="6345" xr:uid="{00000000-0005-0000-0000-00002E100000}"/>
    <cellStyle name="Normal 2 4 3 7 3 2" xfId="14774" xr:uid="{D13BE802-A0F9-4223-AB76-0C67EABF28A4}"/>
    <cellStyle name="Normal 2 4 3 7 4" xfId="10556" xr:uid="{CC2288A8-5075-45B0-9F33-AAD65B70AFAA}"/>
    <cellStyle name="Normal 2 4 3 8" xfId="2473" xr:uid="{00000000-0005-0000-0000-00002F100000}"/>
    <cellStyle name="Normal 2 4 3 8 2" xfId="6758" xr:uid="{00000000-0005-0000-0000-000030100000}"/>
    <cellStyle name="Normal 2 4 3 8 2 2" xfId="15187" xr:uid="{FDDC6C7B-818F-47F2-8DC4-36530835B93C}"/>
    <cellStyle name="Normal 2 4 3 8 3" xfId="10969" xr:uid="{6333A16F-02F8-464F-8C93-B9FF9C9AEDDB}"/>
    <cellStyle name="Normal 2 4 3 9" xfId="4692" xr:uid="{00000000-0005-0000-0000-000031100000}"/>
    <cellStyle name="Normal 2 4 3 9 2" xfId="13121" xr:uid="{D95BAB0D-9B11-4F8E-BE27-768640E36CA2}"/>
    <cellStyle name="Normal 2 4 4" xfId="302" xr:uid="{00000000-0005-0000-0000-000032100000}"/>
    <cellStyle name="Normal 2 4 5" xfId="303" xr:uid="{00000000-0005-0000-0000-000033100000}"/>
    <cellStyle name="Normal 2 4 5 10" xfId="4697" xr:uid="{00000000-0005-0000-0000-000034100000}"/>
    <cellStyle name="Normal 2 4 5 10 2" xfId="13126" xr:uid="{F7386B56-F2DC-4ABC-B326-43312661692B}"/>
    <cellStyle name="Normal 2 4 5 11" xfId="8908" xr:uid="{682A2DFF-CF25-490C-904C-3FA200F6D31C}"/>
    <cellStyle name="Normal 2 4 5 2" xfId="304" xr:uid="{00000000-0005-0000-0000-000035100000}"/>
    <cellStyle name="Normal 2 4 5 2 10" xfId="8909" xr:uid="{431B4904-B110-4AAE-B9F6-E9F292469BB2}"/>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14B54B79-4EE3-420B-B098-1DC6FCCD40DA}"/>
    <cellStyle name="Normal 2 4 5 2 2 2 2 2 3" xfId="11470" xr:uid="{233BBC27-F6AE-46D9-B8C7-EEFCA4D6867A}"/>
    <cellStyle name="Normal 2 4 5 2 2 2 2 3" xfId="5114" xr:uid="{00000000-0005-0000-0000-00003B100000}"/>
    <cellStyle name="Normal 2 4 5 2 2 2 2 3 2" xfId="13543" xr:uid="{B6FF3A73-0E96-4209-BAB7-D9943BA4DE63}"/>
    <cellStyle name="Normal 2 4 5 2 2 2 2 4" xfId="9325" xr:uid="{30ED0818-37BF-4FBE-9D1C-93B4DB6F827F}"/>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DF257A1D-0B6D-4EFC-BB02-535753903570}"/>
    <cellStyle name="Normal 2 4 5 2 2 2 3 2 3" xfId="11883" xr:uid="{D4EC53C9-4B92-49FD-B131-5A20C9A07C70}"/>
    <cellStyle name="Normal 2 4 5 2 2 2 3 3" xfId="5527" xr:uid="{00000000-0005-0000-0000-00003F100000}"/>
    <cellStyle name="Normal 2 4 5 2 2 2 3 3 2" xfId="13956" xr:uid="{BEBDDB47-F762-4EAB-AAD2-58B08B62B4F2}"/>
    <cellStyle name="Normal 2 4 5 2 2 2 3 4" xfId="9738" xr:uid="{9C4CC532-6CA6-4221-B694-7F05EC9132A1}"/>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FDFC7344-CA1D-4BC9-BFFF-BB532F58CC64}"/>
    <cellStyle name="Normal 2 4 5 2 2 2 4 2 3" xfId="12296" xr:uid="{A9D8D812-19BC-4B30-9C7C-9CFDED95969B}"/>
    <cellStyle name="Normal 2 4 5 2 2 2 4 3" xfId="5940" xr:uid="{00000000-0005-0000-0000-000043100000}"/>
    <cellStyle name="Normal 2 4 5 2 2 2 4 3 2" xfId="14369" xr:uid="{62D6494D-C55C-474F-95BF-1AF60C36C11C}"/>
    <cellStyle name="Normal 2 4 5 2 2 2 4 4" xfId="10151" xr:uid="{0DBE915E-3BEF-4F19-B34A-96CC60A6BDB4}"/>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5CFF1A64-0E49-418C-BF5F-4AC6F1D53730}"/>
    <cellStyle name="Normal 2 4 5 2 2 2 5 2 3" xfId="12709" xr:uid="{34252F1D-5FDF-4C27-8A9F-5F47D8099A78}"/>
    <cellStyle name="Normal 2 4 5 2 2 2 5 3" xfId="6353" xr:uid="{00000000-0005-0000-0000-000047100000}"/>
    <cellStyle name="Normal 2 4 5 2 2 2 5 3 2" xfId="14782" xr:uid="{8EFF795A-953D-4C8C-940A-68D2D9E7790E}"/>
    <cellStyle name="Normal 2 4 5 2 2 2 5 4" xfId="10564" xr:uid="{A4C51C83-9EC3-428F-A5F3-606481A801DA}"/>
    <cellStyle name="Normal 2 4 5 2 2 2 6" xfId="2481" xr:uid="{00000000-0005-0000-0000-000048100000}"/>
    <cellStyle name="Normal 2 4 5 2 2 2 6 2" xfId="6766" xr:uid="{00000000-0005-0000-0000-000049100000}"/>
    <cellStyle name="Normal 2 4 5 2 2 2 6 2 2" xfId="15195" xr:uid="{5F4466CE-585F-40D3-9EBD-EE2BAB5AF84B}"/>
    <cellStyle name="Normal 2 4 5 2 2 2 6 3" xfId="10977" xr:uid="{D969685F-81A4-4772-A4DB-6208ADDCA589}"/>
    <cellStyle name="Normal 2 4 5 2 2 2 7" xfId="4700" xr:uid="{00000000-0005-0000-0000-00004A100000}"/>
    <cellStyle name="Normal 2 4 5 2 2 2 7 2" xfId="13129" xr:uid="{575B02C4-C5BC-4AC7-914F-B11E0BC8C087}"/>
    <cellStyle name="Normal 2 4 5 2 2 2 8" xfId="8911" xr:uid="{32B35E80-4DB0-481D-8DC0-D7B3DFE58884}"/>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9E364A0B-A28A-4944-9201-4E6341591CC2}"/>
    <cellStyle name="Normal 2 4 5 2 2 3 2 3" xfId="11469" xr:uid="{68D2FEA0-0328-4576-A26B-9470ED863395}"/>
    <cellStyle name="Normal 2 4 5 2 2 3 3" xfId="5113" xr:uid="{00000000-0005-0000-0000-00004E100000}"/>
    <cellStyle name="Normal 2 4 5 2 2 3 3 2" xfId="13542" xr:uid="{11E618AB-941B-450D-801A-BD66E72E1F11}"/>
    <cellStyle name="Normal 2 4 5 2 2 3 4" xfId="9324" xr:uid="{2FAD7FB5-0ADC-41B7-9D95-83C26D733EA1}"/>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94C24A17-6275-4DA0-A28D-7C2DAA395F84}"/>
    <cellStyle name="Normal 2 4 5 2 2 4 2 3" xfId="11882" xr:uid="{EB871D7C-9B97-4CF8-83E8-EBC39AE73B2C}"/>
    <cellStyle name="Normal 2 4 5 2 2 4 3" xfId="5526" xr:uid="{00000000-0005-0000-0000-000052100000}"/>
    <cellStyle name="Normal 2 4 5 2 2 4 3 2" xfId="13955" xr:uid="{CF86610A-6B44-4055-BEA7-9F31D131B643}"/>
    <cellStyle name="Normal 2 4 5 2 2 4 4" xfId="9737" xr:uid="{4F456DA2-3A06-4DFE-B555-D562F18AB39B}"/>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6B8406D7-3101-4C43-8B23-DF73AF3F1A5E}"/>
    <cellStyle name="Normal 2 4 5 2 2 5 2 3" xfId="12295" xr:uid="{A5439B24-9771-4D38-AD90-0CA3A445948A}"/>
    <cellStyle name="Normal 2 4 5 2 2 5 3" xfId="5939" xr:uid="{00000000-0005-0000-0000-000056100000}"/>
    <cellStyle name="Normal 2 4 5 2 2 5 3 2" xfId="14368" xr:uid="{DB9EA709-6BDA-4FD7-ABED-F3477D0EDBD1}"/>
    <cellStyle name="Normal 2 4 5 2 2 5 4" xfId="10150" xr:uid="{6DE9EAE1-E4EA-4CA8-BFA3-AF31A77CEE61}"/>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0F832788-9B09-4245-96C2-C21DBCB586CA}"/>
    <cellStyle name="Normal 2 4 5 2 2 6 2 3" xfId="12708" xr:uid="{34B1F278-1E9E-40B7-90B2-766CD505BED5}"/>
    <cellStyle name="Normal 2 4 5 2 2 6 3" xfId="6352" xr:uid="{00000000-0005-0000-0000-00005A100000}"/>
    <cellStyle name="Normal 2 4 5 2 2 6 3 2" xfId="14781" xr:uid="{7DA31500-E1F2-4957-BF18-5B10CE43B551}"/>
    <cellStyle name="Normal 2 4 5 2 2 6 4" xfId="10563" xr:uid="{FF4F2F5E-A4C9-42E2-9014-13EBEF9BF3D2}"/>
    <cellStyle name="Normal 2 4 5 2 2 7" xfId="2480" xr:uid="{00000000-0005-0000-0000-00005B100000}"/>
    <cellStyle name="Normal 2 4 5 2 2 7 2" xfId="6765" xr:uid="{00000000-0005-0000-0000-00005C100000}"/>
    <cellStyle name="Normal 2 4 5 2 2 7 2 2" xfId="15194" xr:uid="{2DE71393-68D2-4C95-8F2E-73EBA23C0EC4}"/>
    <cellStyle name="Normal 2 4 5 2 2 7 3" xfId="10976" xr:uid="{C218EA38-53E1-4C20-A2C1-5B752DB4986B}"/>
    <cellStyle name="Normal 2 4 5 2 2 8" xfId="4699" xr:uid="{00000000-0005-0000-0000-00005D100000}"/>
    <cellStyle name="Normal 2 4 5 2 2 8 2" xfId="13128" xr:uid="{B49F05F9-A6DE-4B94-8A4A-21C88CD2B9F3}"/>
    <cellStyle name="Normal 2 4 5 2 2 9" xfId="8910" xr:uid="{78D2E8A0-0024-42AE-8687-82CB8456C78B}"/>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F67D6170-87E9-4317-B140-B2320BAD774C}"/>
    <cellStyle name="Normal 2 4 5 2 3 2 2 3" xfId="11471" xr:uid="{1F25FF9C-81F8-4F98-BD55-E161709BC165}"/>
    <cellStyle name="Normal 2 4 5 2 3 2 3" xfId="5115" xr:uid="{00000000-0005-0000-0000-000062100000}"/>
    <cellStyle name="Normal 2 4 5 2 3 2 3 2" xfId="13544" xr:uid="{26D6363F-C935-40CC-8ED2-AA664FB68EF2}"/>
    <cellStyle name="Normal 2 4 5 2 3 2 4" xfId="9326" xr:uid="{0AD2E70F-E93C-4E89-944D-47C803534A53}"/>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6BF5B1F7-77B1-48F0-8147-079EBFD8A20C}"/>
    <cellStyle name="Normal 2 4 5 2 3 3 2 3" xfId="11884" xr:uid="{A2C2206A-BD30-4351-80D7-BF59E841A965}"/>
    <cellStyle name="Normal 2 4 5 2 3 3 3" xfId="5528" xr:uid="{00000000-0005-0000-0000-000066100000}"/>
    <cellStyle name="Normal 2 4 5 2 3 3 3 2" xfId="13957" xr:uid="{7166A73D-518B-4AEF-87B1-F449FC0A3BEC}"/>
    <cellStyle name="Normal 2 4 5 2 3 3 4" xfId="9739" xr:uid="{646A030E-E58A-4942-B916-59065681AC98}"/>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53A7DE54-698A-4DFC-8929-809048DC3171}"/>
    <cellStyle name="Normal 2 4 5 2 3 4 2 3" xfId="12297" xr:uid="{0248E765-0F9C-45BE-9AA6-4F54A69B0446}"/>
    <cellStyle name="Normal 2 4 5 2 3 4 3" xfId="5941" xr:uid="{00000000-0005-0000-0000-00006A100000}"/>
    <cellStyle name="Normal 2 4 5 2 3 4 3 2" xfId="14370" xr:uid="{122E2AE9-2FA1-4EAB-BD46-FEEDFA850880}"/>
    <cellStyle name="Normal 2 4 5 2 3 4 4" xfId="10152" xr:uid="{1DDCDDF8-06FB-44E5-BDED-859A7C35A5E1}"/>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0321B0A5-9D5E-4F28-BB7C-4239D2FA0C46}"/>
    <cellStyle name="Normal 2 4 5 2 3 5 2 3" xfId="12710" xr:uid="{79E5451E-C1D7-4B5E-8B43-DCDF0837C45B}"/>
    <cellStyle name="Normal 2 4 5 2 3 5 3" xfId="6354" xr:uid="{00000000-0005-0000-0000-00006E100000}"/>
    <cellStyle name="Normal 2 4 5 2 3 5 3 2" xfId="14783" xr:uid="{DA370907-A41B-4E76-9943-D2345E9022FB}"/>
    <cellStyle name="Normal 2 4 5 2 3 5 4" xfId="10565" xr:uid="{0BF87A3D-2EAB-4B76-A5CB-2B75E084CAD6}"/>
    <cellStyle name="Normal 2 4 5 2 3 6" xfId="2482" xr:uid="{00000000-0005-0000-0000-00006F100000}"/>
    <cellStyle name="Normal 2 4 5 2 3 6 2" xfId="6767" xr:uid="{00000000-0005-0000-0000-000070100000}"/>
    <cellStyle name="Normal 2 4 5 2 3 6 2 2" xfId="15196" xr:uid="{3559F06A-0F88-437E-92D4-92330A500823}"/>
    <cellStyle name="Normal 2 4 5 2 3 6 3" xfId="10978" xr:uid="{4EF54AF5-2231-42C6-8C06-68243B287F7A}"/>
    <cellStyle name="Normal 2 4 5 2 3 7" xfId="4701" xr:uid="{00000000-0005-0000-0000-000071100000}"/>
    <cellStyle name="Normal 2 4 5 2 3 7 2" xfId="13130" xr:uid="{7E11A8D4-FA8D-4A27-B030-C0A074440FF8}"/>
    <cellStyle name="Normal 2 4 5 2 3 8" xfId="8912" xr:uid="{AD92818A-8CF4-49F5-82DB-B8F9E4ADDFE8}"/>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2926E207-90C8-472F-B1C6-B9C886DD888C}"/>
    <cellStyle name="Normal 2 4 5 2 4 2 3" xfId="11468" xr:uid="{221A85CA-5CC5-42B8-A824-28F9BB2D49DE}"/>
    <cellStyle name="Normal 2 4 5 2 4 3" xfId="5112" xr:uid="{00000000-0005-0000-0000-000075100000}"/>
    <cellStyle name="Normal 2 4 5 2 4 3 2" xfId="13541" xr:uid="{FE38831A-94F7-441A-8C3F-BB11127770D3}"/>
    <cellStyle name="Normal 2 4 5 2 4 4" xfId="9323" xr:uid="{5CB9CFF8-D1BE-4B0D-97AB-04FAD6E1F995}"/>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D2B524AB-FC78-4C54-8E8E-53525816B477}"/>
    <cellStyle name="Normal 2 4 5 2 5 2 3" xfId="11881" xr:uid="{9C5E6806-5E82-40B0-8349-1FA2934B3EE6}"/>
    <cellStyle name="Normal 2 4 5 2 5 3" xfId="5525" xr:uid="{00000000-0005-0000-0000-000079100000}"/>
    <cellStyle name="Normal 2 4 5 2 5 3 2" xfId="13954" xr:uid="{FE186FEC-2030-4E90-9950-5B3873359CFF}"/>
    <cellStyle name="Normal 2 4 5 2 5 4" xfId="9736" xr:uid="{E34BBF99-2373-4FB0-B520-20C487139B25}"/>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C215A965-D597-49C1-B623-F209B5CAFE90}"/>
    <cellStyle name="Normal 2 4 5 2 6 2 3" xfId="12294" xr:uid="{A5B976F8-44B7-4142-8B57-88046A04CE2A}"/>
    <cellStyle name="Normal 2 4 5 2 6 3" xfId="5938" xr:uid="{00000000-0005-0000-0000-00007D100000}"/>
    <cellStyle name="Normal 2 4 5 2 6 3 2" xfId="14367" xr:uid="{3CA9D7B2-1E5A-4B2B-AB24-51DDDAEF06C4}"/>
    <cellStyle name="Normal 2 4 5 2 6 4" xfId="10149" xr:uid="{0C8C76A9-A537-4CD2-83F8-B74EE44EF812}"/>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140C1B79-EEE4-4F75-B90B-7CEB49938ECB}"/>
    <cellStyle name="Normal 2 4 5 2 7 2 3" xfId="12707" xr:uid="{6753BE6B-4749-4737-A611-17E2EB0B40D8}"/>
    <cellStyle name="Normal 2 4 5 2 7 3" xfId="6351" xr:uid="{00000000-0005-0000-0000-000081100000}"/>
    <cellStyle name="Normal 2 4 5 2 7 3 2" xfId="14780" xr:uid="{6634F481-89D1-4DBA-A1E6-7EF652BED3D6}"/>
    <cellStyle name="Normal 2 4 5 2 7 4" xfId="10562" xr:uid="{DF85560C-0F37-4652-A248-B4EECFC44C4D}"/>
    <cellStyle name="Normal 2 4 5 2 8" xfId="2479" xr:uid="{00000000-0005-0000-0000-000082100000}"/>
    <cellStyle name="Normal 2 4 5 2 8 2" xfId="6764" xr:uid="{00000000-0005-0000-0000-000083100000}"/>
    <cellStyle name="Normal 2 4 5 2 8 2 2" xfId="15193" xr:uid="{CFA19058-7B72-4AB9-A125-E75DE7245670}"/>
    <cellStyle name="Normal 2 4 5 2 8 3" xfId="10975" xr:uid="{715742CC-F973-44F2-A0DF-5852A3DF5E7A}"/>
    <cellStyle name="Normal 2 4 5 2 9" xfId="4698" xr:uid="{00000000-0005-0000-0000-000084100000}"/>
    <cellStyle name="Normal 2 4 5 2 9 2" xfId="13127" xr:uid="{008BBF30-BC32-4467-9B1C-D9D28533049A}"/>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2C8CE617-D747-4BFA-997B-85ECA8ECAACC}"/>
    <cellStyle name="Normal 2 4 5 3 2 2 2 3" xfId="11473" xr:uid="{425B3CB2-534D-47B1-A809-BAB8C0456810}"/>
    <cellStyle name="Normal 2 4 5 3 2 2 3" xfId="5117" xr:uid="{00000000-0005-0000-0000-00008A100000}"/>
    <cellStyle name="Normal 2 4 5 3 2 2 3 2" xfId="13546" xr:uid="{2C23FBCC-1105-4B92-AF58-336BA6F974EF}"/>
    <cellStyle name="Normal 2 4 5 3 2 2 4" xfId="9328" xr:uid="{0539ADB0-37FD-4616-B9F8-49187D65087E}"/>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5A3FDF60-6FB8-42EA-9BD7-0A422D98E612}"/>
    <cellStyle name="Normal 2 4 5 3 2 3 2 3" xfId="11886" xr:uid="{17ACC1E1-8A62-4EAA-BDF1-639A1C7C3C05}"/>
    <cellStyle name="Normal 2 4 5 3 2 3 3" xfId="5530" xr:uid="{00000000-0005-0000-0000-00008E100000}"/>
    <cellStyle name="Normal 2 4 5 3 2 3 3 2" xfId="13959" xr:uid="{5C0459CC-9FF3-4F07-B94F-6BC941CC3095}"/>
    <cellStyle name="Normal 2 4 5 3 2 3 4" xfId="9741" xr:uid="{7B1DBC4A-7C8C-4791-AE55-84D3D736C047}"/>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30C53D25-9CD4-4792-81EE-385167C78C3E}"/>
    <cellStyle name="Normal 2 4 5 3 2 4 2 3" xfId="12299" xr:uid="{3BB3477D-DA46-4E37-A7DB-085EA6F38D29}"/>
    <cellStyle name="Normal 2 4 5 3 2 4 3" xfId="5943" xr:uid="{00000000-0005-0000-0000-000092100000}"/>
    <cellStyle name="Normal 2 4 5 3 2 4 3 2" xfId="14372" xr:uid="{2173E735-D891-45EE-A8C8-E0C00DC89908}"/>
    <cellStyle name="Normal 2 4 5 3 2 4 4" xfId="10154" xr:uid="{CC679E8D-B87C-4FD6-B41E-E97AD70E5D41}"/>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D8F301F0-0AB6-48F3-AC50-BF63BEEA512A}"/>
    <cellStyle name="Normal 2 4 5 3 2 5 2 3" xfId="12712" xr:uid="{69506E8F-F864-4224-9E80-9B25D48E0371}"/>
    <cellStyle name="Normal 2 4 5 3 2 5 3" xfId="6356" xr:uid="{00000000-0005-0000-0000-000096100000}"/>
    <cellStyle name="Normal 2 4 5 3 2 5 3 2" xfId="14785" xr:uid="{4C2C3AA3-42F3-4B6F-BF19-F4E46943B360}"/>
    <cellStyle name="Normal 2 4 5 3 2 5 4" xfId="10567" xr:uid="{564BB0E2-F0F0-4194-8CEA-786C263C957C}"/>
    <cellStyle name="Normal 2 4 5 3 2 6" xfId="2484" xr:uid="{00000000-0005-0000-0000-000097100000}"/>
    <cellStyle name="Normal 2 4 5 3 2 6 2" xfId="6769" xr:uid="{00000000-0005-0000-0000-000098100000}"/>
    <cellStyle name="Normal 2 4 5 3 2 6 2 2" xfId="15198" xr:uid="{C535460B-47AA-4CEE-A969-8EF28450E160}"/>
    <cellStyle name="Normal 2 4 5 3 2 6 3" xfId="10980" xr:uid="{AF5A3588-EF77-4D83-8EB9-6E8319177E12}"/>
    <cellStyle name="Normal 2 4 5 3 2 7" xfId="4703" xr:uid="{00000000-0005-0000-0000-000099100000}"/>
    <cellStyle name="Normal 2 4 5 3 2 7 2" xfId="13132" xr:uid="{406D9EB3-A0D3-4570-9DAF-89B668FFE605}"/>
    <cellStyle name="Normal 2 4 5 3 2 8" xfId="8914" xr:uid="{E5659F0D-9C25-46D7-9528-0157A03B59C3}"/>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0837FED9-0AD7-4304-88DE-8308EEC8C1B2}"/>
    <cellStyle name="Normal 2 4 5 3 3 2 3" xfId="11472" xr:uid="{53140E10-302B-410B-9C37-223711E0E58A}"/>
    <cellStyle name="Normal 2 4 5 3 3 3" xfId="5116" xr:uid="{00000000-0005-0000-0000-00009D100000}"/>
    <cellStyle name="Normal 2 4 5 3 3 3 2" xfId="13545" xr:uid="{C0873F51-AE55-4475-B1CF-5495C88A0CE4}"/>
    <cellStyle name="Normal 2 4 5 3 3 4" xfId="9327" xr:uid="{C855E464-A7AF-402F-91B8-66DD8E1A27FE}"/>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AAC61F2E-D81C-4D5D-80D4-074F4E8360C9}"/>
    <cellStyle name="Normal 2 4 5 3 4 2 3" xfId="11885" xr:uid="{EE87F1FB-A36E-4C43-B094-21DFF2A45108}"/>
    <cellStyle name="Normal 2 4 5 3 4 3" xfId="5529" xr:uid="{00000000-0005-0000-0000-0000A1100000}"/>
    <cellStyle name="Normal 2 4 5 3 4 3 2" xfId="13958" xr:uid="{11B6F738-A433-4831-9C8E-173DA2769782}"/>
    <cellStyle name="Normal 2 4 5 3 4 4" xfId="9740" xr:uid="{EADE5A00-B9B6-4427-8E21-DED5367E781E}"/>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4B67786E-0EAF-4596-86A4-79A02ED778C7}"/>
    <cellStyle name="Normal 2 4 5 3 5 2 3" xfId="12298" xr:uid="{B6B8535F-9B43-4CFD-B3BA-019CB3F43ED6}"/>
    <cellStyle name="Normal 2 4 5 3 5 3" xfId="5942" xr:uid="{00000000-0005-0000-0000-0000A5100000}"/>
    <cellStyle name="Normal 2 4 5 3 5 3 2" xfId="14371" xr:uid="{1EAA5A9E-921E-426A-B255-7B8791142761}"/>
    <cellStyle name="Normal 2 4 5 3 5 4" xfId="10153" xr:uid="{766B3784-AD83-4C09-9036-372FE7FCF731}"/>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3B230986-A41E-4F24-9A8D-B45E44A23B53}"/>
    <cellStyle name="Normal 2 4 5 3 6 2 3" xfId="12711" xr:uid="{1335E931-3DD6-4FA9-81FC-06B62D432760}"/>
    <cellStyle name="Normal 2 4 5 3 6 3" xfId="6355" xr:uid="{00000000-0005-0000-0000-0000A9100000}"/>
    <cellStyle name="Normal 2 4 5 3 6 3 2" xfId="14784" xr:uid="{D13BF425-2B78-44E0-9E74-00DD026EEE80}"/>
    <cellStyle name="Normal 2 4 5 3 6 4" xfId="10566" xr:uid="{30D316E3-8F9F-4993-A29C-0CDB8D0F0298}"/>
    <cellStyle name="Normal 2 4 5 3 7" xfId="2483" xr:uid="{00000000-0005-0000-0000-0000AA100000}"/>
    <cellStyle name="Normal 2 4 5 3 7 2" xfId="6768" xr:uid="{00000000-0005-0000-0000-0000AB100000}"/>
    <cellStyle name="Normal 2 4 5 3 7 2 2" xfId="15197" xr:uid="{A3805773-E196-4F06-9024-7CB6896F88D0}"/>
    <cellStyle name="Normal 2 4 5 3 7 3" xfId="10979" xr:uid="{047521BB-878F-4298-BDF8-591B5EACB093}"/>
    <cellStyle name="Normal 2 4 5 3 8" xfId="4702" xr:uid="{00000000-0005-0000-0000-0000AC100000}"/>
    <cellStyle name="Normal 2 4 5 3 8 2" xfId="13131" xr:uid="{3E0F5856-56AB-473F-95F6-AC7F5B277342}"/>
    <cellStyle name="Normal 2 4 5 3 9" xfId="8913" xr:uid="{F96AF102-0091-4E6C-BAA2-CD6809D039AE}"/>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A7C094E5-C87D-4795-BEE3-B8BF9470EC4E}"/>
    <cellStyle name="Normal 2 4 5 4 2 2 3" xfId="11474" xr:uid="{FC028867-33F0-4813-ADD4-3B5DB6B4C36B}"/>
    <cellStyle name="Normal 2 4 5 4 2 3" xfId="5118" xr:uid="{00000000-0005-0000-0000-0000B1100000}"/>
    <cellStyle name="Normal 2 4 5 4 2 3 2" xfId="13547" xr:uid="{6C68DF33-BD23-4044-8021-41C6A3875CEE}"/>
    <cellStyle name="Normal 2 4 5 4 2 4" xfId="9329" xr:uid="{9A3BD62A-57CB-44E7-9F04-309FA3FA780E}"/>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23507754-D500-47E0-BF2F-CFFBF8914174}"/>
    <cellStyle name="Normal 2 4 5 4 3 2 3" xfId="11887" xr:uid="{E8A862E4-850E-4C50-88E5-9043E322955E}"/>
    <cellStyle name="Normal 2 4 5 4 3 3" xfId="5531" xr:uid="{00000000-0005-0000-0000-0000B5100000}"/>
    <cellStyle name="Normal 2 4 5 4 3 3 2" xfId="13960" xr:uid="{0DE84118-CFE4-4490-AF8D-8FCE9BDFB68B}"/>
    <cellStyle name="Normal 2 4 5 4 3 4" xfId="9742" xr:uid="{1CE3ED55-0E14-461F-B75A-C21E708AF04F}"/>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A27147AC-6D5B-4AD8-A08C-43F4275092EA}"/>
    <cellStyle name="Normal 2 4 5 4 4 2 3" xfId="12300" xr:uid="{BE8FCF1A-B4EC-41CA-9637-5642D2855469}"/>
    <cellStyle name="Normal 2 4 5 4 4 3" xfId="5944" xr:uid="{00000000-0005-0000-0000-0000B9100000}"/>
    <cellStyle name="Normal 2 4 5 4 4 3 2" xfId="14373" xr:uid="{3D5E5A3C-8786-41EF-9C47-BA565157A87A}"/>
    <cellStyle name="Normal 2 4 5 4 4 4" xfId="10155" xr:uid="{687ACD07-9831-4CAA-8D7B-1913B8A416A4}"/>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47872972-4151-42B6-92F3-16FA701D91C7}"/>
    <cellStyle name="Normal 2 4 5 4 5 2 3" xfId="12713" xr:uid="{98956F73-055D-458B-A643-E37672AC5639}"/>
    <cellStyle name="Normal 2 4 5 4 5 3" xfId="6357" xr:uid="{00000000-0005-0000-0000-0000BD100000}"/>
    <cellStyle name="Normal 2 4 5 4 5 3 2" xfId="14786" xr:uid="{E3745070-61DD-4BCD-AD87-242884EFEC3E}"/>
    <cellStyle name="Normal 2 4 5 4 5 4" xfId="10568" xr:uid="{DDEEDA58-2B81-45D2-B5DF-F29547103630}"/>
    <cellStyle name="Normal 2 4 5 4 6" xfId="2485" xr:uid="{00000000-0005-0000-0000-0000BE100000}"/>
    <cellStyle name="Normal 2 4 5 4 6 2" xfId="6770" xr:uid="{00000000-0005-0000-0000-0000BF100000}"/>
    <cellStyle name="Normal 2 4 5 4 6 2 2" xfId="15199" xr:uid="{F0CDDF8F-B7BA-4D53-BE18-054A9A62503C}"/>
    <cellStyle name="Normal 2 4 5 4 6 3" xfId="10981" xr:uid="{F7D108DD-77D0-4F45-B0F3-3525348736F2}"/>
    <cellStyle name="Normal 2 4 5 4 7" xfId="4704" xr:uid="{00000000-0005-0000-0000-0000C0100000}"/>
    <cellStyle name="Normal 2 4 5 4 7 2" xfId="13133" xr:uid="{2FE87473-28DE-46DD-A3F5-F9B278537E4B}"/>
    <cellStyle name="Normal 2 4 5 4 8" xfId="8915" xr:uid="{85A510DD-30A7-4B17-A30B-70BB2B2BA0CB}"/>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FC7EBBF2-A42E-43CF-B5C0-23F7F6FAD8AD}"/>
    <cellStyle name="Normal 2 4 5 5 2 3" xfId="11467" xr:uid="{4074B1E0-916F-41C2-BA69-A6DE219D0441}"/>
    <cellStyle name="Normal 2 4 5 5 3" xfId="5111" xr:uid="{00000000-0005-0000-0000-0000C4100000}"/>
    <cellStyle name="Normal 2 4 5 5 3 2" xfId="13540" xr:uid="{8BBD6558-C6DA-4710-9A37-A1D91D676DBD}"/>
    <cellStyle name="Normal 2 4 5 5 4" xfId="9322" xr:uid="{8CCDEDE2-BA0D-4574-B4E4-BF25E872682F}"/>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D298E2C1-EDA7-4D0D-8720-7D2198BF12C5}"/>
    <cellStyle name="Normal 2 4 5 6 2 3" xfId="11880" xr:uid="{43F5B243-3416-48FC-B498-10FC4FB1FAA4}"/>
    <cellStyle name="Normal 2 4 5 6 3" xfId="5524" xr:uid="{00000000-0005-0000-0000-0000C8100000}"/>
    <cellStyle name="Normal 2 4 5 6 3 2" xfId="13953" xr:uid="{4AFC7734-17AB-463C-B545-EC53A3105165}"/>
    <cellStyle name="Normal 2 4 5 6 4" xfId="9735" xr:uid="{DC57645A-9210-48D3-9F47-1D69038DE1E2}"/>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38B29A86-FBE6-48FF-9214-0D9CC53D283F}"/>
    <cellStyle name="Normal 2 4 5 7 2 3" xfId="12293" xr:uid="{3CBA570F-3CA1-4CEE-96FA-1E63A9B334F4}"/>
    <cellStyle name="Normal 2 4 5 7 3" xfId="5937" xr:uid="{00000000-0005-0000-0000-0000CC100000}"/>
    <cellStyle name="Normal 2 4 5 7 3 2" xfId="14366" xr:uid="{21BA242A-B551-4905-AA8F-F6C000BB888D}"/>
    <cellStyle name="Normal 2 4 5 7 4" xfId="10148" xr:uid="{AF70AEDA-C353-44C1-9B64-8377F8B87FF0}"/>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D9BDDAFF-C1B2-4A48-AA84-3A231C167B84}"/>
    <cellStyle name="Normal 2 4 5 8 2 3" xfId="12706" xr:uid="{E86CDDE4-80F1-4B71-85A3-9B46506BF8FE}"/>
    <cellStyle name="Normal 2 4 5 8 3" xfId="6350" xr:uid="{00000000-0005-0000-0000-0000D0100000}"/>
    <cellStyle name="Normal 2 4 5 8 3 2" xfId="14779" xr:uid="{6539BDC7-16C3-45AE-8442-E65FCEF4A8A6}"/>
    <cellStyle name="Normal 2 4 5 8 4" xfId="10561" xr:uid="{8EBD2461-842F-42DD-BF32-D87F65BE0395}"/>
    <cellStyle name="Normal 2 4 5 9" xfId="2478" xr:uid="{00000000-0005-0000-0000-0000D1100000}"/>
    <cellStyle name="Normal 2 4 5 9 2" xfId="6763" xr:uid="{00000000-0005-0000-0000-0000D2100000}"/>
    <cellStyle name="Normal 2 4 5 9 2 2" xfId="15192" xr:uid="{E8AA9A1D-A039-42C4-AE2B-C100B62A0AE5}"/>
    <cellStyle name="Normal 2 4 5 9 3" xfId="10974" xr:uid="{484A2DEC-D45B-4737-8719-1823D6B875F4}"/>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3F7EA3EA-4E0D-4CA0-871F-E1EA838175E0}"/>
    <cellStyle name="Normal 2 4 7 2 2 2 3" xfId="11476" xr:uid="{06EBB121-E2FD-48ED-9BB1-E637DCB05E3D}"/>
    <cellStyle name="Normal 2 4 7 2 2 3" xfId="5120" xr:uid="{00000000-0005-0000-0000-0000D9100000}"/>
    <cellStyle name="Normal 2 4 7 2 2 3 2" xfId="13549" xr:uid="{9D1B6982-024F-4D4D-92D7-CD468F74D515}"/>
    <cellStyle name="Normal 2 4 7 2 2 4" xfId="9331" xr:uid="{BD85F77A-7DC0-4CD9-820D-40DB3CE77A12}"/>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9D2B4EF7-C07D-4B1E-8954-2EB73EB59604}"/>
    <cellStyle name="Normal 2 4 7 2 3 2 3" xfId="11889" xr:uid="{AE1980C3-CD4A-4F79-B8B3-56CF52BCF31B}"/>
    <cellStyle name="Normal 2 4 7 2 3 3" xfId="5533" xr:uid="{00000000-0005-0000-0000-0000DD100000}"/>
    <cellStyle name="Normal 2 4 7 2 3 3 2" xfId="13962" xr:uid="{8B22F5EE-4397-4705-B2A9-0748849EE452}"/>
    <cellStyle name="Normal 2 4 7 2 3 4" xfId="9744" xr:uid="{9EAC8E32-ABF4-4B10-B068-54E64DA24764}"/>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CEF1EA5C-99DF-482A-B995-D94FE692C8DD}"/>
    <cellStyle name="Normal 2 4 7 2 4 2 3" xfId="12302" xr:uid="{9A9E1E90-45B2-4349-A00B-BA0D2E2E921F}"/>
    <cellStyle name="Normal 2 4 7 2 4 3" xfId="5946" xr:uid="{00000000-0005-0000-0000-0000E1100000}"/>
    <cellStyle name="Normal 2 4 7 2 4 3 2" xfId="14375" xr:uid="{39115A6D-1D4E-4D52-B0C7-3C2AA287409B}"/>
    <cellStyle name="Normal 2 4 7 2 4 4" xfId="10157" xr:uid="{AEC50991-1E4F-46BC-AB2A-A822D38AE1A7}"/>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6809EC3D-869B-4185-A4F2-206BAA98470E}"/>
    <cellStyle name="Normal 2 4 7 2 5 2 3" xfId="12715" xr:uid="{7F56C214-B0A4-4DA3-948E-6997D8609D3C}"/>
    <cellStyle name="Normal 2 4 7 2 5 3" xfId="6359" xr:uid="{00000000-0005-0000-0000-0000E5100000}"/>
    <cellStyle name="Normal 2 4 7 2 5 3 2" xfId="14788" xr:uid="{34F4AAB4-EEB0-4315-A29C-9268CAD5CB17}"/>
    <cellStyle name="Normal 2 4 7 2 5 4" xfId="10570" xr:uid="{18442304-2943-4B3B-BA16-4A51A0C55075}"/>
    <cellStyle name="Normal 2 4 7 2 6" xfId="2487" xr:uid="{00000000-0005-0000-0000-0000E6100000}"/>
    <cellStyle name="Normal 2 4 7 2 6 2" xfId="6772" xr:uid="{00000000-0005-0000-0000-0000E7100000}"/>
    <cellStyle name="Normal 2 4 7 2 6 2 2" xfId="15201" xr:uid="{27C1F7BB-F590-42C9-8801-F1650F4BA189}"/>
    <cellStyle name="Normal 2 4 7 2 6 3" xfId="10983" xr:uid="{4D603BF4-2F95-4DDC-B6D0-145BCC34E328}"/>
    <cellStyle name="Normal 2 4 7 2 7" xfId="4706" xr:uid="{00000000-0005-0000-0000-0000E8100000}"/>
    <cellStyle name="Normal 2 4 7 2 7 2" xfId="13135" xr:uid="{F2EF2F92-2041-47FE-AABA-3B6250F69833}"/>
    <cellStyle name="Normal 2 4 7 2 8" xfId="8917" xr:uid="{41ECED95-4E42-484F-AA9D-FB5386F7ACE2}"/>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DAF675DF-4930-49EC-B03A-D3BBBE48D597}"/>
    <cellStyle name="Normal 2 4 7 3 2 3" xfId="11475" xr:uid="{DA019862-248E-4BF6-B7FA-5EB431929355}"/>
    <cellStyle name="Normal 2 4 7 3 3" xfId="5119" xr:uid="{00000000-0005-0000-0000-0000EC100000}"/>
    <cellStyle name="Normal 2 4 7 3 3 2" xfId="13548" xr:uid="{5B45BBD9-A44C-49BA-A363-2A0FBE21FE95}"/>
    <cellStyle name="Normal 2 4 7 3 4" xfId="9330" xr:uid="{D94D39DC-964B-4F6E-8C44-8113ACC1C364}"/>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FE596B74-D4E5-4A8F-A172-BAD74405BF47}"/>
    <cellStyle name="Normal 2 4 7 4 2 3" xfId="11888" xr:uid="{DD8F03E6-6C67-4A4B-9F20-017DBB2872CC}"/>
    <cellStyle name="Normal 2 4 7 4 3" xfId="5532" xr:uid="{00000000-0005-0000-0000-0000F0100000}"/>
    <cellStyle name="Normal 2 4 7 4 3 2" xfId="13961" xr:uid="{2F1E6691-EF71-4811-AE15-A68659A52F66}"/>
    <cellStyle name="Normal 2 4 7 4 4" xfId="9743" xr:uid="{EEEC9CEB-7162-43F5-B48F-F4E91C144234}"/>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5ADD26A3-5731-4C55-BBC1-745B232488A5}"/>
    <cellStyle name="Normal 2 4 7 5 2 3" xfId="12301" xr:uid="{29D30468-BBB3-42CF-99BF-F425AD1E7CF6}"/>
    <cellStyle name="Normal 2 4 7 5 3" xfId="5945" xr:uid="{00000000-0005-0000-0000-0000F4100000}"/>
    <cellStyle name="Normal 2 4 7 5 3 2" xfId="14374" xr:uid="{51F8ABAB-1D8F-451A-8656-20327868A631}"/>
    <cellStyle name="Normal 2 4 7 5 4" xfId="10156" xr:uid="{16C72F41-5939-4DA7-A0B6-C34136AC807C}"/>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52C72C4E-C223-4A67-8A9C-F5401048FF64}"/>
    <cellStyle name="Normal 2 4 7 6 2 3" xfId="12714" xr:uid="{3F99CB24-1424-4246-A05F-4DA17A9EA1BA}"/>
    <cellStyle name="Normal 2 4 7 6 3" xfId="6358" xr:uid="{00000000-0005-0000-0000-0000F8100000}"/>
    <cellStyle name="Normal 2 4 7 6 3 2" xfId="14787" xr:uid="{9A8CF9AD-84E6-440E-B940-008FF388DE51}"/>
    <cellStyle name="Normal 2 4 7 6 4" xfId="10569" xr:uid="{7459E984-3F96-4B66-AEE1-BD65B09C33A4}"/>
    <cellStyle name="Normal 2 4 7 7" xfId="2486" xr:uid="{00000000-0005-0000-0000-0000F9100000}"/>
    <cellStyle name="Normal 2 4 7 7 2" xfId="6771" xr:uid="{00000000-0005-0000-0000-0000FA100000}"/>
    <cellStyle name="Normal 2 4 7 7 2 2" xfId="15200" xr:uid="{A0C504A7-AFE1-4BA7-90F3-F1C38681F25D}"/>
    <cellStyle name="Normal 2 4 7 7 3" xfId="10982" xr:uid="{CD09B6D8-B2E5-43B3-9BC0-59660D83356E}"/>
    <cellStyle name="Normal 2 4 7 8" xfId="4705" xr:uid="{00000000-0005-0000-0000-0000FB100000}"/>
    <cellStyle name="Normal 2 4 7 8 2" xfId="13134" xr:uid="{6A40DC3F-9CAF-4973-92D5-108676E016DD}"/>
    <cellStyle name="Normal 2 4 7 9" xfId="8916" xr:uid="{44E9C6C3-DB03-4253-9BB9-A6DBA1C88B78}"/>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10E0B9DD-0FD3-4469-9485-C24B1A987F4A}"/>
    <cellStyle name="Normal 2 4 8 2 2 3" xfId="11477" xr:uid="{83507A11-CB5E-40AC-807A-872D2B6F710E}"/>
    <cellStyle name="Normal 2 4 8 2 3" xfId="5121" xr:uid="{00000000-0005-0000-0000-000000110000}"/>
    <cellStyle name="Normal 2 4 8 2 3 2" xfId="13550" xr:uid="{FB56BE08-C002-4954-9E84-B111662E48C9}"/>
    <cellStyle name="Normal 2 4 8 2 4" xfId="9332" xr:uid="{B31A2A17-9F24-46C4-AF21-B8DF1011BCD8}"/>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1B079045-08F3-458E-9A70-6C0000A0EB76}"/>
    <cellStyle name="Normal 2 4 8 3 2 3" xfId="11890" xr:uid="{B0D90959-804C-43B7-8CCB-1F027FF8B486}"/>
    <cellStyle name="Normal 2 4 8 3 3" xfId="5534" xr:uid="{00000000-0005-0000-0000-000004110000}"/>
    <cellStyle name="Normal 2 4 8 3 3 2" xfId="13963" xr:uid="{18684440-2507-413B-BD15-2D609D4B2470}"/>
    <cellStyle name="Normal 2 4 8 3 4" xfId="9745" xr:uid="{74779EA6-8EA9-4795-9EEA-CF55F59D8DC0}"/>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BFC0CD89-4BDA-4503-8736-5684FC3DEEDD}"/>
    <cellStyle name="Normal 2 4 8 4 2 3" xfId="12303" xr:uid="{3FFD9223-5B20-487F-871D-A5F0EFC917F2}"/>
    <cellStyle name="Normal 2 4 8 4 3" xfId="5947" xr:uid="{00000000-0005-0000-0000-000008110000}"/>
    <cellStyle name="Normal 2 4 8 4 3 2" xfId="14376" xr:uid="{7F1E2C67-3D80-4CED-AB07-E0B2DBD213BC}"/>
    <cellStyle name="Normal 2 4 8 4 4" xfId="10158" xr:uid="{FF235D83-1EBB-40A4-A9D4-9F83D37E80EA}"/>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FECEA0BF-5522-4C2D-A969-289C5D337506}"/>
    <cellStyle name="Normal 2 4 8 5 2 3" xfId="12716" xr:uid="{46C17D63-F3B3-4638-8EAC-5F5FBA5A6A87}"/>
    <cellStyle name="Normal 2 4 8 5 3" xfId="6360" xr:uid="{00000000-0005-0000-0000-00000C110000}"/>
    <cellStyle name="Normal 2 4 8 5 3 2" xfId="14789" xr:uid="{9DDC25C3-B7D8-4D86-9678-43DF7391C7C7}"/>
    <cellStyle name="Normal 2 4 8 5 4" xfId="10571" xr:uid="{FB13D034-BB80-45A5-838E-6E7038513EE4}"/>
    <cellStyle name="Normal 2 4 8 6" xfId="2488" xr:uid="{00000000-0005-0000-0000-00000D110000}"/>
    <cellStyle name="Normal 2 4 8 6 2" xfId="6773" xr:uid="{00000000-0005-0000-0000-00000E110000}"/>
    <cellStyle name="Normal 2 4 8 6 2 2" xfId="15202" xr:uid="{F04A364E-E1EB-43A2-A8B7-BD65026691B8}"/>
    <cellStyle name="Normal 2 4 8 6 3" xfId="10984" xr:uid="{9C7C295D-3EB0-4A0D-9A51-74456221627B}"/>
    <cellStyle name="Normal 2 4 8 7" xfId="4707" xr:uid="{00000000-0005-0000-0000-00000F110000}"/>
    <cellStyle name="Normal 2 4 8 7 2" xfId="13136" xr:uid="{C57B545F-56F7-45E2-8E9F-3D5C3E06E5D8}"/>
    <cellStyle name="Normal 2 4 8 8" xfId="8918" xr:uid="{2372B217-33CD-4F36-8351-EC75B8F6E995}"/>
    <cellStyle name="Normal 2 5" xfId="315" xr:uid="{00000000-0005-0000-0000-000010110000}"/>
    <cellStyle name="Normal 2 5 10" xfId="4708" xr:uid="{00000000-0005-0000-0000-000011110000}"/>
    <cellStyle name="Normal 2 5 10 2" xfId="13137" xr:uid="{E5FF5031-6A06-4BB7-ADDE-A9603AE4C652}"/>
    <cellStyle name="Normal 2 5 11" xfId="8919" xr:uid="{7D68EADE-DE33-459E-835C-4A661060EB73}"/>
    <cellStyle name="Normal 2 5 2" xfId="316" xr:uid="{00000000-0005-0000-0000-000012110000}"/>
    <cellStyle name="Normal 2 5 3" xfId="317" xr:uid="{00000000-0005-0000-0000-000013110000}"/>
    <cellStyle name="Normal 2 5 4" xfId="318" xr:uid="{00000000-0005-0000-0000-000014110000}"/>
    <cellStyle name="Normal 2 5 4 10" xfId="8920" xr:uid="{4522E68B-B949-429B-89E9-080FC352D99C}"/>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BE0333FC-2865-42B9-9223-EF8E6DDA8791}"/>
    <cellStyle name="Normal 2 5 4 2 2 2 2 3" xfId="11481" xr:uid="{2D4E4319-EC3C-4375-A938-C8B03A0919D4}"/>
    <cellStyle name="Normal 2 5 4 2 2 2 3" xfId="5125" xr:uid="{00000000-0005-0000-0000-00001A110000}"/>
    <cellStyle name="Normal 2 5 4 2 2 2 3 2" xfId="13554" xr:uid="{53E939FB-6FBE-4943-8EE1-6192E0054373}"/>
    <cellStyle name="Normal 2 5 4 2 2 2 4" xfId="9336" xr:uid="{6E7900B1-D9BB-428A-8682-E0AE877926C2}"/>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214B2DB5-5DF8-4050-8A46-42DE0DF33449}"/>
    <cellStyle name="Normal 2 5 4 2 2 3 2 3" xfId="11894" xr:uid="{A0A1BEBE-AE57-436E-848F-F98363DF87A9}"/>
    <cellStyle name="Normal 2 5 4 2 2 3 3" xfId="5538" xr:uid="{00000000-0005-0000-0000-00001E110000}"/>
    <cellStyle name="Normal 2 5 4 2 2 3 3 2" xfId="13967" xr:uid="{8CA31447-91D5-48CB-B062-15814B61DBB8}"/>
    <cellStyle name="Normal 2 5 4 2 2 3 4" xfId="9749" xr:uid="{D5C59F86-B2E1-4E29-B092-E2EF811D5EA5}"/>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2483CAE3-0EF5-4CCA-B003-B963DE37BE81}"/>
    <cellStyle name="Normal 2 5 4 2 2 4 2 3" xfId="12307" xr:uid="{8EEE14D6-AE2E-455B-9D52-5E14F3B0A630}"/>
    <cellStyle name="Normal 2 5 4 2 2 4 3" xfId="5951" xr:uid="{00000000-0005-0000-0000-000022110000}"/>
    <cellStyle name="Normal 2 5 4 2 2 4 3 2" xfId="14380" xr:uid="{4C554FED-57C4-410E-924C-C103C58093CF}"/>
    <cellStyle name="Normal 2 5 4 2 2 4 4" xfId="10162" xr:uid="{6806F365-29EE-40A6-95DE-07D39DED56B9}"/>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78EEDFED-BD53-4E91-B1EB-0AF82F4DBC2D}"/>
    <cellStyle name="Normal 2 5 4 2 2 5 2 3" xfId="12720" xr:uid="{27885906-3184-4C98-8124-920E94411501}"/>
    <cellStyle name="Normal 2 5 4 2 2 5 3" xfId="6364" xr:uid="{00000000-0005-0000-0000-000026110000}"/>
    <cellStyle name="Normal 2 5 4 2 2 5 3 2" xfId="14793" xr:uid="{CB2E286B-48CE-4FD8-B8D2-33FAFBF0203A}"/>
    <cellStyle name="Normal 2 5 4 2 2 5 4" xfId="10575" xr:uid="{FCBF5E3A-2463-44D9-BC81-5701FF54F081}"/>
    <cellStyle name="Normal 2 5 4 2 2 6" xfId="2492" xr:uid="{00000000-0005-0000-0000-000027110000}"/>
    <cellStyle name="Normal 2 5 4 2 2 6 2" xfId="6777" xr:uid="{00000000-0005-0000-0000-000028110000}"/>
    <cellStyle name="Normal 2 5 4 2 2 6 2 2" xfId="15206" xr:uid="{DA28C93B-086D-4C92-A98D-59E0F19B6428}"/>
    <cellStyle name="Normal 2 5 4 2 2 6 3" xfId="10988" xr:uid="{9B987C80-6E62-42BB-86C7-940E52A79873}"/>
    <cellStyle name="Normal 2 5 4 2 2 7" xfId="4711" xr:uid="{00000000-0005-0000-0000-000029110000}"/>
    <cellStyle name="Normal 2 5 4 2 2 7 2" xfId="13140" xr:uid="{82B9B715-7FFC-45A9-83E6-7D36430C0E80}"/>
    <cellStyle name="Normal 2 5 4 2 2 8" xfId="8922" xr:uid="{40B5740B-6E5D-43FE-8B3A-73981566CF47}"/>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33DF6B5B-C2B1-4FDB-8419-B1657330779A}"/>
    <cellStyle name="Normal 2 5 4 2 3 2 3" xfId="11480" xr:uid="{43326410-7E4B-4587-8BED-B2A84897044F}"/>
    <cellStyle name="Normal 2 5 4 2 3 3" xfId="5124" xr:uid="{00000000-0005-0000-0000-00002D110000}"/>
    <cellStyle name="Normal 2 5 4 2 3 3 2" xfId="13553" xr:uid="{DD11A9C9-639C-4CFD-AC8B-EC7BE043271D}"/>
    <cellStyle name="Normal 2 5 4 2 3 4" xfId="9335" xr:uid="{A48A5DC8-8FCC-474A-821F-514F80294837}"/>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5C5BF798-CC46-49E9-A824-3215C3AD19BF}"/>
    <cellStyle name="Normal 2 5 4 2 4 2 3" xfId="11893" xr:uid="{9D241036-5CA7-440D-B563-39DC5E919764}"/>
    <cellStyle name="Normal 2 5 4 2 4 3" xfId="5537" xr:uid="{00000000-0005-0000-0000-000031110000}"/>
    <cellStyle name="Normal 2 5 4 2 4 3 2" xfId="13966" xr:uid="{19C4558C-7790-4C35-B0FF-E075291B8B9E}"/>
    <cellStyle name="Normal 2 5 4 2 4 4" xfId="9748" xr:uid="{D85BAF26-59BB-4B11-809C-2E933F5A6DC1}"/>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FECD60D3-763E-4AF0-BB3B-9BEB6A447DAB}"/>
    <cellStyle name="Normal 2 5 4 2 5 2 3" xfId="12306" xr:uid="{19DE9BF4-8AD6-4A80-9DB0-5D89CECC95A4}"/>
    <cellStyle name="Normal 2 5 4 2 5 3" xfId="5950" xr:uid="{00000000-0005-0000-0000-000035110000}"/>
    <cellStyle name="Normal 2 5 4 2 5 3 2" xfId="14379" xr:uid="{39FDD453-0512-42A7-9F64-2FCA280B9BAB}"/>
    <cellStyle name="Normal 2 5 4 2 5 4" xfId="10161" xr:uid="{38488E03-EA7C-43F7-A511-15AC5126AEFE}"/>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F4BADA65-BB8B-401A-BA92-007B51A852C3}"/>
    <cellStyle name="Normal 2 5 4 2 6 2 3" xfId="12719" xr:uid="{AFFFFB49-16D4-4036-871D-F9D0A2C31753}"/>
    <cellStyle name="Normal 2 5 4 2 6 3" xfId="6363" xr:uid="{00000000-0005-0000-0000-000039110000}"/>
    <cellStyle name="Normal 2 5 4 2 6 3 2" xfId="14792" xr:uid="{6D2A2FD4-ACB2-434C-B2E6-065047D9C7C9}"/>
    <cellStyle name="Normal 2 5 4 2 6 4" xfId="10574" xr:uid="{E3806FC5-FBB2-439B-A678-8CE14F2D7306}"/>
    <cellStyle name="Normal 2 5 4 2 7" xfId="2491" xr:uid="{00000000-0005-0000-0000-00003A110000}"/>
    <cellStyle name="Normal 2 5 4 2 7 2" xfId="6776" xr:uid="{00000000-0005-0000-0000-00003B110000}"/>
    <cellStyle name="Normal 2 5 4 2 7 2 2" xfId="15205" xr:uid="{97FBDE5E-5C57-4945-85CE-46E65397EF36}"/>
    <cellStyle name="Normal 2 5 4 2 7 3" xfId="10987" xr:uid="{1406F11D-9549-4CDE-877B-FED7078AA8BA}"/>
    <cellStyle name="Normal 2 5 4 2 8" xfId="4710" xr:uid="{00000000-0005-0000-0000-00003C110000}"/>
    <cellStyle name="Normal 2 5 4 2 8 2" xfId="13139" xr:uid="{DCA0B8DE-8ED2-4F95-95DA-3FA6AD7B5316}"/>
    <cellStyle name="Normal 2 5 4 2 9" xfId="8921" xr:uid="{21D1687C-7D7E-4C3A-8EA8-75BE9F877331}"/>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91DA2715-33D2-4548-9769-76FEBB2D9FBF}"/>
    <cellStyle name="Normal 2 5 4 3 2 2 3" xfId="11482" xr:uid="{D171398D-E315-4E63-BD1E-CA0C07F74A74}"/>
    <cellStyle name="Normal 2 5 4 3 2 3" xfId="5126" xr:uid="{00000000-0005-0000-0000-000041110000}"/>
    <cellStyle name="Normal 2 5 4 3 2 3 2" xfId="13555" xr:uid="{2D7EA69D-E814-43FA-A5E6-079C23E276A5}"/>
    <cellStyle name="Normal 2 5 4 3 2 4" xfId="9337" xr:uid="{9A674E0B-5BAA-4C29-9521-ACA9985F2207}"/>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AB822E44-ECD5-491D-B7E8-AD87113C3002}"/>
    <cellStyle name="Normal 2 5 4 3 3 2 3" xfId="11895" xr:uid="{F85E2E58-AB23-4F76-83B3-C6A9EDE60719}"/>
    <cellStyle name="Normal 2 5 4 3 3 3" xfId="5539" xr:uid="{00000000-0005-0000-0000-000045110000}"/>
    <cellStyle name="Normal 2 5 4 3 3 3 2" xfId="13968" xr:uid="{D0D3874C-1CE5-4A49-A8DF-EFA87B86344F}"/>
    <cellStyle name="Normal 2 5 4 3 3 4" xfId="9750" xr:uid="{B7BAC63A-3DD2-4D2F-97FD-B13D9BF24913}"/>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C4722061-2254-46E3-8251-2403A9DC69B2}"/>
    <cellStyle name="Normal 2 5 4 3 4 2 3" xfId="12308" xr:uid="{94B44FEC-140E-452D-BB93-165BD4EEE315}"/>
    <cellStyle name="Normal 2 5 4 3 4 3" xfId="5952" xr:uid="{00000000-0005-0000-0000-000049110000}"/>
    <cellStyle name="Normal 2 5 4 3 4 3 2" xfId="14381" xr:uid="{B59CEE9E-8247-4238-8D94-FC8F4B6ED8CB}"/>
    <cellStyle name="Normal 2 5 4 3 4 4" xfId="10163" xr:uid="{7F928DE8-BFEB-481F-AFB4-04DE2776D313}"/>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DAE86BF6-8FDE-4D15-B390-0B20513A7BFF}"/>
    <cellStyle name="Normal 2 5 4 3 5 2 3" xfId="12721" xr:uid="{E2A9B059-7E12-4E24-B1C8-2D910B8FB57F}"/>
    <cellStyle name="Normal 2 5 4 3 5 3" xfId="6365" xr:uid="{00000000-0005-0000-0000-00004D110000}"/>
    <cellStyle name="Normal 2 5 4 3 5 3 2" xfId="14794" xr:uid="{22253BFF-4D77-49CF-B3C8-675DEEFCB712}"/>
    <cellStyle name="Normal 2 5 4 3 5 4" xfId="10576" xr:uid="{6226ABA8-9460-447B-9FB1-7C61C04DB8FC}"/>
    <cellStyle name="Normal 2 5 4 3 6" xfId="2493" xr:uid="{00000000-0005-0000-0000-00004E110000}"/>
    <cellStyle name="Normal 2 5 4 3 6 2" xfId="6778" xr:uid="{00000000-0005-0000-0000-00004F110000}"/>
    <cellStyle name="Normal 2 5 4 3 6 2 2" xfId="15207" xr:uid="{A77FB85B-AA5B-4B2E-BB84-54496C0C13F6}"/>
    <cellStyle name="Normal 2 5 4 3 6 3" xfId="10989" xr:uid="{C2977287-BD6B-44EB-99FC-EA92859C3A77}"/>
    <cellStyle name="Normal 2 5 4 3 7" xfId="4712" xr:uid="{00000000-0005-0000-0000-000050110000}"/>
    <cellStyle name="Normal 2 5 4 3 7 2" xfId="13141" xr:uid="{A952031A-7469-4C7A-A759-67A38C4B01DD}"/>
    <cellStyle name="Normal 2 5 4 3 8" xfId="8923" xr:uid="{F79B83B0-EA42-44B3-A869-C8F1F29FD60B}"/>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A10D4E80-B1D3-4951-82C5-F60A0A535756}"/>
    <cellStyle name="Normal 2 5 4 4 2 3" xfId="11479" xr:uid="{EF4C19C9-36FD-40C6-B482-02FA4194F7DA}"/>
    <cellStyle name="Normal 2 5 4 4 3" xfId="5123" xr:uid="{00000000-0005-0000-0000-000054110000}"/>
    <cellStyle name="Normal 2 5 4 4 3 2" xfId="13552" xr:uid="{7C5568F5-2BE0-42E5-9252-6DF493C6B768}"/>
    <cellStyle name="Normal 2 5 4 4 4" xfId="9334" xr:uid="{967CCF47-FAB4-4772-A4F1-A992404402DB}"/>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0E8F6B65-0E47-4542-B285-9E8305DA7A90}"/>
    <cellStyle name="Normal 2 5 4 5 2 3" xfId="11892" xr:uid="{02662B07-70A6-4E5B-BAF0-56C62E878FA1}"/>
    <cellStyle name="Normal 2 5 4 5 3" xfId="5536" xr:uid="{00000000-0005-0000-0000-000058110000}"/>
    <cellStyle name="Normal 2 5 4 5 3 2" xfId="13965" xr:uid="{688247EA-936E-4480-9774-BEA806CEF701}"/>
    <cellStyle name="Normal 2 5 4 5 4" xfId="9747" xr:uid="{037F6FF0-7E7A-453D-88BD-6E4CB2D7DEA6}"/>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898BDDA4-DAF5-4AA7-807F-5D2D5977A1F2}"/>
    <cellStyle name="Normal 2 5 4 6 2 3" xfId="12305" xr:uid="{E72F44C2-5F6B-4C0E-9C5C-9D7A5EDD5E62}"/>
    <cellStyle name="Normal 2 5 4 6 3" xfId="5949" xr:uid="{00000000-0005-0000-0000-00005C110000}"/>
    <cellStyle name="Normal 2 5 4 6 3 2" xfId="14378" xr:uid="{D1723F48-AA51-4BF6-813A-4AF6E0D9D466}"/>
    <cellStyle name="Normal 2 5 4 6 4" xfId="10160" xr:uid="{214BEBE2-6C0F-4F02-877D-45DBF30D9FF4}"/>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BFBCA3A4-08C6-4A8F-86CF-DFEC000D6E48}"/>
    <cellStyle name="Normal 2 5 4 7 2 3" xfId="12718" xr:uid="{5B56DE7B-3DFD-4B7F-B281-0A0391738160}"/>
    <cellStyle name="Normal 2 5 4 7 3" xfId="6362" xr:uid="{00000000-0005-0000-0000-000060110000}"/>
    <cellStyle name="Normal 2 5 4 7 3 2" xfId="14791" xr:uid="{CA3136DF-4172-43EA-B372-4ED882D9537D}"/>
    <cellStyle name="Normal 2 5 4 7 4" xfId="10573" xr:uid="{65BF04F1-D055-4D94-AEF8-8FBDE517E4BB}"/>
    <cellStyle name="Normal 2 5 4 8" xfId="2490" xr:uid="{00000000-0005-0000-0000-000061110000}"/>
    <cellStyle name="Normal 2 5 4 8 2" xfId="6775" xr:uid="{00000000-0005-0000-0000-000062110000}"/>
    <cellStyle name="Normal 2 5 4 8 2 2" xfId="15204" xr:uid="{AFA2EF5E-E0D5-42B6-939C-4E1FA5D7180C}"/>
    <cellStyle name="Normal 2 5 4 8 3" xfId="10986" xr:uid="{39CD8608-3FB3-42A6-8CD2-BBF04D70B17C}"/>
    <cellStyle name="Normal 2 5 4 9" xfId="4709" xr:uid="{00000000-0005-0000-0000-000063110000}"/>
    <cellStyle name="Normal 2 5 4 9 2" xfId="13138" xr:uid="{4CC0EF71-B604-422A-AEFB-BBCD3386DC4F}"/>
    <cellStyle name="Normal 2 5 5" xfId="804" xr:uid="{00000000-0005-0000-0000-000064110000}"/>
    <cellStyle name="Normal 2 5 5 2" xfId="3043" xr:uid="{00000000-0005-0000-0000-000065110000}"/>
    <cellStyle name="Normal 2 5 5 2 2" xfId="7267" xr:uid="{00000000-0005-0000-0000-000066110000}"/>
    <cellStyle name="Normal 2 5 5 2 2 2" xfId="15696" xr:uid="{57F59E53-E753-4B61-B7CF-DF89305CB15D}"/>
    <cellStyle name="Normal 2 5 5 2 3" xfId="11478" xr:uid="{D494A116-761F-4D1F-A131-7B5C035693BD}"/>
    <cellStyle name="Normal 2 5 5 3" xfId="5122" xr:uid="{00000000-0005-0000-0000-000067110000}"/>
    <cellStyle name="Normal 2 5 5 3 2" xfId="13551" xr:uid="{E8D528C7-9A17-45CA-A135-6EDC7C0CC1BA}"/>
    <cellStyle name="Normal 2 5 5 4" xfId="9333" xr:uid="{F649F8C1-665B-40A1-A8CF-F15FA1B8D1B2}"/>
    <cellStyle name="Normal 2 5 6" xfId="1226" xr:uid="{00000000-0005-0000-0000-000068110000}"/>
    <cellStyle name="Normal 2 5 6 2" xfId="3456" xr:uid="{00000000-0005-0000-0000-000069110000}"/>
    <cellStyle name="Normal 2 5 6 2 2" xfId="7680" xr:uid="{00000000-0005-0000-0000-00006A110000}"/>
    <cellStyle name="Normal 2 5 6 2 2 2" xfId="16109" xr:uid="{DDC7854B-2D9F-4F29-9C41-4686D5F5BDE3}"/>
    <cellStyle name="Normal 2 5 6 2 3" xfId="11891" xr:uid="{A1D825F1-D0A8-424A-A529-67D5BEAD1538}"/>
    <cellStyle name="Normal 2 5 6 3" xfId="5535" xr:uid="{00000000-0005-0000-0000-00006B110000}"/>
    <cellStyle name="Normal 2 5 6 3 2" xfId="13964" xr:uid="{7678FC4D-3158-4976-A17E-E88CF1DC0D1E}"/>
    <cellStyle name="Normal 2 5 6 4" xfId="9746" xr:uid="{1AE93663-82BF-4904-B092-798E93A37E5F}"/>
    <cellStyle name="Normal 2 5 7" xfId="1639" xr:uid="{00000000-0005-0000-0000-00006C110000}"/>
    <cellStyle name="Normal 2 5 7 2" xfId="3869" xr:uid="{00000000-0005-0000-0000-00006D110000}"/>
    <cellStyle name="Normal 2 5 7 2 2" xfId="8093" xr:uid="{00000000-0005-0000-0000-00006E110000}"/>
    <cellStyle name="Normal 2 5 7 2 2 2" xfId="16522" xr:uid="{F6DA5FAE-1D2F-410F-8F82-91AAC4F2DBBC}"/>
    <cellStyle name="Normal 2 5 7 2 3" xfId="12304" xr:uid="{C3CBDAC2-068E-4915-8348-3041E1473EBB}"/>
    <cellStyle name="Normal 2 5 7 3" xfId="5948" xr:uid="{00000000-0005-0000-0000-00006F110000}"/>
    <cellStyle name="Normal 2 5 7 3 2" xfId="14377" xr:uid="{1BD39286-CFB1-43B6-A905-E450ADF9C7EA}"/>
    <cellStyle name="Normal 2 5 7 4" xfId="10159" xr:uid="{047B2507-6DE2-4016-ADAE-6D7AD6FFFD21}"/>
    <cellStyle name="Normal 2 5 8" xfId="2053" xr:uid="{00000000-0005-0000-0000-000070110000}"/>
    <cellStyle name="Normal 2 5 8 2" xfId="4282" xr:uid="{00000000-0005-0000-0000-000071110000}"/>
    <cellStyle name="Normal 2 5 8 2 2" xfId="8506" xr:uid="{00000000-0005-0000-0000-000072110000}"/>
    <cellStyle name="Normal 2 5 8 2 2 2" xfId="16935" xr:uid="{BC67426C-EE80-4E05-AECF-692AD5D766D8}"/>
    <cellStyle name="Normal 2 5 8 2 3" xfId="12717" xr:uid="{59027F2D-3801-4FFD-BDA1-4FBDCA12DD13}"/>
    <cellStyle name="Normal 2 5 8 3" xfId="6361" xr:uid="{00000000-0005-0000-0000-000073110000}"/>
    <cellStyle name="Normal 2 5 8 3 2" xfId="14790" xr:uid="{612E0ECB-54F7-4FBA-86EF-102C1839A789}"/>
    <cellStyle name="Normal 2 5 8 4" xfId="10572" xr:uid="{7C10FB92-DAA8-45F2-B73A-AD4654A74FC4}"/>
    <cellStyle name="Normal 2 5 9" xfId="2489" xr:uid="{00000000-0005-0000-0000-000074110000}"/>
    <cellStyle name="Normal 2 5 9 2" xfId="6774" xr:uid="{00000000-0005-0000-0000-000075110000}"/>
    <cellStyle name="Normal 2 5 9 2 2" xfId="15203" xr:uid="{52FB1435-C8AA-489E-A787-3CFACAEAC37B}"/>
    <cellStyle name="Normal 2 5 9 3" xfId="10985" xr:uid="{920DE690-A7A5-4ED1-8A78-3C67F563C758}"/>
    <cellStyle name="Normal 2 6" xfId="322" xr:uid="{00000000-0005-0000-0000-000076110000}"/>
    <cellStyle name="Normal 2 7" xfId="770" xr:uid="{00000000-0005-0000-0000-000077110000}"/>
    <cellStyle name="Normal 2 8" xfId="4496" xr:uid="{00000000-0005-0000-0000-000078110000}"/>
    <cellStyle name="Normal 2 8 2" xfId="12929" xr:uid="{705D7E4A-5331-461F-BB2D-925BB1999FE9}"/>
    <cellStyle name="Normal 3" xfId="323" xr:uid="{00000000-0005-0000-0000-000079110000}"/>
    <cellStyle name="Normal 3 2" xfId="324" xr:uid="{00000000-0005-0000-0000-00007A110000}"/>
    <cellStyle name="Normal 3 2 10" xfId="8924" xr:uid="{21C6CFCF-E337-4A34-8532-AFCFCB25F185}"/>
    <cellStyle name="Normal 3 2 2" xfId="325" xr:uid="{00000000-0005-0000-0000-00007B110000}"/>
    <cellStyle name="Normal 3 2 2 2" xfId="811" xr:uid="{00000000-0005-0000-0000-00007C110000}"/>
    <cellStyle name="Normal 3 2 3" xfId="326" xr:uid="{00000000-0005-0000-0000-00007D110000}"/>
    <cellStyle name="Normal 3 2 3 10" xfId="8925" xr:uid="{EEDB4F15-DE32-45B3-90D3-9A44DCEA5741}"/>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3F8951C6-374E-457E-BA6B-33EDC005CFEF}"/>
    <cellStyle name="Normal 3 2 3 2 2 2 2 3" xfId="11486" xr:uid="{B28BE773-BD0E-4E7D-9514-4667080F8B07}"/>
    <cellStyle name="Normal 3 2 3 2 2 2 3" xfId="5130" xr:uid="{00000000-0005-0000-0000-000083110000}"/>
    <cellStyle name="Normal 3 2 3 2 2 2 3 2" xfId="13559" xr:uid="{9F9CAE72-6CBD-4BBA-AEF6-3D97D26B8FD4}"/>
    <cellStyle name="Normal 3 2 3 2 2 2 4" xfId="9341" xr:uid="{3DFFAADB-9EEB-4E3D-82DD-2AC0399EF499}"/>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CB8A913E-7108-407D-A3BC-1C28B6C4E8AE}"/>
    <cellStyle name="Normal 3 2 3 2 2 3 2 3" xfId="11899" xr:uid="{057E6E7C-522F-4D16-8CD3-1B6B988D008B}"/>
    <cellStyle name="Normal 3 2 3 2 2 3 3" xfId="5543" xr:uid="{00000000-0005-0000-0000-000087110000}"/>
    <cellStyle name="Normal 3 2 3 2 2 3 3 2" xfId="13972" xr:uid="{CB788D20-EC33-45B0-806B-BFF0D0D1DF5C}"/>
    <cellStyle name="Normal 3 2 3 2 2 3 4" xfId="9754" xr:uid="{300E2630-53A4-4BE4-9E71-1E02350398F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2AB67C26-DBF2-458B-969F-36D96342E914}"/>
    <cellStyle name="Normal 3 2 3 2 2 4 2 3" xfId="12312" xr:uid="{37D6CE37-5A0D-4F54-AD74-1471DF944CCA}"/>
    <cellStyle name="Normal 3 2 3 2 2 4 3" xfId="5956" xr:uid="{00000000-0005-0000-0000-00008B110000}"/>
    <cellStyle name="Normal 3 2 3 2 2 4 3 2" xfId="14385" xr:uid="{B3D99F98-90B7-4E91-9AD9-85339FB3EA55}"/>
    <cellStyle name="Normal 3 2 3 2 2 4 4" xfId="10167" xr:uid="{800DFA4B-F3C2-470C-A576-09BE630F079D}"/>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7E4C4CFD-580D-4C96-B177-5D66308CB3C8}"/>
    <cellStyle name="Normal 3 2 3 2 2 5 2 3" xfId="12725" xr:uid="{F5EA817D-82FE-4763-9CED-0865B20B26B1}"/>
    <cellStyle name="Normal 3 2 3 2 2 5 3" xfId="6369" xr:uid="{00000000-0005-0000-0000-00008F110000}"/>
    <cellStyle name="Normal 3 2 3 2 2 5 3 2" xfId="14798" xr:uid="{517767D9-51C0-412F-BC8E-E4B20282CF18}"/>
    <cellStyle name="Normal 3 2 3 2 2 5 4" xfId="10580" xr:uid="{935EFF06-5F64-422C-9DB5-B3021256B55C}"/>
    <cellStyle name="Normal 3 2 3 2 2 6" xfId="2497" xr:uid="{00000000-0005-0000-0000-000090110000}"/>
    <cellStyle name="Normal 3 2 3 2 2 6 2" xfId="6782" xr:uid="{00000000-0005-0000-0000-000091110000}"/>
    <cellStyle name="Normal 3 2 3 2 2 6 2 2" xfId="15211" xr:uid="{FC5B57A9-8948-484D-A058-9E49D9A338B5}"/>
    <cellStyle name="Normal 3 2 3 2 2 6 3" xfId="10993" xr:uid="{221B760B-6EF0-465B-813D-EA3DBF2029BB}"/>
    <cellStyle name="Normal 3 2 3 2 2 7" xfId="4716" xr:uid="{00000000-0005-0000-0000-000092110000}"/>
    <cellStyle name="Normal 3 2 3 2 2 7 2" xfId="13145" xr:uid="{E34E5729-C6E1-4CBD-8D93-37E18837E902}"/>
    <cellStyle name="Normal 3 2 3 2 2 8" xfId="8927" xr:uid="{62CEB169-E5E9-43BD-A67A-9204F338FA77}"/>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CC80D438-CC86-4A16-9ABF-F953C13829BC}"/>
    <cellStyle name="Normal 3 2 3 2 3 2 3" xfId="11485" xr:uid="{DDE603FB-5270-44F7-A186-335C66D8AFD2}"/>
    <cellStyle name="Normal 3 2 3 2 3 3" xfId="5129" xr:uid="{00000000-0005-0000-0000-000096110000}"/>
    <cellStyle name="Normal 3 2 3 2 3 3 2" xfId="13558" xr:uid="{6EF5F3E9-CF35-4D1A-BC37-9D900C8F2057}"/>
    <cellStyle name="Normal 3 2 3 2 3 4" xfId="9340" xr:uid="{613FE888-C1B8-432E-8355-4EBF8DC88EDB}"/>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AB14652C-96A8-4A10-89BA-B75F4F44137A}"/>
    <cellStyle name="Normal 3 2 3 2 4 2 3" xfId="11898" xr:uid="{B3824B01-2747-4D95-94A4-DD27203B9E0D}"/>
    <cellStyle name="Normal 3 2 3 2 4 3" xfId="5542" xr:uid="{00000000-0005-0000-0000-00009A110000}"/>
    <cellStyle name="Normal 3 2 3 2 4 3 2" xfId="13971" xr:uid="{AC6D8041-AAE9-49EC-B27B-03A88DFF32F7}"/>
    <cellStyle name="Normal 3 2 3 2 4 4" xfId="9753" xr:uid="{A93EBFA4-9C7F-49E1-BEEE-DD1635A5DE1F}"/>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69E25658-D29B-459C-A894-96AFAEDDAF72}"/>
    <cellStyle name="Normal 3 2 3 2 5 2 3" xfId="12311" xr:uid="{7A1EBCFD-6DB9-4E6A-8BA0-C9EF1F269539}"/>
    <cellStyle name="Normal 3 2 3 2 5 3" xfId="5955" xr:uid="{00000000-0005-0000-0000-00009E110000}"/>
    <cellStyle name="Normal 3 2 3 2 5 3 2" xfId="14384" xr:uid="{6506E8E9-7B32-49A8-99A5-1A3E25762F96}"/>
    <cellStyle name="Normal 3 2 3 2 5 4" xfId="10166" xr:uid="{7112A81F-D0DB-489E-8DB8-A1D24536656B}"/>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7AD3BCD0-F9EF-45FA-9FF7-CAF2248D8F75}"/>
    <cellStyle name="Normal 3 2 3 2 6 2 3" xfId="12724" xr:uid="{70CE71E4-28D3-4A41-978F-F10871AD37C1}"/>
    <cellStyle name="Normal 3 2 3 2 6 3" xfId="6368" xr:uid="{00000000-0005-0000-0000-0000A2110000}"/>
    <cellStyle name="Normal 3 2 3 2 6 3 2" xfId="14797" xr:uid="{F7260E78-36EC-4BC5-A7F3-FCDD2BC03D05}"/>
    <cellStyle name="Normal 3 2 3 2 6 4" xfId="10579" xr:uid="{63091A4A-222F-4FF9-BF5B-9F6312993898}"/>
    <cellStyle name="Normal 3 2 3 2 7" xfId="2496" xr:uid="{00000000-0005-0000-0000-0000A3110000}"/>
    <cellStyle name="Normal 3 2 3 2 7 2" xfId="6781" xr:uid="{00000000-0005-0000-0000-0000A4110000}"/>
    <cellStyle name="Normal 3 2 3 2 7 2 2" xfId="15210" xr:uid="{D80EBB09-B014-49CE-B513-2AE923FBE0BC}"/>
    <cellStyle name="Normal 3 2 3 2 7 3" xfId="10992" xr:uid="{49E7058E-087A-4F94-8787-DD6098CE8A5B}"/>
    <cellStyle name="Normal 3 2 3 2 8" xfId="4715" xr:uid="{00000000-0005-0000-0000-0000A5110000}"/>
    <cellStyle name="Normal 3 2 3 2 8 2" xfId="13144" xr:uid="{9AB0E8DB-7F3D-4651-996C-E0B557E0197D}"/>
    <cellStyle name="Normal 3 2 3 2 9" xfId="8926" xr:uid="{1088C00F-CDE5-493D-93D1-194C1429CA54}"/>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0A9C0A3B-E30D-4AE7-A0C5-3431FB232592}"/>
    <cellStyle name="Normal 3 2 3 3 2 2 3" xfId="11487" xr:uid="{AAFC4266-4644-4E9E-81B1-F12DCA1E749D}"/>
    <cellStyle name="Normal 3 2 3 3 2 3" xfId="5131" xr:uid="{00000000-0005-0000-0000-0000AA110000}"/>
    <cellStyle name="Normal 3 2 3 3 2 3 2" xfId="13560" xr:uid="{244BF7E3-1E53-4E78-BB72-B0E738D56A57}"/>
    <cellStyle name="Normal 3 2 3 3 2 4" xfId="9342" xr:uid="{09967A94-5CF4-467C-B196-DF85E194B5D8}"/>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8106975D-8353-4071-9084-16405A75A058}"/>
    <cellStyle name="Normal 3 2 3 3 3 2 3" xfId="11900" xr:uid="{47775752-83C5-475F-9BBF-F12F8B9DD792}"/>
    <cellStyle name="Normal 3 2 3 3 3 3" xfId="5544" xr:uid="{00000000-0005-0000-0000-0000AE110000}"/>
    <cellStyle name="Normal 3 2 3 3 3 3 2" xfId="13973" xr:uid="{65B08542-A665-4E0F-8551-A496FC044FBB}"/>
    <cellStyle name="Normal 3 2 3 3 3 4" xfId="9755" xr:uid="{24D669D7-3ABC-455C-AC89-93645D78B3BD}"/>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230D610D-03BD-440B-B27E-C821F785F5EC}"/>
    <cellStyle name="Normal 3 2 3 3 4 2 3" xfId="12313" xr:uid="{76E25A18-7CB5-4F3E-BBD4-D0CB56E91482}"/>
    <cellStyle name="Normal 3 2 3 3 4 3" xfId="5957" xr:uid="{00000000-0005-0000-0000-0000B2110000}"/>
    <cellStyle name="Normal 3 2 3 3 4 3 2" xfId="14386" xr:uid="{26E72AB1-EB3C-45AF-9DF6-DAB53A7CB734}"/>
    <cellStyle name="Normal 3 2 3 3 4 4" xfId="10168" xr:uid="{F0AD5DA3-7D8C-44A1-AE12-7C65C78C4454}"/>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0D6CD2BC-0AE4-4137-AE1B-374CC1842D64}"/>
    <cellStyle name="Normal 3 2 3 3 5 2 3" xfId="12726" xr:uid="{A484CA3E-AB76-4CB9-87DB-499A87E3AC0D}"/>
    <cellStyle name="Normal 3 2 3 3 5 3" xfId="6370" xr:uid="{00000000-0005-0000-0000-0000B6110000}"/>
    <cellStyle name="Normal 3 2 3 3 5 3 2" xfId="14799" xr:uid="{F630F21E-7985-4D49-ACFF-209032D2D61D}"/>
    <cellStyle name="Normal 3 2 3 3 5 4" xfId="10581" xr:uid="{1ADD94E6-A3DA-4E14-AF87-81B72948EBFB}"/>
    <cellStyle name="Normal 3 2 3 3 6" xfId="2498" xr:uid="{00000000-0005-0000-0000-0000B7110000}"/>
    <cellStyle name="Normal 3 2 3 3 6 2" xfId="6783" xr:uid="{00000000-0005-0000-0000-0000B8110000}"/>
    <cellStyle name="Normal 3 2 3 3 6 2 2" xfId="15212" xr:uid="{B028C2FF-C9E6-4D5F-AD9D-B14D9BDFD3F1}"/>
    <cellStyle name="Normal 3 2 3 3 6 3" xfId="10994" xr:uid="{56193DF0-12E7-44F5-B44E-68B5F405331E}"/>
    <cellStyle name="Normal 3 2 3 3 7" xfId="4717" xr:uid="{00000000-0005-0000-0000-0000B9110000}"/>
    <cellStyle name="Normal 3 2 3 3 7 2" xfId="13146" xr:uid="{6B129CFA-0DE0-4B57-AB9F-EC817BCCA302}"/>
    <cellStyle name="Normal 3 2 3 3 8" xfId="8928" xr:uid="{35B7AB9D-62EB-49FA-A1ED-BB24AB984C52}"/>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B9AC5105-D47E-4B6B-8DA1-384E2C7AFE86}"/>
    <cellStyle name="Normal 3 2 3 4 2 3" xfId="11484" xr:uid="{D4DDECAB-BADF-4996-B962-B279963E8875}"/>
    <cellStyle name="Normal 3 2 3 4 3" xfId="5128" xr:uid="{00000000-0005-0000-0000-0000BD110000}"/>
    <cellStyle name="Normal 3 2 3 4 3 2" xfId="13557" xr:uid="{B3AF8624-C6E3-4781-8449-F68B6B2C2D84}"/>
    <cellStyle name="Normal 3 2 3 4 4" xfId="9339" xr:uid="{DC9B0A91-E16A-4FF8-B565-585C542F7442}"/>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39FC7FF9-4C25-48C1-A265-24054986FA51}"/>
    <cellStyle name="Normal 3 2 3 5 2 3" xfId="11897" xr:uid="{D3E768CC-260D-495C-B6CC-9B696CDD35D8}"/>
    <cellStyle name="Normal 3 2 3 5 3" xfId="5541" xr:uid="{00000000-0005-0000-0000-0000C1110000}"/>
    <cellStyle name="Normal 3 2 3 5 3 2" xfId="13970" xr:uid="{8CAAEBF1-44B6-4E8B-942D-CFB4E1876483}"/>
    <cellStyle name="Normal 3 2 3 5 4" xfId="9752" xr:uid="{63374976-8255-4470-B691-4F4613427113}"/>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1461CD23-96FF-4ED7-9B62-DD319D959212}"/>
    <cellStyle name="Normal 3 2 3 6 2 3" xfId="12310" xr:uid="{6E077A0D-F405-49EC-8D29-C11ECDE8CCD2}"/>
    <cellStyle name="Normal 3 2 3 6 3" xfId="5954" xr:uid="{00000000-0005-0000-0000-0000C5110000}"/>
    <cellStyle name="Normal 3 2 3 6 3 2" xfId="14383" xr:uid="{5F4FFCA1-2E8E-4C04-95C3-DFEE96A73F25}"/>
    <cellStyle name="Normal 3 2 3 6 4" xfId="10165" xr:uid="{A7619B8A-1123-4C0A-B7A7-3AF254D55140}"/>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8DD854FA-2C9C-411F-A9EE-DFD64B2B2AE8}"/>
    <cellStyle name="Normal 3 2 3 7 2 3" xfId="12723" xr:uid="{A64F6170-7956-45D1-A5E1-F8345F722DDD}"/>
    <cellStyle name="Normal 3 2 3 7 3" xfId="6367" xr:uid="{00000000-0005-0000-0000-0000C9110000}"/>
    <cellStyle name="Normal 3 2 3 7 3 2" xfId="14796" xr:uid="{0441DC8A-181D-4F93-8AAC-EE08A6ACFD42}"/>
    <cellStyle name="Normal 3 2 3 7 4" xfId="10578" xr:uid="{6C0682A1-F118-4490-B05C-F0AB6F636E3E}"/>
    <cellStyle name="Normal 3 2 3 8" xfId="2495" xr:uid="{00000000-0005-0000-0000-0000CA110000}"/>
    <cellStyle name="Normal 3 2 3 8 2" xfId="6780" xr:uid="{00000000-0005-0000-0000-0000CB110000}"/>
    <cellStyle name="Normal 3 2 3 8 2 2" xfId="15209" xr:uid="{15DAC489-6E04-49BF-A782-65E83FD4B47D}"/>
    <cellStyle name="Normal 3 2 3 8 3" xfId="10991" xr:uid="{876F724B-2C04-411F-9A74-21D87318D5A6}"/>
    <cellStyle name="Normal 3 2 3 9" xfId="4714" xr:uid="{00000000-0005-0000-0000-0000CC110000}"/>
    <cellStyle name="Normal 3 2 3 9 2" xfId="13143" xr:uid="{CC2ECCA0-C631-4332-8851-BA55D8762679}"/>
    <cellStyle name="Normal 3 2 4" xfId="810" xr:uid="{00000000-0005-0000-0000-0000CD110000}"/>
    <cellStyle name="Normal 3 2 4 2" xfId="3048" xr:uid="{00000000-0005-0000-0000-0000CE110000}"/>
    <cellStyle name="Normal 3 2 4 2 2" xfId="7272" xr:uid="{00000000-0005-0000-0000-0000CF110000}"/>
    <cellStyle name="Normal 3 2 4 2 2 2" xfId="15701" xr:uid="{8E5227EA-DCC0-4BF7-886D-6B83DA06EFC3}"/>
    <cellStyle name="Normal 3 2 4 2 3" xfId="11483" xr:uid="{E5A8F1E6-6D2B-4502-956E-C195A72B317C}"/>
    <cellStyle name="Normal 3 2 4 3" xfId="5127" xr:uid="{00000000-0005-0000-0000-0000D0110000}"/>
    <cellStyle name="Normal 3 2 4 3 2" xfId="13556" xr:uid="{0DFA8B95-60F2-4A3A-A564-9C4D9F5191AB}"/>
    <cellStyle name="Normal 3 2 4 4" xfId="9338" xr:uid="{F46F8C3A-1F30-4E2B-82F7-8E647ABA32BB}"/>
    <cellStyle name="Normal 3 2 5" xfId="1231" xr:uid="{00000000-0005-0000-0000-0000D1110000}"/>
    <cellStyle name="Normal 3 2 5 2" xfId="3461" xr:uid="{00000000-0005-0000-0000-0000D2110000}"/>
    <cellStyle name="Normal 3 2 5 2 2" xfId="7685" xr:uid="{00000000-0005-0000-0000-0000D3110000}"/>
    <cellStyle name="Normal 3 2 5 2 2 2" xfId="16114" xr:uid="{D565AB46-3FFF-457E-8696-FAEE6354C0A7}"/>
    <cellStyle name="Normal 3 2 5 2 3" xfId="11896" xr:uid="{44D39DA4-911E-4206-A6FD-36E391F599FA}"/>
    <cellStyle name="Normal 3 2 5 3" xfId="5540" xr:uid="{00000000-0005-0000-0000-0000D4110000}"/>
    <cellStyle name="Normal 3 2 5 3 2" xfId="13969" xr:uid="{A8AD6CAB-B93D-4753-B65D-52A04261AA69}"/>
    <cellStyle name="Normal 3 2 5 4" xfId="9751" xr:uid="{1FFDF0A7-802C-41F1-A6DF-A5F2DFA5C720}"/>
    <cellStyle name="Normal 3 2 6" xfId="1644" xr:uid="{00000000-0005-0000-0000-0000D5110000}"/>
    <cellStyle name="Normal 3 2 6 2" xfId="3874" xr:uid="{00000000-0005-0000-0000-0000D6110000}"/>
    <cellStyle name="Normal 3 2 6 2 2" xfId="8098" xr:uid="{00000000-0005-0000-0000-0000D7110000}"/>
    <cellStyle name="Normal 3 2 6 2 2 2" xfId="16527" xr:uid="{35E2E1F0-8ECB-4843-9197-476D7A17748B}"/>
    <cellStyle name="Normal 3 2 6 2 3" xfId="12309" xr:uid="{785177A1-74E2-4E28-B79F-6E57C2E7186E}"/>
    <cellStyle name="Normal 3 2 6 3" xfId="5953" xr:uid="{00000000-0005-0000-0000-0000D8110000}"/>
    <cellStyle name="Normal 3 2 6 3 2" xfId="14382" xr:uid="{5C6E81D2-47BC-40C2-A0DA-7AD365F78530}"/>
    <cellStyle name="Normal 3 2 6 4" xfId="10164" xr:uid="{7ABE4927-EEDF-4483-8D32-37D2A4E83C84}"/>
    <cellStyle name="Normal 3 2 7" xfId="2058" xr:uid="{00000000-0005-0000-0000-0000D9110000}"/>
    <cellStyle name="Normal 3 2 7 2" xfId="4287" xr:uid="{00000000-0005-0000-0000-0000DA110000}"/>
    <cellStyle name="Normal 3 2 7 2 2" xfId="8511" xr:uid="{00000000-0005-0000-0000-0000DB110000}"/>
    <cellStyle name="Normal 3 2 7 2 2 2" xfId="16940" xr:uid="{001F725B-39FC-4E0A-A66D-C3F9B64FB65C}"/>
    <cellStyle name="Normal 3 2 7 2 3" xfId="12722" xr:uid="{45D54B82-723D-463C-B8A7-66A6554686DA}"/>
    <cellStyle name="Normal 3 2 7 3" xfId="6366" xr:uid="{00000000-0005-0000-0000-0000DC110000}"/>
    <cellStyle name="Normal 3 2 7 3 2" xfId="14795" xr:uid="{BB2C1C62-53D1-46B6-8D8C-F6B6B8E8AE58}"/>
    <cellStyle name="Normal 3 2 7 4" xfId="10577" xr:uid="{D18ED5D5-D132-4CBE-90F5-9AF644411AA4}"/>
    <cellStyle name="Normal 3 2 8" xfId="2494" xr:uid="{00000000-0005-0000-0000-0000DD110000}"/>
    <cellStyle name="Normal 3 2 8 2" xfId="6779" xr:uid="{00000000-0005-0000-0000-0000DE110000}"/>
    <cellStyle name="Normal 3 2 8 2 2" xfId="15208" xr:uid="{E423D2A1-AF14-4C11-BE7B-AD9E8A46B43E}"/>
    <cellStyle name="Normal 3 2 8 3" xfId="10990" xr:uid="{C9BCD4CC-691F-4A2D-A387-D691836D9971}"/>
    <cellStyle name="Normal 3 2 9" xfId="4713" xr:uid="{00000000-0005-0000-0000-0000DF110000}"/>
    <cellStyle name="Normal 3 2 9 2" xfId="13142" xr:uid="{8E9A8CAA-E44C-4C58-9778-8A7E284CBB8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2DF369E6-6AC2-4772-A232-6EA118BF0CD6}"/>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C35FA0FD-FDF9-48C5-AAEF-470ACA4A0E04}"/>
    <cellStyle name="Normal 4 2 2 10 2 3" xfId="12727" xr:uid="{400C0746-D7AC-4E97-983B-13629F79F5EF}"/>
    <cellStyle name="Normal 4 2 2 10 3" xfId="6371" xr:uid="{00000000-0005-0000-0000-0000EC110000}"/>
    <cellStyle name="Normal 4 2 2 10 3 2" xfId="14800" xr:uid="{9F1C827D-4738-4999-9957-95629C1932B1}"/>
    <cellStyle name="Normal 4 2 2 10 4" xfId="10582" xr:uid="{057F2BBB-3A28-4EE8-B833-38903E28025C}"/>
    <cellStyle name="Normal 4 2 2 11" xfId="2499" xr:uid="{00000000-0005-0000-0000-0000ED110000}"/>
    <cellStyle name="Normal 4 2 2 11 2" xfId="6784" xr:uid="{00000000-0005-0000-0000-0000EE110000}"/>
    <cellStyle name="Normal 4 2 2 11 2 2" xfId="15213" xr:uid="{FA194654-0610-415C-B36D-CBDFA17FB17D}"/>
    <cellStyle name="Normal 4 2 2 11 3" xfId="10995" xr:uid="{DB4C358E-E3BE-4719-8892-83328961E795}"/>
    <cellStyle name="Normal 4 2 2 12" xfId="4719" xr:uid="{00000000-0005-0000-0000-0000EF110000}"/>
    <cellStyle name="Normal 4 2 2 12 2" xfId="13148" xr:uid="{0E8BAAB5-BEA6-4A93-A07D-8FDD27AB0175}"/>
    <cellStyle name="Normal 4 2 2 13" xfId="8930" xr:uid="{767E6FB4-55B4-4562-9650-E7D498513481}"/>
    <cellStyle name="Normal 4 2 2 2" xfId="338" xr:uid="{00000000-0005-0000-0000-0000F0110000}"/>
    <cellStyle name="Normal 4 2 2 3" xfId="339" xr:uid="{00000000-0005-0000-0000-0000F1110000}"/>
    <cellStyle name="Normal 4 2 2 3 10" xfId="4720" xr:uid="{00000000-0005-0000-0000-0000F2110000}"/>
    <cellStyle name="Normal 4 2 2 3 10 2" xfId="13149" xr:uid="{AA9443BB-D844-4279-BC7B-BBCC6B7EE1C9}"/>
    <cellStyle name="Normal 4 2 2 3 11" xfId="8931" xr:uid="{1DC76C3F-D2C8-4631-87D0-166988033C25}"/>
    <cellStyle name="Normal 4 2 2 3 2" xfId="340" xr:uid="{00000000-0005-0000-0000-0000F3110000}"/>
    <cellStyle name="Normal 4 2 2 3 2 10" xfId="8932" xr:uid="{40EB8FC7-9313-48B5-93A3-9E9BF5F2663C}"/>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828687AC-CEE7-4B8D-A085-CC28EC07B0EF}"/>
    <cellStyle name="Normal 4 2 2 3 2 2 2 2 2 3" xfId="11492" xr:uid="{B8F9B9FD-8921-4EAB-9768-18DE2D33D0CB}"/>
    <cellStyle name="Normal 4 2 2 3 2 2 2 2 3" xfId="5136" xr:uid="{00000000-0005-0000-0000-0000F9110000}"/>
    <cellStyle name="Normal 4 2 2 3 2 2 2 2 3 2" xfId="13565" xr:uid="{8565C844-83B6-4993-9226-ECA87B21C01D}"/>
    <cellStyle name="Normal 4 2 2 3 2 2 2 2 4" xfId="9347" xr:uid="{EB6D5617-F582-4F86-856C-050D1BA7C964}"/>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F83E7C6F-06FD-42DC-8DA3-536A692067A6}"/>
    <cellStyle name="Normal 4 2 2 3 2 2 2 3 2 3" xfId="11905" xr:uid="{F0D08D56-B9E7-4684-805A-B72B1FD66340}"/>
    <cellStyle name="Normal 4 2 2 3 2 2 2 3 3" xfId="5549" xr:uid="{00000000-0005-0000-0000-0000FD110000}"/>
    <cellStyle name="Normal 4 2 2 3 2 2 2 3 3 2" xfId="13978" xr:uid="{B7CDCE91-02B7-4698-AC25-2D177ABE8FD5}"/>
    <cellStyle name="Normal 4 2 2 3 2 2 2 3 4" xfId="9760" xr:uid="{85FC92F9-7398-43BE-BBF8-65876D78F2FE}"/>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5F7DD597-F556-4143-9D31-E9E9B5BF1252}"/>
    <cellStyle name="Normal 4 2 2 3 2 2 2 4 2 3" xfId="12318" xr:uid="{4DBE2FF5-F6DE-4BF3-A455-D0ECD79DBA7C}"/>
    <cellStyle name="Normal 4 2 2 3 2 2 2 4 3" xfId="5962" xr:uid="{00000000-0005-0000-0000-000001120000}"/>
    <cellStyle name="Normal 4 2 2 3 2 2 2 4 3 2" xfId="14391" xr:uid="{BEAC861D-5000-46F1-AD37-A671F953B475}"/>
    <cellStyle name="Normal 4 2 2 3 2 2 2 4 4" xfId="10173" xr:uid="{55931768-C97B-4936-9B26-0C4CAE0495C6}"/>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9E5BAFC0-2286-4917-9759-2402CF0C0537}"/>
    <cellStyle name="Normal 4 2 2 3 2 2 2 5 2 3" xfId="12731" xr:uid="{80E56922-F7E4-4DCE-9400-590914C989E8}"/>
    <cellStyle name="Normal 4 2 2 3 2 2 2 5 3" xfId="6375" xr:uid="{00000000-0005-0000-0000-000005120000}"/>
    <cellStyle name="Normal 4 2 2 3 2 2 2 5 3 2" xfId="14804" xr:uid="{558B2B44-B0F2-484A-AEF0-BB96EAE2D669}"/>
    <cellStyle name="Normal 4 2 2 3 2 2 2 5 4" xfId="10586" xr:uid="{19519928-38E7-4A04-9E97-FA9BBA54DBB9}"/>
    <cellStyle name="Normal 4 2 2 3 2 2 2 6" xfId="2503" xr:uid="{00000000-0005-0000-0000-000006120000}"/>
    <cellStyle name="Normal 4 2 2 3 2 2 2 6 2" xfId="6788" xr:uid="{00000000-0005-0000-0000-000007120000}"/>
    <cellStyle name="Normal 4 2 2 3 2 2 2 6 2 2" xfId="15217" xr:uid="{922D5635-F5B7-4A42-8445-D16B46910C87}"/>
    <cellStyle name="Normal 4 2 2 3 2 2 2 6 3" xfId="10999" xr:uid="{9AAF17DB-8136-4519-AD0A-862A170EF74A}"/>
    <cellStyle name="Normal 4 2 2 3 2 2 2 7" xfId="4723" xr:uid="{00000000-0005-0000-0000-000008120000}"/>
    <cellStyle name="Normal 4 2 2 3 2 2 2 7 2" xfId="13152" xr:uid="{8E93616C-A3C8-4BE8-89F3-B308379AEB85}"/>
    <cellStyle name="Normal 4 2 2 3 2 2 2 8" xfId="8934" xr:uid="{A8F5FEE3-C7D0-4499-A7A2-F016CF75E151}"/>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37FF7568-0E18-428F-BD8C-88BEDD26DF56}"/>
    <cellStyle name="Normal 4 2 2 3 2 2 3 2 3" xfId="11491" xr:uid="{8347C9BA-A9CB-4894-AFE2-CCA1E899B31C}"/>
    <cellStyle name="Normal 4 2 2 3 2 2 3 3" xfId="5135" xr:uid="{00000000-0005-0000-0000-00000C120000}"/>
    <cellStyle name="Normal 4 2 2 3 2 2 3 3 2" xfId="13564" xr:uid="{85CE7B4B-39F9-454B-9031-E0171F3FCC31}"/>
    <cellStyle name="Normal 4 2 2 3 2 2 3 4" xfId="9346" xr:uid="{1A4EA44F-327F-4C67-9109-597545AF7ACC}"/>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FBBBE4CD-D6D2-4D01-B1EF-CED2DFAEBF38}"/>
    <cellStyle name="Normal 4 2 2 3 2 2 4 2 3" xfId="11904" xr:uid="{F45E3544-426B-444D-88DE-DECD6590F1BB}"/>
    <cellStyle name="Normal 4 2 2 3 2 2 4 3" xfId="5548" xr:uid="{00000000-0005-0000-0000-000010120000}"/>
    <cellStyle name="Normal 4 2 2 3 2 2 4 3 2" xfId="13977" xr:uid="{0147F78C-AD39-4AA6-A390-938BA6426BAA}"/>
    <cellStyle name="Normal 4 2 2 3 2 2 4 4" xfId="9759" xr:uid="{D6436AE6-F652-4372-869F-53C96835C055}"/>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D4F964F6-5A6B-4AE8-85FB-D55015DD0F18}"/>
    <cellStyle name="Normal 4 2 2 3 2 2 5 2 3" xfId="12317" xr:uid="{F2BA3868-1B94-4DAE-BCE1-45182CA9839C}"/>
    <cellStyle name="Normal 4 2 2 3 2 2 5 3" xfId="5961" xr:uid="{00000000-0005-0000-0000-000014120000}"/>
    <cellStyle name="Normal 4 2 2 3 2 2 5 3 2" xfId="14390" xr:uid="{A654F06C-F473-4DD6-8096-A77031C04E8F}"/>
    <cellStyle name="Normal 4 2 2 3 2 2 5 4" xfId="10172" xr:uid="{79FF71D1-3BEA-46A7-9673-9ED8A99651B6}"/>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2C1E2135-3FEE-4DE4-81C7-F7E50206C08B}"/>
    <cellStyle name="Normal 4 2 2 3 2 2 6 2 3" xfId="12730" xr:uid="{0A354BEB-6F95-4290-B3C0-499D4625512E}"/>
    <cellStyle name="Normal 4 2 2 3 2 2 6 3" xfId="6374" xr:uid="{00000000-0005-0000-0000-000018120000}"/>
    <cellStyle name="Normal 4 2 2 3 2 2 6 3 2" xfId="14803" xr:uid="{9871CC9D-AA69-4884-B474-EDAF32ED3375}"/>
    <cellStyle name="Normal 4 2 2 3 2 2 6 4" xfId="10585" xr:uid="{85886C04-A1B6-4BF4-B724-47D280891F2C}"/>
    <cellStyle name="Normal 4 2 2 3 2 2 7" xfId="2502" xr:uid="{00000000-0005-0000-0000-000019120000}"/>
    <cellStyle name="Normal 4 2 2 3 2 2 7 2" xfId="6787" xr:uid="{00000000-0005-0000-0000-00001A120000}"/>
    <cellStyle name="Normal 4 2 2 3 2 2 7 2 2" xfId="15216" xr:uid="{250E8871-E2EE-4984-9FA8-A40AF5638ABD}"/>
    <cellStyle name="Normal 4 2 2 3 2 2 7 3" xfId="10998" xr:uid="{90D3EEA5-2030-4E6A-8AC4-279F3EF13C26}"/>
    <cellStyle name="Normal 4 2 2 3 2 2 8" xfId="4722" xr:uid="{00000000-0005-0000-0000-00001B120000}"/>
    <cellStyle name="Normal 4 2 2 3 2 2 8 2" xfId="13151" xr:uid="{D1140CC2-31C6-4CD2-94B0-025168DC0815}"/>
    <cellStyle name="Normal 4 2 2 3 2 2 9" xfId="8933" xr:uid="{B3BC8126-8327-451B-A2E6-3D69FBC77CC7}"/>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7A989363-280C-4F7E-AB90-8E55C6FD4C4B}"/>
    <cellStyle name="Normal 4 2 2 3 2 3 2 2 3" xfId="11493" xr:uid="{F6D41FAD-C453-4EF4-A33F-27FAF4FDC20D}"/>
    <cellStyle name="Normal 4 2 2 3 2 3 2 3" xfId="5137" xr:uid="{00000000-0005-0000-0000-000020120000}"/>
    <cellStyle name="Normal 4 2 2 3 2 3 2 3 2" xfId="13566" xr:uid="{8DE09B77-8B72-4348-9E47-51CD8AD3CE40}"/>
    <cellStyle name="Normal 4 2 2 3 2 3 2 4" xfId="9348" xr:uid="{382F8E0B-EC0B-429F-A5D0-78855D977FE8}"/>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EDCD7C82-2F96-467A-9298-B9A6DBA22DF5}"/>
    <cellStyle name="Normal 4 2 2 3 2 3 3 2 3" xfId="11906" xr:uid="{94953DC1-38E9-435C-80C4-F40714653CA7}"/>
    <cellStyle name="Normal 4 2 2 3 2 3 3 3" xfId="5550" xr:uid="{00000000-0005-0000-0000-000024120000}"/>
    <cellStyle name="Normal 4 2 2 3 2 3 3 3 2" xfId="13979" xr:uid="{8CD2DEE2-F401-4847-9BA8-F4E5D245616F}"/>
    <cellStyle name="Normal 4 2 2 3 2 3 3 4" xfId="9761" xr:uid="{D2468F86-C8D0-4550-9EB0-81C20F82C00E}"/>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A9CA5B66-9474-44E9-AC39-5908EB8778ED}"/>
    <cellStyle name="Normal 4 2 2 3 2 3 4 2 3" xfId="12319" xr:uid="{352F18CD-34E7-46FB-B43A-5B133D68F940}"/>
    <cellStyle name="Normal 4 2 2 3 2 3 4 3" xfId="5963" xr:uid="{00000000-0005-0000-0000-000028120000}"/>
    <cellStyle name="Normal 4 2 2 3 2 3 4 3 2" xfId="14392" xr:uid="{5188CA06-1E5F-4E97-BF09-58D18F7991F6}"/>
    <cellStyle name="Normal 4 2 2 3 2 3 4 4" xfId="10174" xr:uid="{7F815D3E-3133-481E-AC70-0F9AFFA75126}"/>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54B1857B-A170-4EFC-9838-4FD629ABE037}"/>
    <cellStyle name="Normal 4 2 2 3 2 3 5 2 3" xfId="12732" xr:uid="{5C7733DA-637E-42E8-8C2B-7A4B4723B44F}"/>
    <cellStyle name="Normal 4 2 2 3 2 3 5 3" xfId="6376" xr:uid="{00000000-0005-0000-0000-00002C120000}"/>
    <cellStyle name="Normal 4 2 2 3 2 3 5 3 2" xfId="14805" xr:uid="{6B1F0CCF-5A05-4B06-B07B-DCA2339D01AD}"/>
    <cellStyle name="Normal 4 2 2 3 2 3 5 4" xfId="10587" xr:uid="{482E3D91-8E9F-4D6F-99A9-8F047FB8F6F3}"/>
    <cellStyle name="Normal 4 2 2 3 2 3 6" xfId="2504" xr:uid="{00000000-0005-0000-0000-00002D120000}"/>
    <cellStyle name="Normal 4 2 2 3 2 3 6 2" xfId="6789" xr:uid="{00000000-0005-0000-0000-00002E120000}"/>
    <cellStyle name="Normal 4 2 2 3 2 3 6 2 2" xfId="15218" xr:uid="{734943ED-CD1A-4BBE-B33E-BE505CBC2570}"/>
    <cellStyle name="Normal 4 2 2 3 2 3 6 3" xfId="11000" xr:uid="{A0B95683-BD5C-4C80-A43E-3FDD63C7E227}"/>
    <cellStyle name="Normal 4 2 2 3 2 3 7" xfId="4724" xr:uid="{00000000-0005-0000-0000-00002F120000}"/>
    <cellStyle name="Normal 4 2 2 3 2 3 7 2" xfId="13153" xr:uid="{72097A48-BAAA-4FF9-AE75-4769656E6B97}"/>
    <cellStyle name="Normal 4 2 2 3 2 3 8" xfId="8935" xr:uid="{67357745-E571-4404-9D7C-1257B98729E1}"/>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5D49CF17-90AA-47FE-B6A3-E24780A3B74B}"/>
    <cellStyle name="Normal 4 2 2 3 2 4 2 3" xfId="11490" xr:uid="{F727EEA2-7CAE-47EF-82F6-81619D220685}"/>
    <cellStyle name="Normal 4 2 2 3 2 4 3" xfId="5134" xr:uid="{00000000-0005-0000-0000-000033120000}"/>
    <cellStyle name="Normal 4 2 2 3 2 4 3 2" xfId="13563" xr:uid="{E4DAF6C8-3063-43A9-A310-7B787B6FD85C}"/>
    <cellStyle name="Normal 4 2 2 3 2 4 4" xfId="9345" xr:uid="{F812193C-540A-459F-BE17-D9B3E37C52CC}"/>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2804ECFE-AC98-49A8-92D8-0C40062FE868}"/>
    <cellStyle name="Normal 4 2 2 3 2 5 2 3" xfId="11903" xr:uid="{B99F1B03-BDEB-45EF-824A-B9ED51515FB0}"/>
    <cellStyle name="Normal 4 2 2 3 2 5 3" xfId="5547" xr:uid="{00000000-0005-0000-0000-000037120000}"/>
    <cellStyle name="Normal 4 2 2 3 2 5 3 2" xfId="13976" xr:uid="{60A739E7-5F54-469A-835D-5BF351C30D09}"/>
    <cellStyle name="Normal 4 2 2 3 2 5 4" xfId="9758" xr:uid="{740E4EB0-B4DA-47BE-BDF3-C13B25BA06EB}"/>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67F92E33-64B9-4086-B889-3EB76D205442}"/>
    <cellStyle name="Normal 4 2 2 3 2 6 2 3" xfId="12316" xr:uid="{097A7274-4996-422F-86D7-EED87A544A9E}"/>
    <cellStyle name="Normal 4 2 2 3 2 6 3" xfId="5960" xr:uid="{00000000-0005-0000-0000-00003B120000}"/>
    <cellStyle name="Normal 4 2 2 3 2 6 3 2" xfId="14389" xr:uid="{2E5062AD-5743-410D-82B1-D55446EEC5D2}"/>
    <cellStyle name="Normal 4 2 2 3 2 6 4" xfId="10171" xr:uid="{7A7DB18E-A8D4-48C3-A232-A5D9AA4E675B}"/>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AB7BA6B5-74E6-4FB7-9F2F-BA06BC5375A5}"/>
    <cellStyle name="Normal 4 2 2 3 2 7 2 3" xfId="12729" xr:uid="{CA3CDB71-937F-43DB-84FA-62C4A96CE5FC}"/>
    <cellStyle name="Normal 4 2 2 3 2 7 3" xfId="6373" xr:uid="{00000000-0005-0000-0000-00003F120000}"/>
    <cellStyle name="Normal 4 2 2 3 2 7 3 2" xfId="14802" xr:uid="{1764EA18-C1DD-4F20-80C7-2783E26DEF14}"/>
    <cellStyle name="Normal 4 2 2 3 2 7 4" xfId="10584" xr:uid="{514558FC-6894-4EAA-B909-36F8A246B44B}"/>
    <cellStyle name="Normal 4 2 2 3 2 8" xfId="2501" xr:uid="{00000000-0005-0000-0000-000040120000}"/>
    <cellStyle name="Normal 4 2 2 3 2 8 2" xfId="6786" xr:uid="{00000000-0005-0000-0000-000041120000}"/>
    <cellStyle name="Normal 4 2 2 3 2 8 2 2" xfId="15215" xr:uid="{0DFE5012-090E-4791-8E07-9DAF20F71191}"/>
    <cellStyle name="Normal 4 2 2 3 2 8 3" xfId="10997" xr:uid="{7ED00682-E688-4137-A58F-A6AF6280F067}"/>
    <cellStyle name="Normal 4 2 2 3 2 9" xfId="4721" xr:uid="{00000000-0005-0000-0000-000042120000}"/>
    <cellStyle name="Normal 4 2 2 3 2 9 2" xfId="13150" xr:uid="{3A3F1D2C-1AF9-4E56-84F0-8DFAD3BB7AD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1B287BAC-9E12-42D8-B99D-72EDCA523808}"/>
    <cellStyle name="Normal 4 2 2 3 3 2 2 2 3" xfId="11495" xr:uid="{7A961829-972E-49B7-B5B2-FD9F5EF6BC17}"/>
    <cellStyle name="Normal 4 2 2 3 3 2 2 3" xfId="5139" xr:uid="{00000000-0005-0000-0000-000048120000}"/>
    <cellStyle name="Normal 4 2 2 3 3 2 2 3 2" xfId="13568" xr:uid="{7AF8DBB6-EC12-4E0C-AAC3-F69E118EE6DC}"/>
    <cellStyle name="Normal 4 2 2 3 3 2 2 4" xfId="9350" xr:uid="{390583B0-E50C-4E84-8F1A-21A0B032232E}"/>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60AB1EAA-4A4D-4205-BE29-064C6827E3D4}"/>
    <cellStyle name="Normal 4 2 2 3 3 2 3 2 3" xfId="11908" xr:uid="{4AF57A44-7A4E-48AB-BD73-198325092869}"/>
    <cellStyle name="Normal 4 2 2 3 3 2 3 3" xfId="5552" xr:uid="{00000000-0005-0000-0000-00004C120000}"/>
    <cellStyle name="Normal 4 2 2 3 3 2 3 3 2" xfId="13981" xr:uid="{DDED8800-54CE-41EA-B990-5A7B0263723D}"/>
    <cellStyle name="Normal 4 2 2 3 3 2 3 4" xfId="9763" xr:uid="{697E2DE6-F5C7-4D23-AFD6-C34F2CA5136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FB653A25-8058-4573-8584-0B84C11438A6}"/>
    <cellStyle name="Normal 4 2 2 3 3 2 4 2 3" xfId="12321" xr:uid="{7CC1D1F3-8500-4000-8946-83A941858729}"/>
    <cellStyle name="Normal 4 2 2 3 3 2 4 3" xfId="5965" xr:uid="{00000000-0005-0000-0000-000050120000}"/>
    <cellStyle name="Normal 4 2 2 3 3 2 4 3 2" xfId="14394" xr:uid="{F084B7D1-F61B-4AAD-B7CD-DDE91220242A}"/>
    <cellStyle name="Normal 4 2 2 3 3 2 4 4" xfId="10176" xr:uid="{2EA439B2-7F7F-4EC0-A268-229FDCB54752}"/>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852AE534-2B53-40B1-A898-F36D74C4374C}"/>
    <cellStyle name="Normal 4 2 2 3 3 2 5 2 3" xfId="12734" xr:uid="{5D1DBB3C-9106-4BDF-BF0E-7495A9C1EBD3}"/>
    <cellStyle name="Normal 4 2 2 3 3 2 5 3" xfId="6378" xr:uid="{00000000-0005-0000-0000-000054120000}"/>
    <cellStyle name="Normal 4 2 2 3 3 2 5 3 2" xfId="14807" xr:uid="{AB72D6C6-BA84-461F-BAB7-0E5A91A5CED5}"/>
    <cellStyle name="Normal 4 2 2 3 3 2 5 4" xfId="10589" xr:uid="{F859C042-D9CD-4E0C-B690-DCE7607D2AC1}"/>
    <cellStyle name="Normal 4 2 2 3 3 2 6" xfId="2506" xr:uid="{00000000-0005-0000-0000-000055120000}"/>
    <cellStyle name="Normal 4 2 2 3 3 2 6 2" xfId="6791" xr:uid="{00000000-0005-0000-0000-000056120000}"/>
    <cellStyle name="Normal 4 2 2 3 3 2 6 2 2" xfId="15220" xr:uid="{FE3BD821-C819-4101-AFAD-51B92F49833E}"/>
    <cellStyle name="Normal 4 2 2 3 3 2 6 3" xfId="11002" xr:uid="{AC3E34D0-EC29-456D-8083-5CDABFB0E82A}"/>
    <cellStyle name="Normal 4 2 2 3 3 2 7" xfId="4726" xr:uid="{00000000-0005-0000-0000-000057120000}"/>
    <cellStyle name="Normal 4 2 2 3 3 2 7 2" xfId="13155" xr:uid="{21E79091-4118-4394-93F4-809BAC43ECBD}"/>
    <cellStyle name="Normal 4 2 2 3 3 2 8" xfId="8937" xr:uid="{35E5CF1C-D030-4CDC-BD8C-065F5AE062D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A3B59EB1-F1A5-4D12-9A30-5CA9617B8502}"/>
    <cellStyle name="Normal 4 2 2 3 3 3 2 3" xfId="11494" xr:uid="{9CB97371-D8D6-4049-87C7-428717B1DDCC}"/>
    <cellStyle name="Normal 4 2 2 3 3 3 3" xfId="5138" xr:uid="{00000000-0005-0000-0000-00005B120000}"/>
    <cellStyle name="Normal 4 2 2 3 3 3 3 2" xfId="13567" xr:uid="{AF622CD8-6F5A-40B8-876B-C456BC2BD97D}"/>
    <cellStyle name="Normal 4 2 2 3 3 3 4" xfId="9349" xr:uid="{F8E5BB5E-2D56-4BD4-A2B8-C73A10E411AB}"/>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EF5F46BB-1DBE-4A8F-8096-1C21AF73A175}"/>
    <cellStyle name="Normal 4 2 2 3 3 4 2 3" xfId="11907" xr:uid="{FC4638EC-E4B6-4E90-B839-FB0AEF9A83D4}"/>
    <cellStyle name="Normal 4 2 2 3 3 4 3" xfId="5551" xr:uid="{00000000-0005-0000-0000-00005F120000}"/>
    <cellStyle name="Normal 4 2 2 3 3 4 3 2" xfId="13980" xr:uid="{7CFF3A8B-12B6-404B-AEC6-CD2DE11DBCD2}"/>
    <cellStyle name="Normal 4 2 2 3 3 4 4" xfId="9762" xr:uid="{1D5A444C-41C9-4206-BBA1-1F6D0DC85994}"/>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4CA55B98-79BA-4C1F-9633-27C164620D9A}"/>
    <cellStyle name="Normal 4 2 2 3 3 5 2 3" xfId="12320" xr:uid="{3F6425A4-5455-4DEC-803F-949D36A760B0}"/>
    <cellStyle name="Normal 4 2 2 3 3 5 3" xfId="5964" xr:uid="{00000000-0005-0000-0000-000063120000}"/>
    <cellStyle name="Normal 4 2 2 3 3 5 3 2" xfId="14393" xr:uid="{549A4B47-7443-4442-8AD6-216BFD73E38A}"/>
    <cellStyle name="Normal 4 2 2 3 3 5 4" xfId="10175" xr:uid="{31A3A64F-DC4E-49F2-B822-F044BADD4E03}"/>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A9DA1CBA-C5E4-403F-ADE3-591261E548D8}"/>
    <cellStyle name="Normal 4 2 2 3 3 6 2 3" xfId="12733" xr:uid="{1AB5E850-EFFD-4082-B2B3-E4CB8CA56E71}"/>
    <cellStyle name="Normal 4 2 2 3 3 6 3" xfId="6377" xr:uid="{00000000-0005-0000-0000-000067120000}"/>
    <cellStyle name="Normal 4 2 2 3 3 6 3 2" xfId="14806" xr:uid="{AAF5D260-624D-41E6-A4D7-1D6144FD9078}"/>
    <cellStyle name="Normal 4 2 2 3 3 6 4" xfId="10588" xr:uid="{8B328C3D-76D2-4A19-9243-961C890C2384}"/>
    <cellStyle name="Normal 4 2 2 3 3 7" xfId="2505" xr:uid="{00000000-0005-0000-0000-000068120000}"/>
    <cellStyle name="Normal 4 2 2 3 3 7 2" xfId="6790" xr:uid="{00000000-0005-0000-0000-000069120000}"/>
    <cellStyle name="Normal 4 2 2 3 3 7 2 2" xfId="15219" xr:uid="{DB1F9C93-20AB-40C0-B331-52B7A6FF56BD}"/>
    <cellStyle name="Normal 4 2 2 3 3 7 3" xfId="11001" xr:uid="{DF3051CD-23F6-4154-91E7-EFE04FA8306B}"/>
    <cellStyle name="Normal 4 2 2 3 3 8" xfId="4725" xr:uid="{00000000-0005-0000-0000-00006A120000}"/>
    <cellStyle name="Normal 4 2 2 3 3 8 2" xfId="13154" xr:uid="{6AA60FAB-C285-469D-8232-53B37128F96D}"/>
    <cellStyle name="Normal 4 2 2 3 3 9" xfId="8936" xr:uid="{EEFCBC35-7E33-498E-AB08-093E07D7CDE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7B9CA805-323E-49CA-8E1D-18AF96163258}"/>
    <cellStyle name="Normal 4 2 2 3 4 2 2 3" xfId="11496" xr:uid="{21268ACB-B394-461C-90A1-DEFD534B3543}"/>
    <cellStyle name="Normal 4 2 2 3 4 2 3" xfId="5140" xr:uid="{00000000-0005-0000-0000-00006F120000}"/>
    <cellStyle name="Normal 4 2 2 3 4 2 3 2" xfId="13569" xr:uid="{50CFF77B-9CBE-4777-A3B0-0B762761F14E}"/>
    <cellStyle name="Normal 4 2 2 3 4 2 4" xfId="9351" xr:uid="{2CD00E9D-F20F-41AC-95E6-517BDD9E3AC4}"/>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A26A91B2-9C9F-4FBA-97E8-5044233EF520}"/>
    <cellStyle name="Normal 4 2 2 3 4 3 2 3" xfId="11909" xr:uid="{E1C15970-3EE8-481E-B396-04D1C90DA4D1}"/>
    <cellStyle name="Normal 4 2 2 3 4 3 3" xfId="5553" xr:uid="{00000000-0005-0000-0000-000073120000}"/>
    <cellStyle name="Normal 4 2 2 3 4 3 3 2" xfId="13982" xr:uid="{2CE46F52-7901-4175-A5B8-3072589A88C6}"/>
    <cellStyle name="Normal 4 2 2 3 4 3 4" xfId="9764" xr:uid="{C2F4134F-2E4D-447A-8DBF-32526852F9A3}"/>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6DF2FD92-6995-455D-9C81-E9DFB28F2B9E}"/>
    <cellStyle name="Normal 4 2 2 3 4 4 2 3" xfId="12322" xr:uid="{8BAF6DD3-A920-4AEC-96FD-6E080593C374}"/>
    <cellStyle name="Normal 4 2 2 3 4 4 3" xfId="5966" xr:uid="{00000000-0005-0000-0000-000077120000}"/>
    <cellStyle name="Normal 4 2 2 3 4 4 3 2" xfId="14395" xr:uid="{B48E220C-FA5F-4CDF-B7A4-E04A269B23A7}"/>
    <cellStyle name="Normal 4 2 2 3 4 4 4" xfId="10177" xr:uid="{CFE0A56A-12AB-4E42-B3B3-DB57FE2453E8}"/>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5A63FD20-A4CA-4DF7-8DF1-2D06B400EA58}"/>
    <cellStyle name="Normal 4 2 2 3 4 5 2 3" xfId="12735" xr:uid="{AA3EBF9F-A565-4FF7-A423-DEDD7406881B}"/>
    <cellStyle name="Normal 4 2 2 3 4 5 3" xfId="6379" xr:uid="{00000000-0005-0000-0000-00007B120000}"/>
    <cellStyle name="Normal 4 2 2 3 4 5 3 2" xfId="14808" xr:uid="{16358196-6142-4F7E-B18E-83B371AF9736}"/>
    <cellStyle name="Normal 4 2 2 3 4 5 4" xfId="10590" xr:uid="{2618877A-7A8A-4845-B7F7-2C10068CF133}"/>
    <cellStyle name="Normal 4 2 2 3 4 6" xfId="2507" xr:uid="{00000000-0005-0000-0000-00007C120000}"/>
    <cellStyle name="Normal 4 2 2 3 4 6 2" xfId="6792" xr:uid="{00000000-0005-0000-0000-00007D120000}"/>
    <cellStyle name="Normal 4 2 2 3 4 6 2 2" xfId="15221" xr:uid="{CFDF73F2-C7D5-4D69-8AC7-3E879B364B1E}"/>
    <cellStyle name="Normal 4 2 2 3 4 6 3" xfId="11003" xr:uid="{9657E0F6-F234-4B99-AA98-B38467EB306F}"/>
    <cellStyle name="Normal 4 2 2 3 4 7" xfId="4727" xr:uid="{00000000-0005-0000-0000-00007E120000}"/>
    <cellStyle name="Normal 4 2 2 3 4 7 2" xfId="13156" xr:uid="{2CF8B1C0-0405-43FA-89DF-7F9FCB369DCC}"/>
    <cellStyle name="Normal 4 2 2 3 4 8" xfId="8938" xr:uid="{882B49DB-F9D0-41A7-AC9A-F6099E3D2E5C}"/>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AE2BB90F-5FCC-49B1-ADAC-F0CDE1F55436}"/>
    <cellStyle name="Normal 4 2 2 3 5 2 3" xfId="11489" xr:uid="{7BB535C1-D724-4DAE-B1FA-BC7EB2D23275}"/>
    <cellStyle name="Normal 4 2 2 3 5 3" xfId="5133" xr:uid="{00000000-0005-0000-0000-000082120000}"/>
    <cellStyle name="Normal 4 2 2 3 5 3 2" xfId="13562" xr:uid="{B902171B-E0E9-4D97-8CE6-03EAFE9A0C04}"/>
    <cellStyle name="Normal 4 2 2 3 5 4" xfId="9344" xr:uid="{6F1964A8-E242-41F6-9C65-7C98C976A96D}"/>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665A4D1A-6D7B-4BC3-95A7-84C167D0F139}"/>
    <cellStyle name="Normal 4 2 2 3 6 2 3" xfId="11902" xr:uid="{0739BF12-A4C7-4BD8-BA12-B1CE912DDA3A}"/>
    <cellStyle name="Normal 4 2 2 3 6 3" xfId="5546" xr:uid="{00000000-0005-0000-0000-000086120000}"/>
    <cellStyle name="Normal 4 2 2 3 6 3 2" xfId="13975" xr:uid="{080C4C5B-89A2-4745-80E8-85348946A218}"/>
    <cellStyle name="Normal 4 2 2 3 6 4" xfId="9757" xr:uid="{4751F51B-C1B3-4042-9476-88DB711967A2}"/>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D8B2373F-04BE-47FB-B3C4-FA54BB70D45F}"/>
    <cellStyle name="Normal 4 2 2 3 7 2 3" xfId="12315" xr:uid="{4F08878E-CB3A-4FCF-A8D6-5CC7DA683AA2}"/>
    <cellStyle name="Normal 4 2 2 3 7 3" xfId="5959" xr:uid="{00000000-0005-0000-0000-00008A120000}"/>
    <cellStyle name="Normal 4 2 2 3 7 3 2" xfId="14388" xr:uid="{D611A080-797E-4AA4-AB7F-A1FB92CAEADA}"/>
    <cellStyle name="Normal 4 2 2 3 7 4" xfId="10170" xr:uid="{963B3B51-352B-48DA-973B-AF96C14B6E6E}"/>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93452A27-6A4C-434B-901E-E3C7EFC1FF8F}"/>
    <cellStyle name="Normal 4 2 2 3 8 2 3" xfId="12728" xr:uid="{A27DA0CA-A806-4EC0-91F1-432A2A64F402}"/>
    <cellStyle name="Normal 4 2 2 3 8 3" xfId="6372" xr:uid="{00000000-0005-0000-0000-00008E120000}"/>
    <cellStyle name="Normal 4 2 2 3 8 3 2" xfId="14801" xr:uid="{53DB724D-C72B-4F53-B1E9-2A2FBD180F4D}"/>
    <cellStyle name="Normal 4 2 2 3 8 4" xfId="10583" xr:uid="{0D4A1F02-323E-49AA-BC8D-D314A8D0199F}"/>
    <cellStyle name="Normal 4 2 2 3 9" xfId="2500" xr:uid="{00000000-0005-0000-0000-00008F120000}"/>
    <cellStyle name="Normal 4 2 2 3 9 2" xfId="6785" xr:uid="{00000000-0005-0000-0000-000090120000}"/>
    <cellStyle name="Normal 4 2 2 3 9 2 2" xfId="15214" xr:uid="{C84DC4DB-4426-413D-AC4B-88AC2EE345E1}"/>
    <cellStyle name="Normal 4 2 2 3 9 3" xfId="10996" xr:uid="{5F4AE49F-F23A-4FAB-9F55-B19AECC7B638}"/>
    <cellStyle name="Normal 4 2 2 4" xfId="347" xr:uid="{00000000-0005-0000-0000-000091120000}"/>
    <cellStyle name="Normal 4 2 2 4 10" xfId="8939" xr:uid="{0FB19BCF-C2D9-40A1-B754-E073E9E96647}"/>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98700717-A943-4543-BFA9-5315DD79A0A3}"/>
    <cellStyle name="Normal 4 2 2 4 2 2 2 2 3" xfId="11499" xr:uid="{66A2471D-4B09-4BA5-9627-B1248934913E}"/>
    <cellStyle name="Normal 4 2 2 4 2 2 2 3" xfId="5143" xr:uid="{00000000-0005-0000-0000-000097120000}"/>
    <cellStyle name="Normal 4 2 2 4 2 2 2 3 2" xfId="13572" xr:uid="{DF559B6F-1B69-4C7F-973A-28B322FD49D5}"/>
    <cellStyle name="Normal 4 2 2 4 2 2 2 4" xfId="9354" xr:uid="{88DDB0DA-6717-49B8-A830-58D0ACCF063C}"/>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4583A711-5FB9-434C-853D-073EB2CF486C}"/>
    <cellStyle name="Normal 4 2 2 4 2 2 3 2 3" xfId="11912" xr:uid="{2E3D91E0-33AA-49A9-AA18-6EE31579653B}"/>
    <cellStyle name="Normal 4 2 2 4 2 2 3 3" xfId="5556" xr:uid="{00000000-0005-0000-0000-00009B120000}"/>
    <cellStyle name="Normal 4 2 2 4 2 2 3 3 2" xfId="13985" xr:uid="{BA042A60-F909-4585-B1BE-E85CF739AD96}"/>
    <cellStyle name="Normal 4 2 2 4 2 2 3 4" xfId="9767" xr:uid="{1331D2D9-C53B-4ED7-9EEE-51631970DBDA}"/>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B2AD8A15-2B59-435F-8031-021B35E2833B}"/>
    <cellStyle name="Normal 4 2 2 4 2 2 4 2 3" xfId="12325" xr:uid="{ED8D2DFC-EC75-4CEC-A908-68B824DEDF34}"/>
    <cellStyle name="Normal 4 2 2 4 2 2 4 3" xfId="5969" xr:uid="{00000000-0005-0000-0000-00009F120000}"/>
    <cellStyle name="Normal 4 2 2 4 2 2 4 3 2" xfId="14398" xr:uid="{52754FA4-AB99-4EEB-BF6C-F2459A6FD290}"/>
    <cellStyle name="Normal 4 2 2 4 2 2 4 4" xfId="10180" xr:uid="{050FFF1A-D395-4455-B31B-5D567CE54B34}"/>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3A8530A6-9BAF-4B75-9061-6BACD9A27164}"/>
    <cellStyle name="Normal 4 2 2 4 2 2 5 2 3" xfId="12738" xr:uid="{8E2F732F-5ADB-4DA2-8335-F090BED18CD6}"/>
    <cellStyle name="Normal 4 2 2 4 2 2 5 3" xfId="6382" xr:uid="{00000000-0005-0000-0000-0000A3120000}"/>
    <cellStyle name="Normal 4 2 2 4 2 2 5 3 2" xfId="14811" xr:uid="{7BD9C342-B618-4395-ACAE-5DD5094F7215}"/>
    <cellStyle name="Normal 4 2 2 4 2 2 5 4" xfId="10593" xr:uid="{C822D00E-C58F-441F-A343-E002D030E3E5}"/>
    <cellStyle name="Normal 4 2 2 4 2 2 6" xfId="2510" xr:uid="{00000000-0005-0000-0000-0000A4120000}"/>
    <cellStyle name="Normal 4 2 2 4 2 2 6 2" xfId="6795" xr:uid="{00000000-0005-0000-0000-0000A5120000}"/>
    <cellStyle name="Normal 4 2 2 4 2 2 6 2 2" xfId="15224" xr:uid="{AB8106EA-B294-4B03-9A78-FBBB0AC21293}"/>
    <cellStyle name="Normal 4 2 2 4 2 2 6 3" xfId="11006" xr:uid="{A2C75BD3-E15B-4097-A70C-F5D0C9948B5D}"/>
    <cellStyle name="Normal 4 2 2 4 2 2 7" xfId="4730" xr:uid="{00000000-0005-0000-0000-0000A6120000}"/>
    <cellStyle name="Normal 4 2 2 4 2 2 7 2" xfId="13159" xr:uid="{27C7B4C8-66B7-4F26-B54A-EE4046949E40}"/>
    <cellStyle name="Normal 4 2 2 4 2 2 8" xfId="8941" xr:uid="{F582BD3C-6058-4FDF-A28F-90D7E94897FB}"/>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F77928A0-06D6-447B-B4C7-567010402B6E}"/>
    <cellStyle name="Normal 4 2 2 4 2 3 2 3" xfId="11498" xr:uid="{63BC0A17-0EB8-4841-B878-9F24D0188D82}"/>
    <cellStyle name="Normal 4 2 2 4 2 3 3" xfId="5142" xr:uid="{00000000-0005-0000-0000-0000AA120000}"/>
    <cellStyle name="Normal 4 2 2 4 2 3 3 2" xfId="13571" xr:uid="{8D10B208-70AD-402A-B26E-345646956A51}"/>
    <cellStyle name="Normal 4 2 2 4 2 3 4" xfId="9353" xr:uid="{6396D3BD-1DD9-40EF-900F-B82677957525}"/>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3CFE6CAA-2436-4447-B8C4-C815552D5360}"/>
    <cellStyle name="Normal 4 2 2 4 2 4 2 3" xfId="11911" xr:uid="{341A9000-3E99-4C4A-96BE-7420452658B0}"/>
    <cellStyle name="Normal 4 2 2 4 2 4 3" xfId="5555" xr:uid="{00000000-0005-0000-0000-0000AE120000}"/>
    <cellStyle name="Normal 4 2 2 4 2 4 3 2" xfId="13984" xr:uid="{8CA73725-9EA8-4018-AB24-23E2B8CE450F}"/>
    <cellStyle name="Normal 4 2 2 4 2 4 4" xfId="9766" xr:uid="{8FECC94E-CA2F-4CE8-A797-96CD401784F9}"/>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CFF24554-99AF-4F7A-AB81-C1394224FCA3}"/>
    <cellStyle name="Normal 4 2 2 4 2 5 2 3" xfId="12324" xr:uid="{4CC3FAE7-0587-45D9-894E-1B4E6222883E}"/>
    <cellStyle name="Normal 4 2 2 4 2 5 3" xfId="5968" xr:uid="{00000000-0005-0000-0000-0000B2120000}"/>
    <cellStyle name="Normal 4 2 2 4 2 5 3 2" xfId="14397" xr:uid="{FB16F83E-0D9A-43EB-9F82-699CA8985D26}"/>
    <cellStyle name="Normal 4 2 2 4 2 5 4" xfId="10179" xr:uid="{54D9B021-3C81-46C1-A964-83B8B17F4CF8}"/>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E0FDD631-7090-48E0-B519-83B62C79AB34}"/>
    <cellStyle name="Normal 4 2 2 4 2 6 2 3" xfId="12737" xr:uid="{711A54FF-46C3-43C1-8163-3F4369F66FF9}"/>
    <cellStyle name="Normal 4 2 2 4 2 6 3" xfId="6381" xr:uid="{00000000-0005-0000-0000-0000B6120000}"/>
    <cellStyle name="Normal 4 2 2 4 2 6 3 2" xfId="14810" xr:uid="{687E615D-CECE-4090-9E95-A1E365F4226A}"/>
    <cellStyle name="Normal 4 2 2 4 2 6 4" xfId="10592" xr:uid="{1524C209-6B6C-4927-AFB4-1AAFFA59A712}"/>
    <cellStyle name="Normal 4 2 2 4 2 7" xfId="2509" xr:uid="{00000000-0005-0000-0000-0000B7120000}"/>
    <cellStyle name="Normal 4 2 2 4 2 7 2" xfId="6794" xr:uid="{00000000-0005-0000-0000-0000B8120000}"/>
    <cellStyle name="Normal 4 2 2 4 2 7 2 2" xfId="15223" xr:uid="{805781CD-9356-4EFB-B73E-7EF7D3FC29AB}"/>
    <cellStyle name="Normal 4 2 2 4 2 7 3" xfId="11005" xr:uid="{C3B5EAC9-07B3-4363-BBC6-0C778C0DFE4D}"/>
    <cellStyle name="Normal 4 2 2 4 2 8" xfId="4729" xr:uid="{00000000-0005-0000-0000-0000B9120000}"/>
    <cellStyle name="Normal 4 2 2 4 2 8 2" xfId="13158" xr:uid="{A0C5B5E2-2CF7-4F83-AABC-6C2CF27D5E6E}"/>
    <cellStyle name="Normal 4 2 2 4 2 9" xfId="8940" xr:uid="{4555AAE1-DC44-45EF-8F49-625CD08F89D8}"/>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8E046E55-B953-40F5-9069-680ED0519479}"/>
    <cellStyle name="Normal 4 2 2 4 3 2 2 3" xfId="11500" xr:uid="{3D178469-0B45-438F-80E5-6801D0DD00C2}"/>
    <cellStyle name="Normal 4 2 2 4 3 2 3" xfId="5144" xr:uid="{00000000-0005-0000-0000-0000BE120000}"/>
    <cellStyle name="Normal 4 2 2 4 3 2 3 2" xfId="13573" xr:uid="{8B0A10D5-6099-4E3C-A556-A2BF4FF1504F}"/>
    <cellStyle name="Normal 4 2 2 4 3 2 4" xfId="9355" xr:uid="{8F810BA8-527D-46A9-AAC1-D5ADF1744656}"/>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1605EA54-4BD5-4EAF-8361-D52965510551}"/>
    <cellStyle name="Normal 4 2 2 4 3 3 2 3" xfId="11913" xr:uid="{9C09D96C-7F88-44AE-BFE4-27991D74BDA0}"/>
    <cellStyle name="Normal 4 2 2 4 3 3 3" xfId="5557" xr:uid="{00000000-0005-0000-0000-0000C2120000}"/>
    <cellStyle name="Normal 4 2 2 4 3 3 3 2" xfId="13986" xr:uid="{35195B08-97AB-4B79-AA9A-FEFC5FCA0A76}"/>
    <cellStyle name="Normal 4 2 2 4 3 3 4" xfId="9768" xr:uid="{1A62A383-56BD-402F-AD2C-F34A7394E899}"/>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5E88C9B6-8DCE-4861-90A1-F39E9409AC07}"/>
    <cellStyle name="Normal 4 2 2 4 3 4 2 3" xfId="12326" xr:uid="{107A87F7-FE12-48C6-845D-90953CAEABE1}"/>
    <cellStyle name="Normal 4 2 2 4 3 4 3" xfId="5970" xr:uid="{00000000-0005-0000-0000-0000C6120000}"/>
    <cellStyle name="Normal 4 2 2 4 3 4 3 2" xfId="14399" xr:uid="{62589DCE-8B76-43C0-BFCA-D54C371CAA5A}"/>
    <cellStyle name="Normal 4 2 2 4 3 4 4" xfId="10181" xr:uid="{A8C75515-B83E-44C0-BBAF-B08C3D212879}"/>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046B5BDC-9D85-4A4C-9197-7740B334BD59}"/>
    <cellStyle name="Normal 4 2 2 4 3 5 2 3" xfId="12739" xr:uid="{AAD6E147-478C-4730-B281-0555F9C60547}"/>
    <cellStyle name="Normal 4 2 2 4 3 5 3" xfId="6383" xr:uid="{00000000-0005-0000-0000-0000CA120000}"/>
    <cellStyle name="Normal 4 2 2 4 3 5 3 2" xfId="14812" xr:uid="{14E30B9C-2F7B-4838-BC58-EE225A00D433}"/>
    <cellStyle name="Normal 4 2 2 4 3 5 4" xfId="10594" xr:uid="{7C6DA306-6619-4940-A746-8CE431F52E05}"/>
    <cellStyle name="Normal 4 2 2 4 3 6" xfId="2511" xr:uid="{00000000-0005-0000-0000-0000CB120000}"/>
    <cellStyle name="Normal 4 2 2 4 3 6 2" xfId="6796" xr:uid="{00000000-0005-0000-0000-0000CC120000}"/>
    <cellStyle name="Normal 4 2 2 4 3 6 2 2" xfId="15225" xr:uid="{DB5C43CE-E0FC-428C-AF06-E35E2BA6C9ED}"/>
    <cellStyle name="Normal 4 2 2 4 3 6 3" xfId="11007" xr:uid="{0D8D8E7A-9464-4F5E-A4D7-DBDE995A702E}"/>
    <cellStyle name="Normal 4 2 2 4 3 7" xfId="4731" xr:uid="{00000000-0005-0000-0000-0000CD120000}"/>
    <cellStyle name="Normal 4 2 2 4 3 7 2" xfId="13160" xr:uid="{1C54FF05-FAB7-4E34-A05A-02DDC52D5DE4}"/>
    <cellStyle name="Normal 4 2 2 4 3 8" xfId="8942" xr:uid="{2B3F4FEA-CE42-4E76-AA46-30AAC91DE132}"/>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578B98A8-5BB5-460C-97C6-BD21A00684F3}"/>
    <cellStyle name="Normal 4 2 2 4 4 2 3" xfId="11497" xr:uid="{3672F527-BC13-4AC0-B07A-0C083771F2B2}"/>
    <cellStyle name="Normal 4 2 2 4 4 3" xfId="5141" xr:uid="{00000000-0005-0000-0000-0000D1120000}"/>
    <cellStyle name="Normal 4 2 2 4 4 3 2" xfId="13570" xr:uid="{E970B3B4-113E-47E7-B47C-E79E2CD13A63}"/>
    <cellStyle name="Normal 4 2 2 4 4 4" xfId="9352" xr:uid="{3F63C50B-C3E7-4CF6-8987-F5B27F8552E5}"/>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E8AF4EDB-CEC6-4757-B9D1-F4E1AA0F5520}"/>
    <cellStyle name="Normal 4 2 2 4 5 2 3" xfId="11910" xr:uid="{D273EA48-7209-4118-B834-A9F127CDA5AA}"/>
    <cellStyle name="Normal 4 2 2 4 5 3" xfId="5554" xr:uid="{00000000-0005-0000-0000-0000D5120000}"/>
    <cellStyle name="Normal 4 2 2 4 5 3 2" xfId="13983" xr:uid="{F01F8149-C716-468F-BF02-21D94D7BDCDB}"/>
    <cellStyle name="Normal 4 2 2 4 5 4" xfId="9765" xr:uid="{878B40E2-4F14-4B1A-8790-86226891678A}"/>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3E804428-D490-446C-9A95-C8F52DB1F564}"/>
    <cellStyle name="Normal 4 2 2 4 6 2 3" xfId="12323" xr:uid="{3BF4399A-603B-4ECE-8064-664F5EC40760}"/>
    <cellStyle name="Normal 4 2 2 4 6 3" xfId="5967" xr:uid="{00000000-0005-0000-0000-0000D9120000}"/>
    <cellStyle name="Normal 4 2 2 4 6 3 2" xfId="14396" xr:uid="{46F6970E-4EFD-4384-BB44-18547F3DD0E9}"/>
    <cellStyle name="Normal 4 2 2 4 6 4" xfId="10178" xr:uid="{06CF5432-23F9-43A6-AC1B-31399AC781E5}"/>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12F309E8-E24B-4591-8209-2EF02788C599}"/>
    <cellStyle name="Normal 4 2 2 4 7 2 3" xfId="12736" xr:uid="{55FCC7EC-0C62-497C-A77E-5A7F261089EA}"/>
    <cellStyle name="Normal 4 2 2 4 7 3" xfId="6380" xr:uid="{00000000-0005-0000-0000-0000DD120000}"/>
    <cellStyle name="Normal 4 2 2 4 7 3 2" xfId="14809" xr:uid="{26C0ACBE-29D2-4286-8BD6-25E465F354E0}"/>
    <cellStyle name="Normal 4 2 2 4 7 4" xfId="10591" xr:uid="{C3E96D11-2127-4E4B-8B42-B7FCC0A961CD}"/>
    <cellStyle name="Normal 4 2 2 4 8" xfId="2508" xr:uid="{00000000-0005-0000-0000-0000DE120000}"/>
    <cellStyle name="Normal 4 2 2 4 8 2" xfId="6793" xr:uid="{00000000-0005-0000-0000-0000DF120000}"/>
    <cellStyle name="Normal 4 2 2 4 8 2 2" xfId="15222" xr:uid="{3E827197-3A43-4835-9601-C7CA00671624}"/>
    <cellStyle name="Normal 4 2 2 4 8 3" xfId="11004" xr:uid="{B980FBD3-EBBB-4215-8847-17CFC2CC3558}"/>
    <cellStyle name="Normal 4 2 2 4 9" xfId="4728" xr:uid="{00000000-0005-0000-0000-0000E0120000}"/>
    <cellStyle name="Normal 4 2 2 4 9 2" xfId="13157" xr:uid="{269B46E1-5C17-4ED3-8F7F-72423CD13E29}"/>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58733EFF-740D-4602-B213-4E58644815F4}"/>
    <cellStyle name="Normal 4 2 2 5 2 2 2 3" xfId="11502" xr:uid="{A87BC62D-E611-4FD8-956B-48964562C72A}"/>
    <cellStyle name="Normal 4 2 2 5 2 2 3" xfId="5146" xr:uid="{00000000-0005-0000-0000-0000E6120000}"/>
    <cellStyle name="Normal 4 2 2 5 2 2 3 2" xfId="13575" xr:uid="{1EBD2592-5FFE-4AA6-851F-E4381BCB8265}"/>
    <cellStyle name="Normal 4 2 2 5 2 2 4" xfId="9357" xr:uid="{6CF8E17B-08C3-4766-9A87-EB991BB7F5C3}"/>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AF0D69A1-7064-4A1A-9476-91F99BACEED4}"/>
    <cellStyle name="Normal 4 2 2 5 2 3 2 3" xfId="11915" xr:uid="{E39051F3-2AAF-4F3D-BFB6-6754810A2BFF}"/>
    <cellStyle name="Normal 4 2 2 5 2 3 3" xfId="5559" xr:uid="{00000000-0005-0000-0000-0000EA120000}"/>
    <cellStyle name="Normal 4 2 2 5 2 3 3 2" xfId="13988" xr:uid="{E63DD495-20BD-4043-BC90-E80A4CB344AA}"/>
    <cellStyle name="Normal 4 2 2 5 2 3 4" xfId="9770" xr:uid="{51985E79-9EB9-407F-AC5F-932FC4E6B45C}"/>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5460CD9B-8E69-4F2B-83FD-B61026F2CDBB}"/>
    <cellStyle name="Normal 4 2 2 5 2 4 2 3" xfId="12328" xr:uid="{3452929C-7021-41B9-842D-2321E24FC310}"/>
    <cellStyle name="Normal 4 2 2 5 2 4 3" xfId="5972" xr:uid="{00000000-0005-0000-0000-0000EE120000}"/>
    <cellStyle name="Normal 4 2 2 5 2 4 3 2" xfId="14401" xr:uid="{E90E35F1-5A5D-4425-B01F-454388A24987}"/>
    <cellStyle name="Normal 4 2 2 5 2 4 4" xfId="10183" xr:uid="{3533B0AE-4434-48D7-8AED-AD9B2A45CAE2}"/>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B8F9950C-8562-43FF-91A9-F6641DEE9DA0}"/>
    <cellStyle name="Normal 4 2 2 5 2 5 2 3" xfId="12741" xr:uid="{ADE79B7A-D99B-43E6-9412-CCA7A840C0A1}"/>
    <cellStyle name="Normal 4 2 2 5 2 5 3" xfId="6385" xr:uid="{00000000-0005-0000-0000-0000F2120000}"/>
    <cellStyle name="Normal 4 2 2 5 2 5 3 2" xfId="14814" xr:uid="{1F30D1DE-7073-4EC0-93C2-D6E9C3B89E64}"/>
    <cellStyle name="Normal 4 2 2 5 2 5 4" xfId="10596" xr:uid="{AC955E3E-7CF9-44D0-BBCF-2AD049E6FF55}"/>
    <cellStyle name="Normal 4 2 2 5 2 6" xfId="2513" xr:uid="{00000000-0005-0000-0000-0000F3120000}"/>
    <cellStyle name="Normal 4 2 2 5 2 6 2" xfId="6798" xr:uid="{00000000-0005-0000-0000-0000F4120000}"/>
    <cellStyle name="Normal 4 2 2 5 2 6 2 2" xfId="15227" xr:uid="{302A928D-5F37-4D6A-89B1-5DF331C3FC0F}"/>
    <cellStyle name="Normal 4 2 2 5 2 6 3" xfId="11009" xr:uid="{CCE08C64-CFAA-4794-834A-55EA354E6D05}"/>
    <cellStyle name="Normal 4 2 2 5 2 7" xfId="4733" xr:uid="{00000000-0005-0000-0000-0000F5120000}"/>
    <cellStyle name="Normal 4 2 2 5 2 7 2" xfId="13162" xr:uid="{DAD9CE57-4CEC-42A6-A392-8A60255DE74B}"/>
    <cellStyle name="Normal 4 2 2 5 2 8" xfId="8944" xr:uid="{DDAD833F-2FE3-4210-8032-2F0E8BAF722B}"/>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C6CB8773-05D0-4E4F-9EBC-6D883CBE04EE}"/>
    <cellStyle name="Normal 4 2 2 5 3 2 3" xfId="11501" xr:uid="{6F790D46-D943-40DA-AC2E-80BDBD1CE83C}"/>
    <cellStyle name="Normal 4 2 2 5 3 3" xfId="5145" xr:uid="{00000000-0005-0000-0000-0000F9120000}"/>
    <cellStyle name="Normal 4 2 2 5 3 3 2" xfId="13574" xr:uid="{9B4DADFC-2811-404D-A1E9-A34778A153A3}"/>
    <cellStyle name="Normal 4 2 2 5 3 4" xfId="9356" xr:uid="{B7B99E88-2710-457E-BAB8-4FBF1E0D42F3}"/>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5A896B7B-99E8-4533-B0D8-CE7639A50ABE}"/>
    <cellStyle name="Normal 4 2 2 5 4 2 3" xfId="11914" xr:uid="{B4FE0727-E4D2-42F1-82BF-094E2031FDFD}"/>
    <cellStyle name="Normal 4 2 2 5 4 3" xfId="5558" xr:uid="{00000000-0005-0000-0000-0000FD120000}"/>
    <cellStyle name="Normal 4 2 2 5 4 3 2" xfId="13987" xr:uid="{AF28F628-04DF-481E-856B-9F073C5AB16D}"/>
    <cellStyle name="Normal 4 2 2 5 4 4" xfId="9769" xr:uid="{54EE68B1-9E8A-47CB-983A-853834425B61}"/>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7495084A-2D03-4747-846A-E575DF2B7B36}"/>
    <cellStyle name="Normal 4 2 2 5 5 2 3" xfId="12327" xr:uid="{84EE6280-3DC1-46CA-9D7E-D1007ED038A1}"/>
    <cellStyle name="Normal 4 2 2 5 5 3" xfId="5971" xr:uid="{00000000-0005-0000-0000-000001130000}"/>
    <cellStyle name="Normal 4 2 2 5 5 3 2" xfId="14400" xr:uid="{F3A0523D-F48E-4DAF-A7FA-EBB150F55E52}"/>
    <cellStyle name="Normal 4 2 2 5 5 4" xfId="10182" xr:uid="{872EEF46-806F-457D-97BF-4CB5A64B0373}"/>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ECA79769-6CD8-4576-A05E-35043715DE73}"/>
    <cellStyle name="Normal 4 2 2 5 6 2 3" xfId="12740" xr:uid="{F1E1A465-8122-4B12-81EA-C67F8DFD2F57}"/>
    <cellStyle name="Normal 4 2 2 5 6 3" xfId="6384" xr:uid="{00000000-0005-0000-0000-000005130000}"/>
    <cellStyle name="Normal 4 2 2 5 6 3 2" xfId="14813" xr:uid="{0301D478-7769-49F2-9DCA-6A8E2D3C7F71}"/>
    <cellStyle name="Normal 4 2 2 5 6 4" xfId="10595" xr:uid="{3F5F13A6-3064-4FCB-A9E8-52B1CD8EBD99}"/>
    <cellStyle name="Normal 4 2 2 5 7" xfId="2512" xr:uid="{00000000-0005-0000-0000-000006130000}"/>
    <cellStyle name="Normal 4 2 2 5 7 2" xfId="6797" xr:uid="{00000000-0005-0000-0000-000007130000}"/>
    <cellStyle name="Normal 4 2 2 5 7 2 2" xfId="15226" xr:uid="{AF6931BB-131E-4455-B250-A67F3C238D77}"/>
    <cellStyle name="Normal 4 2 2 5 7 3" xfId="11008" xr:uid="{2FBB2A22-D939-4DF4-B54B-3D2EBFA18BD5}"/>
    <cellStyle name="Normal 4 2 2 5 8" xfId="4732" xr:uid="{00000000-0005-0000-0000-000008130000}"/>
    <cellStyle name="Normal 4 2 2 5 8 2" xfId="13161" xr:uid="{C1C7E8EE-F0D8-4A46-ACC5-F0182997EBA7}"/>
    <cellStyle name="Normal 4 2 2 5 9" xfId="8943" xr:uid="{59189E05-16B4-41F5-9711-D2C51105A42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D3290BD5-92F5-45C3-A23C-7EA0132863A7}"/>
    <cellStyle name="Normal 4 2 2 6 2 2 3" xfId="11503" xr:uid="{2E12A581-09FC-42D3-AE9D-FB09CAE89826}"/>
    <cellStyle name="Normal 4 2 2 6 2 3" xfId="5147" xr:uid="{00000000-0005-0000-0000-00000D130000}"/>
    <cellStyle name="Normal 4 2 2 6 2 3 2" xfId="13576" xr:uid="{1DC8737E-528B-4092-9202-6BA5FE8618D0}"/>
    <cellStyle name="Normal 4 2 2 6 2 4" xfId="9358" xr:uid="{9DE45B7D-29E8-492B-A517-1D2D3869407D}"/>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F16E5B16-476F-42CD-9942-7B51834842A1}"/>
    <cellStyle name="Normal 4 2 2 6 3 2 3" xfId="11916" xr:uid="{2800F4E6-4B48-4014-BD10-7D364B0D3310}"/>
    <cellStyle name="Normal 4 2 2 6 3 3" xfId="5560" xr:uid="{00000000-0005-0000-0000-000011130000}"/>
    <cellStyle name="Normal 4 2 2 6 3 3 2" xfId="13989" xr:uid="{A853D344-5668-4ADF-AAC4-0014B7EF9E84}"/>
    <cellStyle name="Normal 4 2 2 6 3 4" xfId="9771" xr:uid="{2E3DD471-BCCA-4B7F-A541-6DDB417479E2}"/>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CFBB23A6-DD37-43BC-AB8F-D7F3510554CC}"/>
    <cellStyle name="Normal 4 2 2 6 4 2 3" xfId="12329" xr:uid="{9118A4C0-DEFD-4FBF-9448-FEAA8034F27F}"/>
    <cellStyle name="Normal 4 2 2 6 4 3" xfId="5973" xr:uid="{00000000-0005-0000-0000-000015130000}"/>
    <cellStyle name="Normal 4 2 2 6 4 3 2" xfId="14402" xr:uid="{B4CD2034-FB0B-4499-8C71-E1947C2EF22B}"/>
    <cellStyle name="Normal 4 2 2 6 4 4" xfId="10184" xr:uid="{4AABFFC5-9D34-4801-A75A-47CC97B9D31E}"/>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AE783451-61BD-40EA-AFB3-2CEFB5E84F88}"/>
    <cellStyle name="Normal 4 2 2 6 5 2 3" xfId="12742" xr:uid="{97056701-FC1D-4CDE-A9B0-F56C87AE18B3}"/>
    <cellStyle name="Normal 4 2 2 6 5 3" xfId="6386" xr:uid="{00000000-0005-0000-0000-000019130000}"/>
    <cellStyle name="Normal 4 2 2 6 5 3 2" xfId="14815" xr:uid="{A43C42EE-E461-423B-B3E6-B8C9C244D3A2}"/>
    <cellStyle name="Normal 4 2 2 6 5 4" xfId="10597" xr:uid="{B1343B4D-D3D5-4E71-81A3-687A0505661B}"/>
    <cellStyle name="Normal 4 2 2 6 6" xfId="2514" xr:uid="{00000000-0005-0000-0000-00001A130000}"/>
    <cellStyle name="Normal 4 2 2 6 6 2" xfId="6799" xr:uid="{00000000-0005-0000-0000-00001B130000}"/>
    <cellStyle name="Normal 4 2 2 6 6 2 2" xfId="15228" xr:uid="{80F29BFB-0E8B-428E-979C-6C117B4B8C95}"/>
    <cellStyle name="Normal 4 2 2 6 6 3" xfId="11010" xr:uid="{CE01B60D-28A3-41D0-9A59-A7F8788EAB29}"/>
    <cellStyle name="Normal 4 2 2 6 7" xfId="4734" xr:uid="{00000000-0005-0000-0000-00001C130000}"/>
    <cellStyle name="Normal 4 2 2 6 7 2" xfId="13163" xr:uid="{59259226-4CC4-4E0C-9415-89537BFF235E}"/>
    <cellStyle name="Normal 4 2 2 6 8" xfId="8945" xr:uid="{3B464A3E-A6F8-4665-AFC1-08E7C7EBED90}"/>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16D990B3-AB30-4A50-82B2-92E4E688FE40}"/>
    <cellStyle name="Normal 4 2 2 7 2 3" xfId="11488" xr:uid="{A44F4B15-2DF2-466D-8A8F-66BB4CF48768}"/>
    <cellStyle name="Normal 4 2 2 7 3" xfId="5132" xr:uid="{00000000-0005-0000-0000-000020130000}"/>
    <cellStyle name="Normal 4 2 2 7 3 2" xfId="13561" xr:uid="{FB160146-532B-477F-9033-CF808B441DC1}"/>
    <cellStyle name="Normal 4 2 2 7 4" xfId="9343" xr:uid="{9C95DE66-73C4-4BB6-9C9E-B987BD156F55}"/>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B5FD75FB-244D-4269-ADBE-839DE9E6CB35}"/>
    <cellStyle name="Normal 4 2 2 8 2 3" xfId="11901" xr:uid="{08B888E0-7C6C-4694-89CA-4CE56ECDD7BD}"/>
    <cellStyle name="Normal 4 2 2 8 3" xfId="5545" xr:uid="{00000000-0005-0000-0000-000024130000}"/>
    <cellStyle name="Normal 4 2 2 8 3 2" xfId="13974" xr:uid="{1CC5BD6F-2BE3-496E-82B9-47072BDB50B8}"/>
    <cellStyle name="Normal 4 2 2 8 4" xfId="9756" xr:uid="{CA5778DD-87FC-48D4-BE96-041C1B4E29A2}"/>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BF2FAB62-EC2A-4FD4-A09D-3F65993FEB47}"/>
    <cellStyle name="Normal 4 2 2 9 2 3" xfId="12314" xr:uid="{8FB421C8-E10F-46CB-992B-4B00B5B87BAB}"/>
    <cellStyle name="Normal 4 2 2 9 3" xfId="5958" xr:uid="{00000000-0005-0000-0000-000028130000}"/>
    <cellStyle name="Normal 4 2 2 9 3 2" xfId="14387" xr:uid="{C70DE789-545D-454A-8E96-D50229EBC9AC}"/>
    <cellStyle name="Normal 4 2 2 9 4" xfId="10169" xr:uid="{502BD9D6-ACFB-4E3E-9576-3E235BD0EA7F}"/>
    <cellStyle name="Normal 4 2 3" xfId="354" xr:uid="{00000000-0005-0000-0000-000029130000}"/>
    <cellStyle name="Normal 4 2 4" xfId="355" xr:uid="{00000000-0005-0000-0000-00002A130000}"/>
    <cellStyle name="Normal 4 2 4 10" xfId="4735" xr:uid="{00000000-0005-0000-0000-00002B130000}"/>
    <cellStyle name="Normal 4 2 4 10 2" xfId="13164" xr:uid="{DC2B2532-CAE2-45D0-A4D6-0E32B9AD2596}"/>
    <cellStyle name="Normal 4 2 4 11" xfId="8946" xr:uid="{E8946CBF-DD81-49CC-88F4-40342A5670F3}"/>
    <cellStyle name="Normal 4 2 4 2" xfId="356" xr:uid="{00000000-0005-0000-0000-00002C130000}"/>
    <cellStyle name="Normal 4 2 4 2 10" xfId="8947" xr:uid="{A808500F-E93E-4D23-848B-E819D2E0A203}"/>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E5182F4D-26BA-4273-BCB9-1DC7A64CECEE}"/>
    <cellStyle name="Normal 4 2 4 2 2 2 2 2 3" xfId="11507" xr:uid="{920782C1-3A7E-4228-8245-B08F4B293BC9}"/>
    <cellStyle name="Normal 4 2 4 2 2 2 2 3" xfId="5151" xr:uid="{00000000-0005-0000-0000-000032130000}"/>
    <cellStyle name="Normal 4 2 4 2 2 2 2 3 2" xfId="13580" xr:uid="{86CB3B59-A966-40CA-BEDF-71664F9BB61E}"/>
    <cellStyle name="Normal 4 2 4 2 2 2 2 4" xfId="9362" xr:uid="{83EF61CA-5BE6-4978-BFB0-69CDA386AFB4}"/>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3C2C592D-13D5-4796-A88B-295B2A977986}"/>
    <cellStyle name="Normal 4 2 4 2 2 2 3 2 3" xfId="11920" xr:uid="{87B9B79C-92FF-4006-A47F-ECA3E86E71F1}"/>
    <cellStyle name="Normal 4 2 4 2 2 2 3 3" xfId="5564" xr:uid="{00000000-0005-0000-0000-000036130000}"/>
    <cellStyle name="Normal 4 2 4 2 2 2 3 3 2" xfId="13993" xr:uid="{BC3B9EB9-376E-437A-B1EC-1A08C38A4352}"/>
    <cellStyle name="Normal 4 2 4 2 2 2 3 4" xfId="9775" xr:uid="{37E5509A-F48E-4E00-ACCD-95CFDAFA1EB2}"/>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48AE198F-2E98-487B-96C2-5AC1F9370E64}"/>
    <cellStyle name="Normal 4 2 4 2 2 2 4 2 3" xfId="12333" xr:uid="{C880CA5C-1A69-407E-875C-E614F267B925}"/>
    <cellStyle name="Normal 4 2 4 2 2 2 4 3" xfId="5977" xr:uid="{00000000-0005-0000-0000-00003A130000}"/>
    <cellStyle name="Normal 4 2 4 2 2 2 4 3 2" xfId="14406" xr:uid="{4476D131-EE63-4204-8EAA-7530159B3500}"/>
    <cellStyle name="Normal 4 2 4 2 2 2 4 4" xfId="10188" xr:uid="{2683B0CE-0766-470B-A52B-4E08025B8EEF}"/>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C2917A1D-29D2-4BBE-B194-D722E47A9EB1}"/>
    <cellStyle name="Normal 4 2 4 2 2 2 5 2 3" xfId="12746" xr:uid="{649407DD-6644-46F4-951A-3B1673B82870}"/>
    <cellStyle name="Normal 4 2 4 2 2 2 5 3" xfId="6390" xr:uid="{00000000-0005-0000-0000-00003E130000}"/>
    <cellStyle name="Normal 4 2 4 2 2 2 5 3 2" xfId="14819" xr:uid="{1A7D0ACF-38AB-43C1-A690-D0BDBF2E5529}"/>
    <cellStyle name="Normal 4 2 4 2 2 2 5 4" xfId="10601" xr:uid="{D9E92B0A-FAAD-4A17-9424-FAD0AC8942B6}"/>
    <cellStyle name="Normal 4 2 4 2 2 2 6" xfId="2518" xr:uid="{00000000-0005-0000-0000-00003F130000}"/>
    <cellStyle name="Normal 4 2 4 2 2 2 6 2" xfId="6803" xr:uid="{00000000-0005-0000-0000-000040130000}"/>
    <cellStyle name="Normal 4 2 4 2 2 2 6 2 2" xfId="15232" xr:uid="{DF1C9847-50B1-40DF-ACBE-55472F17672A}"/>
    <cellStyle name="Normal 4 2 4 2 2 2 6 3" xfId="11014" xr:uid="{5DDC3329-5C50-44CA-9490-10646A2896C1}"/>
    <cellStyle name="Normal 4 2 4 2 2 2 7" xfId="4738" xr:uid="{00000000-0005-0000-0000-000041130000}"/>
    <cellStyle name="Normal 4 2 4 2 2 2 7 2" xfId="13167" xr:uid="{81D51441-5E25-4C41-93D1-7A69E1F56CA3}"/>
    <cellStyle name="Normal 4 2 4 2 2 2 8" xfId="8949" xr:uid="{28EF2FEB-0969-4CAA-9AE8-C115428E21CF}"/>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C93BAFA2-CE3F-42F8-BC37-EA445B09C791}"/>
    <cellStyle name="Normal 4 2 4 2 2 3 2 3" xfId="11506" xr:uid="{9DFD47D7-F482-43B0-8544-A5E1B953AD6B}"/>
    <cellStyle name="Normal 4 2 4 2 2 3 3" xfId="5150" xr:uid="{00000000-0005-0000-0000-000045130000}"/>
    <cellStyle name="Normal 4 2 4 2 2 3 3 2" xfId="13579" xr:uid="{C4DA814D-ECAB-4F47-A938-3F85BAE74FD0}"/>
    <cellStyle name="Normal 4 2 4 2 2 3 4" xfId="9361" xr:uid="{BC59ACD4-EE5D-4664-82CC-7212729B92EE}"/>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E77BDB50-0003-488B-AF0F-1E767937671F}"/>
    <cellStyle name="Normal 4 2 4 2 2 4 2 3" xfId="11919" xr:uid="{93DB51A9-5AB5-4E8B-BCEA-6D7D9DB8F3D3}"/>
    <cellStyle name="Normal 4 2 4 2 2 4 3" xfId="5563" xr:uid="{00000000-0005-0000-0000-000049130000}"/>
    <cellStyle name="Normal 4 2 4 2 2 4 3 2" xfId="13992" xr:uid="{03ED0C8F-B229-41EC-98D4-B2322C71406D}"/>
    <cellStyle name="Normal 4 2 4 2 2 4 4" xfId="9774" xr:uid="{91AF4F2C-6B6E-4034-BD4C-CAA2DA89653A}"/>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1038F20C-D1AB-4025-8826-D0707357EBB3}"/>
    <cellStyle name="Normal 4 2 4 2 2 5 2 3" xfId="12332" xr:uid="{B36080F9-391A-49AA-9A48-7DD379115F4A}"/>
    <cellStyle name="Normal 4 2 4 2 2 5 3" xfId="5976" xr:uid="{00000000-0005-0000-0000-00004D130000}"/>
    <cellStyle name="Normal 4 2 4 2 2 5 3 2" xfId="14405" xr:uid="{8F60FD56-0D64-4D0C-A8E0-EE32A554EE99}"/>
    <cellStyle name="Normal 4 2 4 2 2 5 4" xfId="10187" xr:uid="{5EDF83B9-4A0F-497A-8393-2B163E86A7EA}"/>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DB2E041E-F485-4EF5-ACEB-AD5B6BCECDC2}"/>
    <cellStyle name="Normal 4 2 4 2 2 6 2 3" xfId="12745" xr:uid="{162A8A89-6DC9-43E5-A302-DC3A54EBEC93}"/>
    <cellStyle name="Normal 4 2 4 2 2 6 3" xfId="6389" xr:uid="{00000000-0005-0000-0000-000051130000}"/>
    <cellStyle name="Normal 4 2 4 2 2 6 3 2" xfId="14818" xr:uid="{119BFC88-0A53-43B6-BF40-72BB3BEF5D54}"/>
    <cellStyle name="Normal 4 2 4 2 2 6 4" xfId="10600" xr:uid="{C66DF2DA-A909-4B8B-81A7-204F0A116B64}"/>
    <cellStyle name="Normal 4 2 4 2 2 7" xfId="2517" xr:uid="{00000000-0005-0000-0000-000052130000}"/>
    <cellStyle name="Normal 4 2 4 2 2 7 2" xfId="6802" xr:uid="{00000000-0005-0000-0000-000053130000}"/>
    <cellStyle name="Normal 4 2 4 2 2 7 2 2" xfId="15231" xr:uid="{E39A9396-D174-475A-B30C-89B29DEA2D56}"/>
    <cellStyle name="Normal 4 2 4 2 2 7 3" xfId="11013" xr:uid="{CE8D1188-CDE0-4658-A4F7-42B2A8A3B86B}"/>
    <cellStyle name="Normal 4 2 4 2 2 8" xfId="4737" xr:uid="{00000000-0005-0000-0000-000054130000}"/>
    <cellStyle name="Normal 4 2 4 2 2 8 2" xfId="13166" xr:uid="{49830DA9-E6D5-47C1-B7CA-B4C5905A906C}"/>
    <cellStyle name="Normal 4 2 4 2 2 9" xfId="8948" xr:uid="{7702DFBF-5692-42C9-83EA-0FF4C118E8E5}"/>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9F6A1FDB-830B-42CA-95CE-71A70F226A76}"/>
    <cellStyle name="Normal 4 2 4 2 3 2 2 3" xfId="11508" xr:uid="{3DC553A0-3345-4B8E-9BF5-2211E2C97233}"/>
    <cellStyle name="Normal 4 2 4 2 3 2 3" xfId="5152" xr:uid="{00000000-0005-0000-0000-000059130000}"/>
    <cellStyle name="Normal 4 2 4 2 3 2 3 2" xfId="13581" xr:uid="{D22A0487-C625-4E57-B917-EAFDB12F37CA}"/>
    <cellStyle name="Normal 4 2 4 2 3 2 4" xfId="9363" xr:uid="{429CBA2F-1240-4B16-8439-30FFFD110539}"/>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972F1DCC-9E0B-4C08-A47B-125646C59603}"/>
    <cellStyle name="Normal 4 2 4 2 3 3 2 3" xfId="11921" xr:uid="{3F6E9B2B-2785-4E35-BAAF-BDB7171972BB}"/>
    <cellStyle name="Normal 4 2 4 2 3 3 3" xfId="5565" xr:uid="{00000000-0005-0000-0000-00005D130000}"/>
    <cellStyle name="Normal 4 2 4 2 3 3 3 2" xfId="13994" xr:uid="{2D9C00D8-0E5B-4808-9D47-BBCBF14EE7FD}"/>
    <cellStyle name="Normal 4 2 4 2 3 3 4" xfId="9776" xr:uid="{6DB46C8F-5A1D-4393-B040-370DAB2C3BF5}"/>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CD6A3121-DB2D-49BE-8B22-D2BABAE13E79}"/>
    <cellStyle name="Normal 4 2 4 2 3 4 2 3" xfId="12334" xr:uid="{667D824F-C3E3-423C-A666-ED6F190D0281}"/>
    <cellStyle name="Normal 4 2 4 2 3 4 3" xfId="5978" xr:uid="{00000000-0005-0000-0000-000061130000}"/>
    <cellStyle name="Normal 4 2 4 2 3 4 3 2" xfId="14407" xr:uid="{3C79AD1F-69FD-471D-946F-01D6BA56E890}"/>
    <cellStyle name="Normal 4 2 4 2 3 4 4" xfId="10189" xr:uid="{DB7317E5-3667-4DED-AA4F-05D66BE944A6}"/>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B566C155-A12F-4147-B12A-3D044012C25F}"/>
    <cellStyle name="Normal 4 2 4 2 3 5 2 3" xfId="12747" xr:uid="{14A5CCC1-43DF-4A36-BE42-D0AB91188FCB}"/>
    <cellStyle name="Normal 4 2 4 2 3 5 3" xfId="6391" xr:uid="{00000000-0005-0000-0000-000065130000}"/>
    <cellStyle name="Normal 4 2 4 2 3 5 3 2" xfId="14820" xr:uid="{59325368-FB04-40CE-86DE-AE6CD08132C1}"/>
    <cellStyle name="Normal 4 2 4 2 3 5 4" xfId="10602" xr:uid="{6E079D50-E382-48CA-AF8F-8D787A09E431}"/>
    <cellStyle name="Normal 4 2 4 2 3 6" xfId="2519" xr:uid="{00000000-0005-0000-0000-000066130000}"/>
    <cellStyle name="Normal 4 2 4 2 3 6 2" xfId="6804" xr:uid="{00000000-0005-0000-0000-000067130000}"/>
    <cellStyle name="Normal 4 2 4 2 3 6 2 2" xfId="15233" xr:uid="{56D17FC2-88E4-4B00-B1B0-EBC977F1085E}"/>
    <cellStyle name="Normal 4 2 4 2 3 6 3" xfId="11015" xr:uid="{AD3E8A79-93C8-4DBC-B2CD-2C0217222830}"/>
    <cellStyle name="Normal 4 2 4 2 3 7" xfId="4739" xr:uid="{00000000-0005-0000-0000-000068130000}"/>
    <cellStyle name="Normal 4 2 4 2 3 7 2" xfId="13168" xr:uid="{3D5A87C5-1975-4BED-8DA4-E1017663A181}"/>
    <cellStyle name="Normal 4 2 4 2 3 8" xfId="8950" xr:uid="{4E140C8A-04A7-40FF-BD29-DF3E7CDD9FE6}"/>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F31738AB-2553-4E86-97E4-AFC0FE49EA27}"/>
    <cellStyle name="Normal 4 2 4 2 4 2 3" xfId="11505" xr:uid="{BD95DA0F-505A-4D37-869C-D1ABA69CDC73}"/>
    <cellStyle name="Normal 4 2 4 2 4 3" xfId="5149" xr:uid="{00000000-0005-0000-0000-00006C130000}"/>
    <cellStyle name="Normal 4 2 4 2 4 3 2" xfId="13578" xr:uid="{BBBECFE8-5F70-499C-8187-7587D3D1A53D}"/>
    <cellStyle name="Normal 4 2 4 2 4 4" xfId="9360" xr:uid="{4AD52CF6-60B2-4108-A073-D40BB05877BB}"/>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2A80F4C9-95A3-4758-B12B-4A7A45212D24}"/>
    <cellStyle name="Normal 4 2 4 2 5 2 3" xfId="11918" xr:uid="{1EA8BD25-8EFB-476C-9284-1035332379D7}"/>
    <cellStyle name="Normal 4 2 4 2 5 3" xfId="5562" xr:uid="{00000000-0005-0000-0000-000070130000}"/>
    <cellStyle name="Normal 4 2 4 2 5 3 2" xfId="13991" xr:uid="{11CAF34C-66DC-486F-A922-958546C6962C}"/>
    <cellStyle name="Normal 4 2 4 2 5 4" xfId="9773" xr:uid="{FDA654BD-D843-4399-A060-D0F90ADDE118}"/>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F082AFAF-FB9F-4A95-BFF9-E81ED3F4E8EC}"/>
    <cellStyle name="Normal 4 2 4 2 6 2 3" xfId="12331" xr:uid="{94391244-1B44-46AD-A750-9283062E49D0}"/>
    <cellStyle name="Normal 4 2 4 2 6 3" xfId="5975" xr:uid="{00000000-0005-0000-0000-000074130000}"/>
    <cellStyle name="Normal 4 2 4 2 6 3 2" xfId="14404" xr:uid="{0F10FE20-AD91-4A60-97EF-5D93171C3250}"/>
    <cellStyle name="Normal 4 2 4 2 6 4" xfId="10186" xr:uid="{6FD27E6E-0A80-4E61-A393-4164B705F29F}"/>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9F17EF60-8D3E-4010-AC9A-AB5297679549}"/>
    <cellStyle name="Normal 4 2 4 2 7 2 3" xfId="12744" xr:uid="{3991830E-B648-4A04-A951-2F2C881C6B00}"/>
    <cellStyle name="Normal 4 2 4 2 7 3" xfId="6388" xr:uid="{00000000-0005-0000-0000-000078130000}"/>
    <cellStyle name="Normal 4 2 4 2 7 3 2" xfId="14817" xr:uid="{A2D672D9-053E-4F13-B3AE-BCC3A647E005}"/>
    <cellStyle name="Normal 4 2 4 2 7 4" xfId="10599" xr:uid="{85E03119-C895-451F-A31D-F42C52F42196}"/>
    <cellStyle name="Normal 4 2 4 2 8" xfId="2516" xr:uid="{00000000-0005-0000-0000-000079130000}"/>
    <cellStyle name="Normal 4 2 4 2 8 2" xfId="6801" xr:uid="{00000000-0005-0000-0000-00007A130000}"/>
    <cellStyle name="Normal 4 2 4 2 8 2 2" xfId="15230" xr:uid="{54F1656E-459C-486F-83FA-EAD07FA600A6}"/>
    <cellStyle name="Normal 4 2 4 2 8 3" xfId="11012" xr:uid="{EE7C2C44-9AB2-451F-88E2-8FE98B433643}"/>
    <cellStyle name="Normal 4 2 4 2 9" xfId="4736" xr:uid="{00000000-0005-0000-0000-00007B130000}"/>
    <cellStyle name="Normal 4 2 4 2 9 2" xfId="13165" xr:uid="{93EC9207-AF95-4014-A701-C62B50E4F5AB}"/>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FC040DD0-DDE0-452B-A6CF-61D62B9A8CE3}"/>
    <cellStyle name="Normal 4 2 4 3 2 2 2 3" xfId="11510" xr:uid="{19769100-88FB-4D62-9E9E-D6325EF8653D}"/>
    <cellStyle name="Normal 4 2 4 3 2 2 3" xfId="5154" xr:uid="{00000000-0005-0000-0000-000081130000}"/>
    <cellStyle name="Normal 4 2 4 3 2 2 3 2" xfId="13583" xr:uid="{31564B06-6F09-4F8A-97B6-8126715AFFC5}"/>
    <cellStyle name="Normal 4 2 4 3 2 2 4" xfId="9365" xr:uid="{2781AD87-B272-46D2-8B18-17E567B55601}"/>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63EE93C1-1461-430C-857D-03D2F1FD0A89}"/>
    <cellStyle name="Normal 4 2 4 3 2 3 2 3" xfId="11923" xr:uid="{4BB80740-DEE8-4CCC-9396-2798CD10AB09}"/>
    <cellStyle name="Normal 4 2 4 3 2 3 3" xfId="5567" xr:uid="{00000000-0005-0000-0000-000085130000}"/>
    <cellStyle name="Normal 4 2 4 3 2 3 3 2" xfId="13996" xr:uid="{54C5ADB9-4537-46D3-B253-AC3C3583BF1A}"/>
    <cellStyle name="Normal 4 2 4 3 2 3 4" xfId="9778" xr:uid="{9C970B9C-2B63-459F-B008-F4CF14A4306D}"/>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7B2D560E-CAF6-4A5F-8707-5215F81CB829}"/>
    <cellStyle name="Normal 4 2 4 3 2 4 2 3" xfId="12336" xr:uid="{9A36B395-08BF-490F-9D53-785D11BE5B6F}"/>
    <cellStyle name="Normal 4 2 4 3 2 4 3" xfId="5980" xr:uid="{00000000-0005-0000-0000-000089130000}"/>
    <cellStyle name="Normal 4 2 4 3 2 4 3 2" xfId="14409" xr:uid="{03AE6750-4376-4684-88BA-B47F58BF61FC}"/>
    <cellStyle name="Normal 4 2 4 3 2 4 4" xfId="10191" xr:uid="{4C2EDF13-9B4E-4BBD-8962-41732F577F72}"/>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5CEB1DEB-3901-4672-89C8-7E87B86B595C}"/>
    <cellStyle name="Normal 4 2 4 3 2 5 2 3" xfId="12749" xr:uid="{AF49A9B5-526E-42CD-AE2E-9C7007B16CFD}"/>
    <cellStyle name="Normal 4 2 4 3 2 5 3" xfId="6393" xr:uid="{00000000-0005-0000-0000-00008D130000}"/>
    <cellStyle name="Normal 4 2 4 3 2 5 3 2" xfId="14822" xr:uid="{29FAE747-17EC-4F06-A649-86F8503263CA}"/>
    <cellStyle name="Normal 4 2 4 3 2 5 4" xfId="10604" xr:uid="{E6B3C474-2BA3-41AF-A2D8-96F546D068C3}"/>
    <cellStyle name="Normal 4 2 4 3 2 6" xfId="2521" xr:uid="{00000000-0005-0000-0000-00008E130000}"/>
    <cellStyle name="Normal 4 2 4 3 2 6 2" xfId="6806" xr:uid="{00000000-0005-0000-0000-00008F130000}"/>
    <cellStyle name="Normal 4 2 4 3 2 6 2 2" xfId="15235" xr:uid="{BA75A84F-ED4F-44ED-A41B-4A053B220077}"/>
    <cellStyle name="Normal 4 2 4 3 2 6 3" xfId="11017" xr:uid="{6C520869-9FDC-4CC7-BBE4-E605C3BE45B0}"/>
    <cellStyle name="Normal 4 2 4 3 2 7" xfId="4741" xr:uid="{00000000-0005-0000-0000-000090130000}"/>
    <cellStyle name="Normal 4 2 4 3 2 7 2" xfId="13170" xr:uid="{0373BE28-3747-482C-B083-4EC91B8087A4}"/>
    <cellStyle name="Normal 4 2 4 3 2 8" xfId="8952" xr:uid="{02ACF983-3C1F-4B27-ACCE-B1A890B1F823}"/>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0DA7AB70-D14F-4A05-8145-8B3C5DF18866}"/>
    <cellStyle name="Normal 4 2 4 3 3 2 3" xfId="11509" xr:uid="{698F495F-886C-437C-BCCA-5A9408D5ED94}"/>
    <cellStyle name="Normal 4 2 4 3 3 3" xfId="5153" xr:uid="{00000000-0005-0000-0000-000094130000}"/>
    <cellStyle name="Normal 4 2 4 3 3 3 2" xfId="13582" xr:uid="{D6BEF01C-8548-4188-A4B3-0895E340AE89}"/>
    <cellStyle name="Normal 4 2 4 3 3 4" xfId="9364" xr:uid="{98E2359A-992A-4D14-B272-8525EF8F8350}"/>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BE5286A6-39B1-4349-A246-3960610C32F3}"/>
    <cellStyle name="Normal 4 2 4 3 4 2 3" xfId="11922" xr:uid="{6ABE9FFD-0C52-4560-B29D-1CF07EFD8568}"/>
    <cellStyle name="Normal 4 2 4 3 4 3" xfId="5566" xr:uid="{00000000-0005-0000-0000-000098130000}"/>
    <cellStyle name="Normal 4 2 4 3 4 3 2" xfId="13995" xr:uid="{BEB118E4-AC33-46CE-BFEA-69F747E6F1A5}"/>
    <cellStyle name="Normal 4 2 4 3 4 4" xfId="9777" xr:uid="{B2D68DCE-F51B-44CF-80B8-EB224ADE5BF0}"/>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F9664618-AFB2-4D35-83DF-BD509D07158D}"/>
    <cellStyle name="Normal 4 2 4 3 5 2 3" xfId="12335" xr:uid="{9EC1787F-C6C7-47AE-9BE5-08D4FC177292}"/>
    <cellStyle name="Normal 4 2 4 3 5 3" xfId="5979" xr:uid="{00000000-0005-0000-0000-00009C130000}"/>
    <cellStyle name="Normal 4 2 4 3 5 3 2" xfId="14408" xr:uid="{9DF73A1C-1141-4C8C-B2F8-777386F38A52}"/>
    <cellStyle name="Normal 4 2 4 3 5 4" xfId="10190" xr:uid="{BDEA59FF-97BB-4D4F-9EE6-F595E6BEA78F}"/>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B7888ACB-E998-4228-8024-819CC2B1CED7}"/>
    <cellStyle name="Normal 4 2 4 3 6 2 3" xfId="12748" xr:uid="{B787C56F-47BF-432B-8474-7DDAF7A4944A}"/>
    <cellStyle name="Normal 4 2 4 3 6 3" xfId="6392" xr:uid="{00000000-0005-0000-0000-0000A0130000}"/>
    <cellStyle name="Normal 4 2 4 3 6 3 2" xfId="14821" xr:uid="{1519DE53-D067-4228-B0E3-3A90132BA7D2}"/>
    <cellStyle name="Normal 4 2 4 3 6 4" xfId="10603" xr:uid="{7CCE2991-4A6E-4D69-97A1-28A460C65883}"/>
    <cellStyle name="Normal 4 2 4 3 7" xfId="2520" xr:uid="{00000000-0005-0000-0000-0000A1130000}"/>
    <cellStyle name="Normal 4 2 4 3 7 2" xfId="6805" xr:uid="{00000000-0005-0000-0000-0000A2130000}"/>
    <cellStyle name="Normal 4 2 4 3 7 2 2" xfId="15234" xr:uid="{6C5E229C-F609-4818-BA54-F8F6444F479D}"/>
    <cellStyle name="Normal 4 2 4 3 7 3" xfId="11016" xr:uid="{B3D30D59-EF91-482A-9224-EB9189854B03}"/>
    <cellStyle name="Normal 4 2 4 3 8" xfId="4740" xr:uid="{00000000-0005-0000-0000-0000A3130000}"/>
    <cellStyle name="Normal 4 2 4 3 8 2" xfId="13169" xr:uid="{36D870C9-EDFA-4584-A648-D418F5864B39}"/>
    <cellStyle name="Normal 4 2 4 3 9" xfId="8951" xr:uid="{AFFCE6FE-BA92-4492-9897-DBB85FE66139}"/>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BD12E031-07A4-4DEE-91C8-81A18C37DF39}"/>
    <cellStyle name="Normal 4 2 4 4 2 2 3" xfId="11511" xr:uid="{3F58826D-93B1-41E8-B40D-6622513B98EA}"/>
    <cellStyle name="Normal 4 2 4 4 2 3" xfId="5155" xr:uid="{00000000-0005-0000-0000-0000A8130000}"/>
    <cellStyle name="Normal 4 2 4 4 2 3 2" xfId="13584" xr:uid="{88E41086-05B1-4AEC-86A8-52A397850E7A}"/>
    <cellStyle name="Normal 4 2 4 4 2 4" xfId="9366" xr:uid="{AA6B824F-A483-45FD-829D-A59CCCD97B62}"/>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F7FD8559-21B6-41CA-B73B-C1DE337EF761}"/>
    <cellStyle name="Normal 4 2 4 4 3 2 3" xfId="11924" xr:uid="{92797B41-543A-4180-BC5C-62F6275C71BF}"/>
    <cellStyle name="Normal 4 2 4 4 3 3" xfId="5568" xr:uid="{00000000-0005-0000-0000-0000AC130000}"/>
    <cellStyle name="Normal 4 2 4 4 3 3 2" xfId="13997" xr:uid="{D931572C-D687-4204-BDF5-14C4B5FFF3FC}"/>
    <cellStyle name="Normal 4 2 4 4 3 4" xfId="9779" xr:uid="{6AE92E85-23F6-4B90-B908-2891F1D69B7B}"/>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761C0BC8-F25E-403B-94D7-773CFFC5270F}"/>
    <cellStyle name="Normal 4 2 4 4 4 2 3" xfId="12337" xr:uid="{D2782383-D3EC-4D82-940A-EBB1EE9C423A}"/>
    <cellStyle name="Normal 4 2 4 4 4 3" xfId="5981" xr:uid="{00000000-0005-0000-0000-0000B0130000}"/>
    <cellStyle name="Normal 4 2 4 4 4 3 2" xfId="14410" xr:uid="{95EEA7E6-DEC2-4050-8E4F-574E79D38FD5}"/>
    <cellStyle name="Normal 4 2 4 4 4 4" xfId="10192" xr:uid="{77689D6B-BA44-4398-926B-29A29E100091}"/>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62A06C6A-26AA-4080-96BC-6EE6EA28A1B0}"/>
    <cellStyle name="Normal 4 2 4 4 5 2 3" xfId="12750" xr:uid="{0D2D10FE-7510-4C9F-B6E4-CCC88D73C204}"/>
    <cellStyle name="Normal 4 2 4 4 5 3" xfId="6394" xr:uid="{00000000-0005-0000-0000-0000B4130000}"/>
    <cellStyle name="Normal 4 2 4 4 5 3 2" xfId="14823" xr:uid="{B7550AE7-FF12-4DDC-A147-DCC65FE041A6}"/>
    <cellStyle name="Normal 4 2 4 4 5 4" xfId="10605" xr:uid="{E12CDFDE-FE8E-43DC-94FD-C0C3D4C79C35}"/>
    <cellStyle name="Normal 4 2 4 4 6" xfId="2522" xr:uid="{00000000-0005-0000-0000-0000B5130000}"/>
    <cellStyle name="Normal 4 2 4 4 6 2" xfId="6807" xr:uid="{00000000-0005-0000-0000-0000B6130000}"/>
    <cellStyle name="Normal 4 2 4 4 6 2 2" xfId="15236" xr:uid="{DB00859E-9F7C-4931-9C5D-8212D216A307}"/>
    <cellStyle name="Normal 4 2 4 4 6 3" xfId="11018" xr:uid="{9C3A7C21-5543-4293-BCF7-E5C86900D916}"/>
    <cellStyle name="Normal 4 2 4 4 7" xfId="4742" xr:uid="{00000000-0005-0000-0000-0000B7130000}"/>
    <cellStyle name="Normal 4 2 4 4 7 2" xfId="13171" xr:uid="{F96E57FD-54BB-40E1-A4A9-86A2CACCA664}"/>
    <cellStyle name="Normal 4 2 4 4 8" xfId="8953" xr:uid="{7007B21F-CC50-4C7D-86BA-7BE0B248BF04}"/>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CB9B6B3B-3590-4AF3-86ED-9CC96D5BA27E}"/>
    <cellStyle name="Normal 4 2 4 5 2 3" xfId="11504" xr:uid="{74B9FAC0-6800-4C94-A454-4C280951A574}"/>
    <cellStyle name="Normal 4 2 4 5 3" xfId="5148" xr:uid="{00000000-0005-0000-0000-0000BB130000}"/>
    <cellStyle name="Normal 4 2 4 5 3 2" xfId="13577" xr:uid="{D966DA75-90BE-4995-82FB-AF436ABA9DBD}"/>
    <cellStyle name="Normal 4 2 4 5 4" xfId="9359" xr:uid="{4A3BEFC8-1FCA-430C-93BA-FF698BB21F7C}"/>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A2D80FD7-EE9D-4F17-A1B7-E43F63D4CCBF}"/>
    <cellStyle name="Normal 4 2 4 6 2 3" xfId="11917" xr:uid="{4ABD5F22-B927-43E9-A403-0EBFC02DA2A5}"/>
    <cellStyle name="Normal 4 2 4 6 3" xfId="5561" xr:uid="{00000000-0005-0000-0000-0000BF130000}"/>
    <cellStyle name="Normal 4 2 4 6 3 2" xfId="13990" xr:uid="{2EE2CB2D-B154-4DE6-B658-01B3270D4190}"/>
    <cellStyle name="Normal 4 2 4 6 4" xfId="9772" xr:uid="{F952FF9B-B508-46CD-BE55-343042EBC64E}"/>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4C869381-5E51-465F-AB82-4DC2ED7C33BC}"/>
    <cellStyle name="Normal 4 2 4 7 2 3" xfId="12330" xr:uid="{7F2B7D6D-6E1D-46DD-B566-982DA0C0CFE9}"/>
    <cellStyle name="Normal 4 2 4 7 3" xfId="5974" xr:uid="{00000000-0005-0000-0000-0000C3130000}"/>
    <cellStyle name="Normal 4 2 4 7 3 2" xfId="14403" xr:uid="{01EEC65D-0EBF-49A8-8469-D7F41B3A9C58}"/>
    <cellStyle name="Normal 4 2 4 7 4" xfId="10185" xr:uid="{B3DF0FCD-26A3-4EC7-9932-55B676C0E4E6}"/>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E54367AB-D388-40F7-A91C-D1679C308F01}"/>
    <cellStyle name="Normal 4 2 4 8 2 3" xfId="12743" xr:uid="{1E95666C-BE20-4B24-8136-BA416792C9AF}"/>
    <cellStyle name="Normal 4 2 4 8 3" xfId="6387" xr:uid="{00000000-0005-0000-0000-0000C7130000}"/>
    <cellStyle name="Normal 4 2 4 8 3 2" xfId="14816" xr:uid="{A4D6903E-F8F4-4297-94A5-BAA5E676029B}"/>
    <cellStyle name="Normal 4 2 4 8 4" xfId="10598" xr:uid="{C6DDF28A-0B3D-4F3F-91EF-EA2EDC077AFB}"/>
    <cellStyle name="Normal 4 2 4 9" xfId="2515" xr:uid="{00000000-0005-0000-0000-0000C8130000}"/>
    <cellStyle name="Normal 4 2 4 9 2" xfId="6800" xr:uid="{00000000-0005-0000-0000-0000C9130000}"/>
    <cellStyle name="Normal 4 2 4 9 2 2" xfId="15229" xr:uid="{028C4153-B7F9-48F0-A7AB-2A732482CCB2}"/>
    <cellStyle name="Normal 4 2 4 9 3" xfId="11011" xr:uid="{0C173FB2-A2CB-4558-AB3D-0BA354D6FC93}"/>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61A22AFF-03D4-4C99-A2DF-4B2179CD97D7}"/>
    <cellStyle name="Normal 4 2 5 2 2 2 3" xfId="11513" xr:uid="{798B974C-63C6-4737-8042-E1807BB02E82}"/>
    <cellStyle name="Normal 4 2 5 2 2 3" xfId="5157" xr:uid="{00000000-0005-0000-0000-0000CF130000}"/>
    <cellStyle name="Normal 4 2 5 2 2 3 2" xfId="13586" xr:uid="{7B4BE1EB-198F-4756-BC8D-6F41CA753105}"/>
    <cellStyle name="Normal 4 2 5 2 2 4" xfId="9368" xr:uid="{D6F1796A-91B1-473A-9300-A4E9BCA46EAD}"/>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2E3F1B20-3A5E-4248-9659-7B1C2B4A5A25}"/>
    <cellStyle name="Normal 4 2 5 2 3 2 3" xfId="11926" xr:uid="{5CBCA996-0CF6-4A64-9A50-513094C5E13F}"/>
    <cellStyle name="Normal 4 2 5 2 3 3" xfId="5570" xr:uid="{00000000-0005-0000-0000-0000D3130000}"/>
    <cellStyle name="Normal 4 2 5 2 3 3 2" xfId="13999" xr:uid="{8730A99D-04BB-4C49-B159-EE86E3095BD1}"/>
    <cellStyle name="Normal 4 2 5 2 3 4" xfId="9781" xr:uid="{D2CBECC4-6F68-49B7-9E5F-E06117B4BCAF}"/>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1A6FDBD4-891C-41B2-975E-8E4399F50F0F}"/>
    <cellStyle name="Normal 4 2 5 2 4 2 3" xfId="12339" xr:uid="{67002D76-D7DD-44D9-A776-3FD5763C05AE}"/>
    <cellStyle name="Normal 4 2 5 2 4 3" xfId="5983" xr:uid="{00000000-0005-0000-0000-0000D7130000}"/>
    <cellStyle name="Normal 4 2 5 2 4 3 2" xfId="14412" xr:uid="{A9DAD5B0-AADD-415A-8EC8-D0922C7A2AE4}"/>
    <cellStyle name="Normal 4 2 5 2 4 4" xfId="10194" xr:uid="{4FFE7D43-0B46-4556-BB64-89FB7645A91F}"/>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AB5358A6-D1BA-46A7-91F9-511859163331}"/>
    <cellStyle name="Normal 4 2 5 2 5 2 3" xfId="12752" xr:uid="{5190562A-379C-4488-9408-94411C3B6BF7}"/>
    <cellStyle name="Normal 4 2 5 2 5 3" xfId="6396" xr:uid="{00000000-0005-0000-0000-0000DB130000}"/>
    <cellStyle name="Normal 4 2 5 2 5 3 2" xfId="14825" xr:uid="{84268DA7-2F22-4A2F-BC6C-E5F937A2E5D0}"/>
    <cellStyle name="Normal 4 2 5 2 5 4" xfId="10607" xr:uid="{71972ADE-A659-40AC-922E-1CDF6C78A245}"/>
    <cellStyle name="Normal 4 2 5 2 6" xfId="2524" xr:uid="{00000000-0005-0000-0000-0000DC130000}"/>
    <cellStyle name="Normal 4 2 5 2 6 2" xfId="6809" xr:uid="{00000000-0005-0000-0000-0000DD130000}"/>
    <cellStyle name="Normal 4 2 5 2 6 2 2" xfId="15238" xr:uid="{32AD443C-21C2-485D-B801-95DB52E7EF7D}"/>
    <cellStyle name="Normal 4 2 5 2 6 3" xfId="11020" xr:uid="{6FF6957D-C508-49FD-BA7C-52C494594C58}"/>
    <cellStyle name="Normal 4 2 5 2 7" xfId="4744" xr:uid="{00000000-0005-0000-0000-0000DE130000}"/>
    <cellStyle name="Normal 4 2 5 2 7 2" xfId="13173" xr:uid="{44D6BF9E-4CFF-4CB8-8CB2-C484B8548A8D}"/>
    <cellStyle name="Normal 4 2 5 2 8" xfId="8955" xr:uid="{FF8C0FA1-28D8-4781-B63B-F2CEDC1AFFDD}"/>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28CB9B66-6A63-4431-94DF-2E36BA314259}"/>
    <cellStyle name="Normal 4 2 5 3 2 3" xfId="11512" xr:uid="{F63A4973-639A-4CFA-8025-967BA5AE42DE}"/>
    <cellStyle name="Normal 4 2 5 3 3" xfId="5156" xr:uid="{00000000-0005-0000-0000-0000E2130000}"/>
    <cellStyle name="Normal 4 2 5 3 3 2" xfId="13585" xr:uid="{4E7F28C8-D418-47F3-8575-FC446367661C}"/>
    <cellStyle name="Normal 4 2 5 3 4" xfId="9367" xr:uid="{C7F1FB46-6610-4236-8E1D-890CAD7B6AE1}"/>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1E2EECE4-0F1B-4533-B353-042D6861914D}"/>
    <cellStyle name="Normal 4 2 5 4 2 3" xfId="11925" xr:uid="{13AF2763-F387-4A45-BDDA-D30537ABBB40}"/>
    <cellStyle name="Normal 4 2 5 4 3" xfId="5569" xr:uid="{00000000-0005-0000-0000-0000E6130000}"/>
    <cellStyle name="Normal 4 2 5 4 3 2" xfId="13998" xr:uid="{5B23B5D4-3D80-422B-8C59-849351DC000B}"/>
    <cellStyle name="Normal 4 2 5 4 4" xfId="9780" xr:uid="{A9772BA5-480F-4111-9CD7-85018FCD4900}"/>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5779B5AC-5C5C-49A9-B2EB-5DA39EAD0E96}"/>
    <cellStyle name="Normal 4 2 5 5 2 3" xfId="12338" xr:uid="{2530331C-265B-41FE-BF36-B8A2DFAD6F5A}"/>
    <cellStyle name="Normal 4 2 5 5 3" xfId="5982" xr:uid="{00000000-0005-0000-0000-0000EA130000}"/>
    <cellStyle name="Normal 4 2 5 5 3 2" xfId="14411" xr:uid="{FF5760EC-EB30-45BB-85B6-4C838BF33EF7}"/>
    <cellStyle name="Normal 4 2 5 5 4" xfId="10193" xr:uid="{F8F5F9AB-0735-4E11-A860-4302B4090B3F}"/>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BF3D420C-A7FD-4A30-999A-C94E0FB6288B}"/>
    <cellStyle name="Normal 4 2 5 6 2 3" xfId="12751" xr:uid="{E90CB72A-D4D2-419F-99B2-AC19AD006023}"/>
    <cellStyle name="Normal 4 2 5 6 3" xfId="6395" xr:uid="{00000000-0005-0000-0000-0000EE130000}"/>
    <cellStyle name="Normal 4 2 5 6 3 2" xfId="14824" xr:uid="{31A01A92-0999-442D-B22C-B1372A76AC82}"/>
    <cellStyle name="Normal 4 2 5 6 4" xfId="10606" xr:uid="{12BAEB6A-A076-41F3-8A14-7B927F40B25D}"/>
    <cellStyle name="Normal 4 2 5 7" xfId="2523" xr:uid="{00000000-0005-0000-0000-0000EF130000}"/>
    <cellStyle name="Normal 4 2 5 7 2" xfId="6808" xr:uid="{00000000-0005-0000-0000-0000F0130000}"/>
    <cellStyle name="Normal 4 2 5 7 2 2" xfId="15237" xr:uid="{EC76F3F1-9FE3-4F37-9F50-CE25DC103FEA}"/>
    <cellStyle name="Normal 4 2 5 7 3" xfId="11019" xr:uid="{E6661A07-227D-42BC-AE84-14507819D281}"/>
    <cellStyle name="Normal 4 2 5 8" xfId="4743" xr:uid="{00000000-0005-0000-0000-0000F1130000}"/>
    <cellStyle name="Normal 4 2 5 8 2" xfId="13172" xr:uid="{77B72119-3985-4EDE-9FFF-53BBD238F9EC}"/>
    <cellStyle name="Normal 4 2 5 9" xfId="8954" xr:uid="{BEF2433A-8B08-4767-BF05-AFD5F05EBB9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1AE0566E-B4A4-438C-ABB7-D3EC246FB62D}"/>
    <cellStyle name="Normal 4 2 6 2 2 3" xfId="11514" xr:uid="{9FC605A6-5D52-4A52-9E25-FA1395DA3474}"/>
    <cellStyle name="Normal 4 2 6 2 3" xfId="5158" xr:uid="{00000000-0005-0000-0000-0000F6130000}"/>
    <cellStyle name="Normal 4 2 6 2 3 2" xfId="13587" xr:uid="{0547CB03-08A6-49F2-B8D4-3C34110DFB1C}"/>
    <cellStyle name="Normal 4 2 6 2 4" xfId="9369" xr:uid="{9AE8F6BB-7CB4-4802-943F-7AA5CFA765E1}"/>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5027D6D0-BEBD-4701-8582-515D1DD579D4}"/>
    <cellStyle name="Normal 4 2 6 3 2 3" xfId="11927" xr:uid="{FB88C08A-DACA-4061-B3E6-7A3C4C38B2D0}"/>
    <cellStyle name="Normal 4 2 6 3 3" xfId="5571" xr:uid="{00000000-0005-0000-0000-0000FA130000}"/>
    <cellStyle name="Normal 4 2 6 3 3 2" xfId="14000" xr:uid="{244DABB5-8AD5-47BB-9F57-F8F6C0DD2831}"/>
    <cellStyle name="Normal 4 2 6 3 4" xfId="9782" xr:uid="{B6001C70-C3AA-4A4C-90E0-0A8911119649}"/>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71189C4E-DA07-425E-991C-5A0BD1705A3A}"/>
    <cellStyle name="Normal 4 2 6 4 2 3" xfId="12340" xr:uid="{9B920F22-6F4D-45AE-8916-ED509E60DB15}"/>
    <cellStyle name="Normal 4 2 6 4 3" xfId="5984" xr:uid="{00000000-0005-0000-0000-0000FE130000}"/>
    <cellStyle name="Normal 4 2 6 4 3 2" xfId="14413" xr:uid="{0E4F2531-315E-4AD3-832A-0BC332A98582}"/>
    <cellStyle name="Normal 4 2 6 4 4" xfId="10195" xr:uid="{4541AC55-D712-4A9C-9BD7-12D76907AB47}"/>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38CE05C6-9A26-4E36-87E0-E3B17E317A7E}"/>
    <cellStyle name="Normal 4 2 6 5 2 3" xfId="12753" xr:uid="{14BAA216-710C-4C44-837E-172F8BB7AC89}"/>
    <cellStyle name="Normal 4 2 6 5 3" xfId="6397" xr:uid="{00000000-0005-0000-0000-000002140000}"/>
    <cellStyle name="Normal 4 2 6 5 3 2" xfId="14826" xr:uid="{D8035FAB-5B05-4FC8-A7AE-8867FD8F6EFE}"/>
    <cellStyle name="Normal 4 2 6 5 4" xfId="10608" xr:uid="{963F1A99-6DF6-46D2-9BE9-E8BB110B403A}"/>
    <cellStyle name="Normal 4 2 6 6" xfId="2525" xr:uid="{00000000-0005-0000-0000-000003140000}"/>
    <cellStyle name="Normal 4 2 6 6 2" xfId="6810" xr:uid="{00000000-0005-0000-0000-000004140000}"/>
    <cellStyle name="Normal 4 2 6 6 2 2" xfId="15239" xr:uid="{676E7D78-549F-4F5B-86EE-5C362AB6AE8E}"/>
    <cellStyle name="Normal 4 2 6 6 3" xfId="11021" xr:uid="{1545565B-E544-4083-9C4A-C74B09F7FB12}"/>
    <cellStyle name="Normal 4 2 6 7" xfId="4745" xr:uid="{00000000-0005-0000-0000-000005140000}"/>
    <cellStyle name="Normal 4 2 6 7 2" xfId="13174" xr:uid="{BD97CCC6-1029-40A7-A640-AFB3FDFFA341}"/>
    <cellStyle name="Normal 4 2 6 8" xfId="8956" xr:uid="{FAD32751-548E-4C47-8E7F-DE3789238B3B}"/>
    <cellStyle name="Normal 4 3" xfId="366" xr:uid="{00000000-0005-0000-0000-000006140000}"/>
    <cellStyle name="Normal 4 3 10" xfId="8957" xr:uid="{A3B8B111-A028-4BD3-A6EC-46C716C10BBD}"/>
    <cellStyle name="Normal 4 3 2" xfId="367" xr:uid="{00000000-0005-0000-0000-000007140000}"/>
    <cellStyle name="Normal 4 3 2 2" xfId="368" xr:uid="{00000000-0005-0000-0000-000008140000}"/>
    <cellStyle name="Normal 4 3 2 2 2" xfId="369" xr:uid="{00000000-0005-0000-0000-000009140000}"/>
    <cellStyle name="Normal 4 3 2 2 2 10" xfId="8958" xr:uid="{6890160B-AE74-46C2-A3A6-18616CE84296}"/>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6B39295C-0CDC-4826-BE59-E27A0D28F33F}"/>
    <cellStyle name="Normal 4 3 2 2 2 2 2 2 2 3" xfId="11518" xr:uid="{814ABC68-6386-47BF-A7B2-FB80F9B882F1}"/>
    <cellStyle name="Normal 4 3 2 2 2 2 2 2 3" xfId="5162" xr:uid="{00000000-0005-0000-0000-00000F140000}"/>
    <cellStyle name="Normal 4 3 2 2 2 2 2 2 3 2" xfId="13591" xr:uid="{06B190E6-A049-47F6-B481-6078733F0166}"/>
    <cellStyle name="Normal 4 3 2 2 2 2 2 2 4" xfId="9373" xr:uid="{3D7866E5-1D11-4DC8-B66A-1EFB6E4E878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E4BA9CCB-1AB3-4EF8-8ED3-0E369CF79F00}"/>
    <cellStyle name="Normal 4 3 2 2 2 2 2 3 2 3" xfId="11931" xr:uid="{40FCD946-E1EA-4732-8636-4D62B070474F}"/>
    <cellStyle name="Normal 4 3 2 2 2 2 2 3 3" xfId="5575" xr:uid="{00000000-0005-0000-0000-000013140000}"/>
    <cellStyle name="Normal 4 3 2 2 2 2 2 3 3 2" xfId="14004" xr:uid="{87B6CB66-B2B7-4457-AD42-FBAC0E2FEDE9}"/>
    <cellStyle name="Normal 4 3 2 2 2 2 2 3 4" xfId="9786" xr:uid="{AF472323-B293-41FE-8703-F70894CDA007}"/>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D71308A1-4C8A-4B3B-91A1-5170BBF9B655}"/>
    <cellStyle name="Normal 4 3 2 2 2 2 2 4 2 3" xfId="12344" xr:uid="{75DEC5EA-EF61-4D00-8EF7-B96A5206EF79}"/>
    <cellStyle name="Normal 4 3 2 2 2 2 2 4 3" xfId="5988" xr:uid="{00000000-0005-0000-0000-000017140000}"/>
    <cellStyle name="Normal 4 3 2 2 2 2 2 4 3 2" xfId="14417" xr:uid="{8EB10E3F-C7E8-4550-A513-A1286EB1998E}"/>
    <cellStyle name="Normal 4 3 2 2 2 2 2 4 4" xfId="10199" xr:uid="{31BEC3BF-C8BD-48F7-A010-B2DC6C27B693}"/>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AE78FA15-78A9-4FE2-AAA0-81EFF7199A08}"/>
    <cellStyle name="Normal 4 3 2 2 2 2 2 5 2 3" xfId="12757" xr:uid="{5AB5636B-204A-409D-BAA8-9DA40F599387}"/>
    <cellStyle name="Normal 4 3 2 2 2 2 2 5 3" xfId="6401" xr:uid="{00000000-0005-0000-0000-00001B140000}"/>
    <cellStyle name="Normal 4 3 2 2 2 2 2 5 3 2" xfId="14830" xr:uid="{47F2AE81-A7F7-4EFA-975F-5BB30BAEBD79}"/>
    <cellStyle name="Normal 4 3 2 2 2 2 2 5 4" xfId="10612" xr:uid="{998E527D-324A-417D-9296-63CAEBAA0D9F}"/>
    <cellStyle name="Normal 4 3 2 2 2 2 2 6" xfId="2529" xr:uid="{00000000-0005-0000-0000-00001C140000}"/>
    <cellStyle name="Normal 4 3 2 2 2 2 2 6 2" xfId="6814" xr:uid="{00000000-0005-0000-0000-00001D140000}"/>
    <cellStyle name="Normal 4 3 2 2 2 2 2 6 2 2" xfId="15243" xr:uid="{ED039BA6-16D7-4E78-B693-2852CE13EFC5}"/>
    <cellStyle name="Normal 4 3 2 2 2 2 2 6 3" xfId="11025" xr:uid="{3E6D1E62-5166-48A0-BC75-27D0176C7476}"/>
    <cellStyle name="Normal 4 3 2 2 2 2 2 7" xfId="4749" xr:uid="{00000000-0005-0000-0000-00001E140000}"/>
    <cellStyle name="Normal 4 3 2 2 2 2 2 7 2" xfId="13178" xr:uid="{8F537338-7769-40B1-8BE6-A989D67884BA}"/>
    <cellStyle name="Normal 4 3 2 2 2 2 2 8" xfId="8960" xr:uid="{AFF5DF16-C70F-471E-B472-0D4513FBA59E}"/>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2FFEEF16-442E-47AF-B45F-29265A5C44C8}"/>
    <cellStyle name="Normal 4 3 2 2 2 2 3 2 3" xfId="11517" xr:uid="{124818C0-98E6-41D1-A8D7-274CFFC66889}"/>
    <cellStyle name="Normal 4 3 2 2 2 2 3 3" xfId="5161" xr:uid="{00000000-0005-0000-0000-000022140000}"/>
    <cellStyle name="Normal 4 3 2 2 2 2 3 3 2" xfId="13590" xr:uid="{E556A94A-AE2E-40FA-9535-000F36C8D6F5}"/>
    <cellStyle name="Normal 4 3 2 2 2 2 3 4" xfId="9372" xr:uid="{6EBEA55C-43A7-4B4B-9847-64C8537B05FB}"/>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A4944B07-0FC1-40FB-B161-3EEB1479EA5A}"/>
    <cellStyle name="Normal 4 3 2 2 2 2 4 2 3" xfId="11930" xr:uid="{77DAF6B5-A0B5-4907-86CC-452EE0E5D080}"/>
    <cellStyle name="Normal 4 3 2 2 2 2 4 3" xfId="5574" xr:uid="{00000000-0005-0000-0000-000026140000}"/>
    <cellStyle name="Normal 4 3 2 2 2 2 4 3 2" xfId="14003" xr:uid="{4AF19BA5-D425-4112-BB06-13FAEAAD7F93}"/>
    <cellStyle name="Normal 4 3 2 2 2 2 4 4" xfId="9785" xr:uid="{B4A89379-422D-4C89-BD08-365FC16DEE1D}"/>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09E6AC37-900E-4E62-A0A3-C4740641F8B4}"/>
    <cellStyle name="Normal 4 3 2 2 2 2 5 2 3" xfId="12343" xr:uid="{1804C647-F97B-4198-87D0-F3F9381FBC9F}"/>
    <cellStyle name="Normal 4 3 2 2 2 2 5 3" xfId="5987" xr:uid="{00000000-0005-0000-0000-00002A140000}"/>
    <cellStyle name="Normal 4 3 2 2 2 2 5 3 2" xfId="14416" xr:uid="{9CD3CCB7-857B-427B-98C6-5BDDFD2B1D5B}"/>
    <cellStyle name="Normal 4 3 2 2 2 2 5 4" xfId="10198" xr:uid="{531DB2F4-EABA-4D35-8FD0-7AC71227A944}"/>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00B4ABBB-B43C-430F-AD4A-EFC421FF6896}"/>
    <cellStyle name="Normal 4 3 2 2 2 2 6 2 3" xfId="12756" xr:uid="{E94D9A05-ECED-4167-98AE-5B3AD80C626B}"/>
    <cellStyle name="Normal 4 3 2 2 2 2 6 3" xfId="6400" xr:uid="{00000000-0005-0000-0000-00002E140000}"/>
    <cellStyle name="Normal 4 3 2 2 2 2 6 3 2" xfId="14829" xr:uid="{D9478A77-B3AF-409C-AE1D-A41BE53FA65D}"/>
    <cellStyle name="Normal 4 3 2 2 2 2 6 4" xfId="10611" xr:uid="{914A413B-D281-4C3D-8982-4559DEDFB29A}"/>
    <cellStyle name="Normal 4 3 2 2 2 2 7" xfId="2528" xr:uid="{00000000-0005-0000-0000-00002F140000}"/>
    <cellStyle name="Normal 4 3 2 2 2 2 7 2" xfId="6813" xr:uid="{00000000-0005-0000-0000-000030140000}"/>
    <cellStyle name="Normal 4 3 2 2 2 2 7 2 2" xfId="15242" xr:uid="{A5FA8B2B-65ED-4C78-868D-CCF2E8109DE0}"/>
    <cellStyle name="Normal 4 3 2 2 2 2 7 3" xfId="11024" xr:uid="{DDA202EA-EE41-431F-A61B-6A4D8DE1FADD}"/>
    <cellStyle name="Normal 4 3 2 2 2 2 8" xfId="4748" xr:uid="{00000000-0005-0000-0000-000031140000}"/>
    <cellStyle name="Normal 4 3 2 2 2 2 8 2" xfId="13177" xr:uid="{EA0CE1D4-CFF0-4B23-B547-124078F9A17F}"/>
    <cellStyle name="Normal 4 3 2 2 2 2 9" xfId="8959" xr:uid="{D8ABE0B3-49F5-44E7-9346-95D2C697F101}"/>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83253080-843A-42F3-A4F8-07D4A12F4C2A}"/>
    <cellStyle name="Normal 4 3 2 2 2 3 2 2 3" xfId="11519" xr:uid="{1812425F-8160-4B83-B57C-3A4705AAB71D}"/>
    <cellStyle name="Normal 4 3 2 2 2 3 2 3" xfId="5163" xr:uid="{00000000-0005-0000-0000-000036140000}"/>
    <cellStyle name="Normal 4 3 2 2 2 3 2 3 2" xfId="13592" xr:uid="{522C18A1-0652-41D0-AA5D-475A3BDB1A9A}"/>
    <cellStyle name="Normal 4 3 2 2 2 3 2 4" xfId="9374" xr:uid="{97B065A2-F09C-4D53-9936-AABE47289D1F}"/>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E7213ADE-D917-4578-8A08-94EEFE038D0B}"/>
    <cellStyle name="Normal 4 3 2 2 2 3 3 2 3" xfId="11932" xr:uid="{28DC0130-4D9C-4E8F-8B1A-AE2B105C8804}"/>
    <cellStyle name="Normal 4 3 2 2 2 3 3 3" xfId="5576" xr:uid="{00000000-0005-0000-0000-00003A140000}"/>
    <cellStyle name="Normal 4 3 2 2 2 3 3 3 2" xfId="14005" xr:uid="{1B497838-7365-42FA-B9FF-3D56FF10E4FD}"/>
    <cellStyle name="Normal 4 3 2 2 2 3 3 4" xfId="9787" xr:uid="{79E62345-7721-4103-92A9-511AB1C50CBB}"/>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640810AB-56F6-4A5B-A378-53958D818CB3}"/>
    <cellStyle name="Normal 4 3 2 2 2 3 4 2 3" xfId="12345" xr:uid="{8E065E16-1300-4061-9227-30AE917AAB7C}"/>
    <cellStyle name="Normal 4 3 2 2 2 3 4 3" xfId="5989" xr:uid="{00000000-0005-0000-0000-00003E140000}"/>
    <cellStyle name="Normal 4 3 2 2 2 3 4 3 2" xfId="14418" xr:uid="{1C9F8AAF-2DF7-469D-A996-B42190139243}"/>
    <cellStyle name="Normal 4 3 2 2 2 3 4 4" xfId="10200" xr:uid="{447EE0B7-2597-4883-83E1-5B1523A43A99}"/>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265CF0E6-F42B-4028-9743-19045797425D}"/>
    <cellStyle name="Normal 4 3 2 2 2 3 5 2 3" xfId="12758" xr:uid="{C53DF924-5270-48E8-BCC5-72C5F1C39633}"/>
    <cellStyle name="Normal 4 3 2 2 2 3 5 3" xfId="6402" xr:uid="{00000000-0005-0000-0000-000042140000}"/>
    <cellStyle name="Normal 4 3 2 2 2 3 5 3 2" xfId="14831" xr:uid="{DA47E1B8-FC09-432C-89AF-A7E06112DB3B}"/>
    <cellStyle name="Normal 4 3 2 2 2 3 5 4" xfId="10613" xr:uid="{5C0FB92E-D691-4771-AED2-955DB1107E88}"/>
    <cellStyle name="Normal 4 3 2 2 2 3 6" xfId="2530" xr:uid="{00000000-0005-0000-0000-000043140000}"/>
    <cellStyle name="Normal 4 3 2 2 2 3 6 2" xfId="6815" xr:uid="{00000000-0005-0000-0000-000044140000}"/>
    <cellStyle name="Normal 4 3 2 2 2 3 6 2 2" xfId="15244" xr:uid="{2F286FC8-57C8-47F9-8638-7B94818DFEAA}"/>
    <cellStyle name="Normal 4 3 2 2 2 3 6 3" xfId="11026" xr:uid="{F6C55563-9995-4461-8A57-8C2B9C6DA349}"/>
    <cellStyle name="Normal 4 3 2 2 2 3 7" xfId="4750" xr:uid="{00000000-0005-0000-0000-000045140000}"/>
    <cellStyle name="Normal 4 3 2 2 2 3 7 2" xfId="13179" xr:uid="{6159E886-38F4-4283-9528-F0E04FD905EE}"/>
    <cellStyle name="Normal 4 3 2 2 2 3 8" xfId="8961" xr:uid="{BA78A33D-102F-47DC-9797-8FA1B2FB0548}"/>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A7BD4659-D505-448A-B324-1B296805DD39}"/>
    <cellStyle name="Normal 4 3 2 2 2 4 2 3" xfId="11516" xr:uid="{6E285606-8052-4AF5-A347-D05EDF7FB5B2}"/>
    <cellStyle name="Normal 4 3 2 2 2 4 3" xfId="5160" xr:uid="{00000000-0005-0000-0000-000049140000}"/>
    <cellStyle name="Normal 4 3 2 2 2 4 3 2" xfId="13589" xr:uid="{DFD70DD6-B0E3-48E7-9422-D7B2F77E4362}"/>
    <cellStyle name="Normal 4 3 2 2 2 4 4" xfId="9371" xr:uid="{D2607F64-3DED-4842-86FA-EE7D74F1B4F3}"/>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35EB2B08-ADA2-4B02-A6C9-52FFB6B830A1}"/>
    <cellStyle name="Normal 4 3 2 2 2 5 2 3" xfId="11929" xr:uid="{E0F85258-00FB-4E56-B5ED-DE2AD507DB65}"/>
    <cellStyle name="Normal 4 3 2 2 2 5 3" xfId="5573" xr:uid="{00000000-0005-0000-0000-00004D140000}"/>
    <cellStyle name="Normal 4 3 2 2 2 5 3 2" xfId="14002" xr:uid="{7259A3CB-CE48-4D04-A929-3F2428EE55B8}"/>
    <cellStyle name="Normal 4 3 2 2 2 5 4" xfId="9784" xr:uid="{44BCB5DD-0A7C-4860-9768-345CA3DD8165}"/>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4FF8FD56-9211-4BB9-BFA6-91190A65EB04}"/>
    <cellStyle name="Normal 4 3 2 2 2 6 2 3" xfId="12342" xr:uid="{6963B871-088E-4B38-B586-5106FC40C746}"/>
    <cellStyle name="Normal 4 3 2 2 2 6 3" xfId="5986" xr:uid="{00000000-0005-0000-0000-000051140000}"/>
    <cellStyle name="Normal 4 3 2 2 2 6 3 2" xfId="14415" xr:uid="{05AF554C-F4EF-4201-B3C2-CEC2FBF82E26}"/>
    <cellStyle name="Normal 4 3 2 2 2 6 4" xfId="10197" xr:uid="{2AFAF11A-94C8-4BF8-AAEE-4F3D1D74C8C8}"/>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EE68FD91-2AF0-4E55-B49C-26C357F0565F}"/>
    <cellStyle name="Normal 4 3 2 2 2 7 2 3" xfId="12755" xr:uid="{9E8906A5-8D32-4CA9-851D-6CA754E2F772}"/>
    <cellStyle name="Normal 4 3 2 2 2 7 3" xfId="6399" xr:uid="{00000000-0005-0000-0000-000055140000}"/>
    <cellStyle name="Normal 4 3 2 2 2 7 3 2" xfId="14828" xr:uid="{FA6C0FB0-1709-492C-AE87-4FCDBF84E9BE}"/>
    <cellStyle name="Normal 4 3 2 2 2 7 4" xfId="10610" xr:uid="{0BF13BC9-C8BD-41E2-B400-8D36E029BBE5}"/>
    <cellStyle name="Normal 4 3 2 2 2 8" xfId="2527" xr:uid="{00000000-0005-0000-0000-000056140000}"/>
    <cellStyle name="Normal 4 3 2 2 2 8 2" xfId="6812" xr:uid="{00000000-0005-0000-0000-000057140000}"/>
    <cellStyle name="Normal 4 3 2 2 2 8 2 2" xfId="15241" xr:uid="{86FFEB0E-7929-4F31-A3AF-865EE54E31E8}"/>
    <cellStyle name="Normal 4 3 2 2 2 8 3" xfId="11023" xr:uid="{ED66DA81-CAC4-45E6-91F6-BE33AA4B2910}"/>
    <cellStyle name="Normal 4 3 2 2 2 9" xfId="4747" xr:uid="{00000000-0005-0000-0000-000058140000}"/>
    <cellStyle name="Normal 4 3 2 2 2 9 2" xfId="13176" xr:uid="{F104B70F-CEC8-4CAF-9DB0-171F90D2239D}"/>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675A977D-7A01-448F-9BDE-A2C305BA9F01}"/>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85D1BE0B-7464-4A47-ABA0-002413D6B6CA}"/>
    <cellStyle name="Normal 4 3 3 2 2 2 2 3" xfId="11522" xr:uid="{5C6A36C4-AAB8-4D43-AF88-702317F60143}"/>
    <cellStyle name="Normal 4 3 3 2 2 2 3" xfId="5166" xr:uid="{00000000-0005-0000-0000-000062140000}"/>
    <cellStyle name="Normal 4 3 3 2 2 2 3 2" xfId="13595" xr:uid="{CB1E5D63-C6A2-4252-A2BF-DB0456262AF3}"/>
    <cellStyle name="Normal 4 3 3 2 2 2 4" xfId="9377" xr:uid="{1C05F1AD-9EF4-4F6F-992A-D1D4D4E69B27}"/>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F3389384-DA27-4D8C-B04B-A584D8712F89}"/>
    <cellStyle name="Normal 4 3 3 2 2 3 2 3" xfId="11935" xr:uid="{2E1A403D-9BE5-4385-9E32-FF766ABEA658}"/>
    <cellStyle name="Normal 4 3 3 2 2 3 3" xfId="5579" xr:uid="{00000000-0005-0000-0000-000066140000}"/>
    <cellStyle name="Normal 4 3 3 2 2 3 3 2" xfId="14008" xr:uid="{7D3D8995-431A-416B-9D38-D588443AFFA2}"/>
    <cellStyle name="Normal 4 3 3 2 2 3 4" xfId="9790" xr:uid="{3D2F2B14-4D87-4908-91C7-6EA27C48ED87}"/>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5C2C344E-D9B4-40A7-970B-B66A9289E00B}"/>
    <cellStyle name="Normal 4 3 3 2 2 4 2 3" xfId="12348" xr:uid="{2AD972DE-6D67-4741-8332-BFA198EE3DCC}"/>
    <cellStyle name="Normal 4 3 3 2 2 4 3" xfId="5992" xr:uid="{00000000-0005-0000-0000-00006A140000}"/>
    <cellStyle name="Normal 4 3 3 2 2 4 3 2" xfId="14421" xr:uid="{6A88CECD-4248-4A82-B4EA-FC4353643BF0}"/>
    <cellStyle name="Normal 4 3 3 2 2 4 4" xfId="10203" xr:uid="{FCDA75F2-674A-430E-A9AF-255EF3059A2A}"/>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32B1AAD8-7596-482B-B71C-84AA882DA7C1}"/>
    <cellStyle name="Normal 4 3 3 2 2 5 2 3" xfId="12761" xr:uid="{D433B1C9-8109-4FB3-B65D-E1D7B168046D}"/>
    <cellStyle name="Normal 4 3 3 2 2 5 3" xfId="6405" xr:uid="{00000000-0005-0000-0000-00006E140000}"/>
    <cellStyle name="Normal 4 3 3 2 2 5 3 2" xfId="14834" xr:uid="{872AEEA4-F026-469C-8BE1-1C07DAA11E3C}"/>
    <cellStyle name="Normal 4 3 3 2 2 5 4" xfId="10616" xr:uid="{B779C74C-0E21-4269-9611-7B779685083D}"/>
    <cellStyle name="Normal 4 3 3 2 2 6" xfId="2533" xr:uid="{00000000-0005-0000-0000-00006F140000}"/>
    <cellStyle name="Normal 4 3 3 2 2 6 2" xfId="6818" xr:uid="{00000000-0005-0000-0000-000070140000}"/>
    <cellStyle name="Normal 4 3 3 2 2 6 2 2" xfId="15247" xr:uid="{D92FD606-E1ED-4B6F-A6A4-79267ABDA166}"/>
    <cellStyle name="Normal 4 3 3 2 2 6 3" xfId="11029" xr:uid="{25EE0E33-E057-4F9B-A248-78E670102DAB}"/>
    <cellStyle name="Normal 4 3 3 2 2 7" xfId="4753" xr:uid="{00000000-0005-0000-0000-000071140000}"/>
    <cellStyle name="Normal 4 3 3 2 2 7 2" xfId="13182" xr:uid="{72923719-49DA-47A0-928C-C22472547B91}"/>
    <cellStyle name="Normal 4 3 3 2 2 8" xfId="8964" xr:uid="{73FAF817-EDF3-4DC7-9321-F6DB21A18282}"/>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918D1BD6-3A4B-45C0-8B78-5E8666E78282}"/>
    <cellStyle name="Normal 4 3 3 2 3 2 3" xfId="11521" xr:uid="{D1134DF0-0CA1-47C4-B665-FD8FE46E6B48}"/>
    <cellStyle name="Normal 4 3 3 2 3 3" xfId="5165" xr:uid="{00000000-0005-0000-0000-000075140000}"/>
    <cellStyle name="Normal 4 3 3 2 3 3 2" xfId="13594" xr:uid="{E3929933-3928-49FF-A90D-7F55FF34A9BB}"/>
    <cellStyle name="Normal 4 3 3 2 3 4" xfId="9376" xr:uid="{077C2EEC-9EDB-409F-9145-3C28E3751152}"/>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8BF224C8-8851-491F-A0D0-EE01DF14EDCF}"/>
    <cellStyle name="Normal 4 3 3 2 4 2 3" xfId="11934" xr:uid="{E28EDD6E-8BA0-4B6A-B1DA-0428ED8BCFEC}"/>
    <cellStyle name="Normal 4 3 3 2 4 3" xfId="5578" xr:uid="{00000000-0005-0000-0000-000079140000}"/>
    <cellStyle name="Normal 4 3 3 2 4 3 2" xfId="14007" xr:uid="{85DCCE31-2F3D-485A-9BB1-BB1C1B28DB57}"/>
    <cellStyle name="Normal 4 3 3 2 4 4" xfId="9789" xr:uid="{13A145D9-4571-4C94-A3CF-BC871FE69C3F}"/>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CF96F70C-9368-4029-9747-732E4C5A7282}"/>
    <cellStyle name="Normal 4 3 3 2 5 2 3" xfId="12347" xr:uid="{53DFA5B0-3B06-4DB7-ABF6-8E8D5253C992}"/>
    <cellStyle name="Normal 4 3 3 2 5 3" xfId="5991" xr:uid="{00000000-0005-0000-0000-00007D140000}"/>
    <cellStyle name="Normal 4 3 3 2 5 3 2" xfId="14420" xr:uid="{25A9F2CA-2DD5-41E4-AB6B-65AEC61C5AF2}"/>
    <cellStyle name="Normal 4 3 3 2 5 4" xfId="10202" xr:uid="{001AEC6A-3971-4F47-B105-D0CDDFF231CC}"/>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B109A363-2EF1-443E-9BBA-D850D7768181}"/>
    <cellStyle name="Normal 4 3 3 2 6 2 3" xfId="12760" xr:uid="{5E68EF0C-4B6F-4C0D-8663-F9A9746BAB2D}"/>
    <cellStyle name="Normal 4 3 3 2 6 3" xfId="6404" xr:uid="{00000000-0005-0000-0000-000081140000}"/>
    <cellStyle name="Normal 4 3 3 2 6 3 2" xfId="14833" xr:uid="{BACBFEDB-4BE4-49A0-A6DB-6345ADD2CF7B}"/>
    <cellStyle name="Normal 4 3 3 2 6 4" xfId="10615" xr:uid="{0EA3E906-7228-4035-A106-04C9F06BB7CE}"/>
    <cellStyle name="Normal 4 3 3 2 7" xfId="2532" xr:uid="{00000000-0005-0000-0000-000082140000}"/>
    <cellStyle name="Normal 4 3 3 2 7 2" xfId="6817" xr:uid="{00000000-0005-0000-0000-000083140000}"/>
    <cellStyle name="Normal 4 3 3 2 7 2 2" xfId="15246" xr:uid="{8A2C2026-B4FD-4FFE-93AF-779E3892991D}"/>
    <cellStyle name="Normal 4 3 3 2 7 3" xfId="11028" xr:uid="{90D1AC07-4B5B-48DC-A432-2A2244C914B0}"/>
    <cellStyle name="Normal 4 3 3 2 8" xfId="4752" xr:uid="{00000000-0005-0000-0000-000084140000}"/>
    <cellStyle name="Normal 4 3 3 2 8 2" xfId="13181" xr:uid="{B5FEC974-F8AF-4CE6-9C58-5AAAE473A22A}"/>
    <cellStyle name="Normal 4 3 3 2 9" xfId="8963" xr:uid="{A180469B-522E-4229-98B4-64290307C2F7}"/>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E2828599-DFE9-4ACD-851C-193993846BC3}"/>
    <cellStyle name="Normal 4 3 3 3 2 2 3" xfId="11523" xr:uid="{0073F6FB-6FC4-4693-9F2B-75F77BE818CC}"/>
    <cellStyle name="Normal 4 3 3 3 2 3" xfId="5167" xr:uid="{00000000-0005-0000-0000-000089140000}"/>
    <cellStyle name="Normal 4 3 3 3 2 3 2" xfId="13596" xr:uid="{CF5206F3-2712-47BA-AC89-BEC8B440DE8E}"/>
    <cellStyle name="Normal 4 3 3 3 2 4" xfId="9378" xr:uid="{7EC47D9B-38DE-41D4-9752-6A48050B1B79}"/>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49BDCDE0-F630-46E9-B00A-8619044BD5C7}"/>
    <cellStyle name="Normal 4 3 3 3 3 2 3" xfId="11936" xr:uid="{54E48896-A20C-42E3-94E4-12669953BC47}"/>
    <cellStyle name="Normal 4 3 3 3 3 3" xfId="5580" xr:uid="{00000000-0005-0000-0000-00008D140000}"/>
    <cellStyle name="Normal 4 3 3 3 3 3 2" xfId="14009" xr:uid="{723E688B-C294-43F8-AAED-2C964A720737}"/>
    <cellStyle name="Normal 4 3 3 3 3 4" xfId="9791" xr:uid="{4BEBF718-A887-4C78-948F-EA66E13FB12B}"/>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17042C30-39C6-4BEC-AA86-3D775DD01A91}"/>
    <cellStyle name="Normal 4 3 3 3 4 2 3" xfId="12349" xr:uid="{2724154B-8DA2-4058-9A80-EF1216E40511}"/>
    <cellStyle name="Normal 4 3 3 3 4 3" xfId="5993" xr:uid="{00000000-0005-0000-0000-000091140000}"/>
    <cellStyle name="Normal 4 3 3 3 4 3 2" xfId="14422" xr:uid="{5093C8BB-ABF1-456C-961A-FC6D02799C0C}"/>
    <cellStyle name="Normal 4 3 3 3 4 4" xfId="10204" xr:uid="{1DFE8595-D4C6-4AE7-8956-A2F2A8634B32}"/>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0150F54B-8480-4F91-B184-3CB57E7E077A}"/>
    <cellStyle name="Normal 4 3 3 3 5 2 3" xfId="12762" xr:uid="{F05717B4-585F-40D8-AE96-0E2204AE302C}"/>
    <cellStyle name="Normal 4 3 3 3 5 3" xfId="6406" xr:uid="{00000000-0005-0000-0000-000095140000}"/>
    <cellStyle name="Normal 4 3 3 3 5 3 2" xfId="14835" xr:uid="{50528C0E-B6D4-4793-A6E2-AFD5E271FD6A}"/>
    <cellStyle name="Normal 4 3 3 3 5 4" xfId="10617" xr:uid="{F477AAF3-E7E0-49C3-ACB6-362CC4E07F88}"/>
    <cellStyle name="Normal 4 3 3 3 6" xfId="2534" xr:uid="{00000000-0005-0000-0000-000096140000}"/>
    <cellStyle name="Normal 4 3 3 3 6 2" xfId="6819" xr:uid="{00000000-0005-0000-0000-000097140000}"/>
    <cellStyle name="Normal 4 3 3 3 6 2 2" xfId="15248" xr:uid="{D8AF7A2A-7A98-41CA-9812-13134BBD35B4}"/>
    <cellStyle name="Normal 4 3 3 3 6 3" xfId="11030" xr:uid="{AEA42C5B-1BEB-43E7-9340-4094351E913C}"/>
    <cellStyle name="Normal 4 3 3 3 7" xfId="4754" xr:uid="{00000000-0005-0000-0000-000098140000}"/>
    <cellStyle name="Normal 4 3 3 3 7 2" xfId="13183" xr:uid="{7CE0E49D-283F-4DD6-BFC5-9B7046BA52AA}"/>
    <cellStyle name="Normal 4 3 3 3 8" xfId="8965" xr:uid="{4BEC068E-2760-4290-9970-605651F5B0DD}"/>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36D23CA8-EB50-46C5-90F5-921A0058EEE7}"/>
    <cellStyle name="Normal 4 3 3 4 2 3" xfId="11520" xr:uid="{D9A12832-D35A-4218-A11B-6DC83B1512AD}"/>
    <cellStyle name="Normal 4 3 3 4 3" xfId="5164" xr:uid="{00000000-0005-0000-0000-00009C140000}"/>
    <cellStyle name="Normal 4 3 3 4 3 2" xfId="13593" xr:uid="{D9F1F4CC-E283-4E24-AA33-B6104D5D8695}"/>
    <cellStyle name="Normal 4 3 3 4 4" xfId="9375" xr:uid="{8C0AD6FD-1F1D-4A52-AF71-778529774B33}"/>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8B70EED1-09CF-430A-AA48-9F75EC47D83B}"/>
    <cellStyle name="Normal 4 3 3 5 2 3" xfId="11933" xr:uid="{0FDF1FC9-FF84-4F71-AACC-4D85F2CF3A4F}"/>
    <cellStyle name="Normal 4 3 3 5 3" xfId="5577" xr:uid="{00000000-0005-0000-0000-0000A0140000}"/>
    <cellStyle name="Normal 4 3 3 5 3 2" xfId="14006" xr:uid="{C517A55A-C463-4921-9EFD-495EB00A4CE7}"/>
    <cellStyle name="Normal 4 3 3 5 4" xfId="9788" xr:uid="{7F36247A-D3CD-484D-AF90-9F19381D50F2}"/>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79E87C7B-61F5-41A7-BE37-0A0AD1C61740}"/>
    <cellStyle name="Normal 4 3 3 6 2 3" xfId="12346" xr:uid="{E21E9D39-615C-4312-91DA-6DE33E7765E1}"/>
    <cellStyle name="Normal 4 3 3 6 3" xfId="5990" xr:uid="{00000000-0005-0000-0000-0000A4140000}"/>
    <cellStyle name="Normal 4 3 3 6 3 2" xfId="14419" xr:uid="{E0995641-AA3C-466B-A210-3BEFA4CF83CD}"/>
    <cellStyle name="Normal 4 3 3 6 4" xfId="10201" xr:uid="{53192E16-85AF-409F-8618-6FC234A58727}"/>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EAF2D2A9-C10F-413A-AC0C-B8B231B2AF88}"/>
    <cellStyle name="Normal 4 3 3 7 2 3" xfId="12759" xr:uid="{8A4D33EA-73CF-4132-8880-D81C49010C98}"/>
    <cellStyle name="Normal 4 3 3 7 3" xfId="6403" xr:uid="{00000000-0005-0000-0000-0000A8140000}"/>
    <cellStyle name="Normal 4 3 3 7 3 2" xfId="14832" xr:uid="{275C8F01-7DB2-4969-BF9A-4523BE27CFAE}"/>
    <cellStyle name="Normal 4 3 3 7 4" xfId="10614" xr:uid="{F65D9938-46BC-4904-9CE6-E1E0BA857D47}"/>
    <cellStyle name="Normal 4 3 3 8" xfId="2531" xr:uid="{00000000-0005-0000-0000-0000A9140000}"/>
    <cellStyle name="Normal 4 3 3 8 2" xfId="6816" xr:uid="{00000000-0005-0000-0000-0000AA140000}"/>
    <cellStyle name="Normal 4 3 3 8 2 2" xfId="15245" xr:uid="{AE3DE38E-3BE6-4EAB-AFA0-896C865BB684}"/>
    <cellStyle name="Normal 4 3 3 8 3" xfId="11027" xr:uid="{59024718-AAF4-45BD-8C19-DE86F534D2B3}"/>
    <cellStyle name="Normal 4 3 3 9" xfId="4751" xr:uid="{00000000-0005-0000-0000-0000AB140000}"/>
    <cellStyle name="Normal 4 3 3 9 2" xfId="13180" xr:uid="{19E8F317-64D5-4883-8629-8C9CE4DBFA62}"/>
    <cellStyle name="Normal 4 3 4" xfId="843" xr:uid="{00000000-0005-0000-0000-0000AC140000}"/>
    <cellStyle name="Normal 4 3 4 2" xfId="3080" xr:uid="{00000000-0005-0000-0000-0000AD140000}"/>
    <cellStyle name="Normal 4 3 4 2 2" xfId="7304" xr:uid="{00000000-0005-0000-0000-0000AE140000}"/>
    <cellStyle name="Normal 4 3 4 2 2 2" xfId="15733" xr:uid="{5963F590-B131-4535-8A1E-B5E551211C14}"/>
    <cellStyle name="Normal 4 3 4 2 3" xfId="11515" xr:uid="{1A1A9EA8-5C60-4060-9A88-6515CB32FC7F}"/>
    <cellStyle name="Normal 4 3 4 3" xfId="5159" xr:uid="{00000000-0005-0000-0000-0000AF140000}"/>
    <cellStyle name="Normal 4 3 4 3 2" xfId="13588" xr:uid="{13D5BB2E-C496-4BCE-866D-F2962DB9DF9E}"/>
    <cellStyle name="Normal 4 3 4 4" xfId="9370" xr:uid="{6C9134F6-AD03-432D-A879-CB3672958026}"/>
    <cellStyle name="Normal 4 3 5" xfId="1263" xr:uid="{00000000-0005-0000-0000-0000B0140000}"/>
    <cellStyle name="Normal 4 3 5 2" xfId="3493" xr:uid="{00000000-0005-0000-0000-0000B1140000}"/>
    <cellStyle name="Normal 4 3 5 2 2" xfId="7717" xr:uid="{00000000-0005-0000-0000-0000B2140000}"/>
    <cellStyle name="Normal 4 3 5 2 2 2" xfId="16146" xr:uid="{BD80974F-E3CD-4928-AA02-C83E418E7CA4}"/>
    <cellStyle name="Normal 4 3 5 2 3" xfId="11928" xr:uid="{FA5C600B-BD8E-4605-8656-5F86C7B64AD9}"/>
    <cellStyle name="Normal 4 3 5 3" xfId="5572" xr:uid="{00000000-0005-0000-0000-0000B3140000}"/>
    <cellStyle name="Normal 4 3 5 3 2" xfId="14001" xr:uid="{F67F6A21-9517-4EF6-A3DE-B5C9EBB32567}"/>
    <cellStyle name="Normal 4 3 5 4" xfId="9783" xr:uid="{47A989A9-22BA-4540-9B9B-CC94F0A25776}"/>
    <cellStyle name="Normal 4 3 6" xfId="1676" xr:uid="{00000000-0005-0000-0000-0000B4140000}"/>
    <cellStyle name="Normal 4 3 6 2" xfId="3906" xr:uid="{00000000-0005-0000-0000-0000B5140000}"/>
    <cellStyle name="Normal 4 3 6 2 2" xfId="8130" xr:uid="{00000000-0005-0000-0000-0000B6140000}"/>
    <cellStyle name="Normal 4 3 6 2 2 2" xfId="16559" xr:uid="{5F07CDF4-A095-4E70-8231-DF11C24134E6}"/>
    <cellStyle name="Normal 4 3 6 2 3" xfId="12341" xr:uid="{9E7E743C-58EC-4AD7-B9AC-DAD27CBA2EDA}"/>
    <cellStyle name="Normal 4 3 6 3" xfId="5985" xr:uid="{00000000-0005-0000-0000-0000B7140000}"/>
    <cellStyle name="Normal 4 3 6 3 2" xfId="14414" xr:uid="{2711B60B-10BF-4DFC-BE91-2506915C3199}"/>
    <cellStyle name="Normal 4 3 6 4" xfId="10196" xr:uid="{ECB30987-B67E-41FD-9B05-7EC1B0A4F8C6}"/>
    <cellStyle name="Normal 4 3 7" xfId="2090" xr:uid="{00000000-0005-0000-0000-0000B8140000}"/>
    <cellStyle name="Normal 4 3 7 2" xfId="4319" xr:uid="{00000000-0005-0000-0000-0000B9140000}"/>
    <cellStyle name="Normal 4 3 7 2 2" xfId="8543" xr:uid="{00000000-0005-0000-0000-0000BA140000}"/>
    <cellStyle name="Normal 4 3 7 2 2 2" xfId="16972" xr:uid="{573374EE-92A8-4C24-AB8B-E835FAE96920}"/>
    <cellStyle name="Normal 4 3 7 2 3" xfId="12754" xr:uid="{91752D97-87EB-48CD-814A-D74F24204BF9}"/>
    <cellStyle name="Normal 4 3 7 3" xfId="6398" xr:uid="{00000000-0005-0000-0000-0000BB140000}"/>
    <cellStyle name="Normal 4 3 7 3 2" xfId="14827" xr:uid="{A56B9095-024E-4150-87F8-C1E400FCF7B9}"/>
    <cellStyle name="Normal 4 3 7 4" xfId="10609" xr:uid="{B2D386EB-8A75-4585-87AE-F4142ACFCF68}"/>
    <cellStyle name="Normal 4 3 8" xfId="2526" xr:uid="{00000000-0005-0000-0000-0000BC140000}"/>
    <cellStyle name="Normal 4 3 8 2" xfId="6811" xr:uid="{00000000-0005-0000-0000-0000BD140000}"/>
    <cellStyle name="Normal 4 3 8 2 2" xfId="15240" xr:uid="{7DF5C8C7-8394-4DD8-9CE6-E01948F754B9}"/>
    <cellStyle name="Normal 4 3 8 3" xfId="11022" xr:uid="{1003FD1D-823D-47BB-8D15-5948BD5D7BED}"/>
    <cellStyle name="Normal 4 3 9" xfId="4746" xr:uid="{00000000-0005-0000-0000-0000BE140000}"/>
    <cellStyle name="Normal 4 3 9 2" xfId="13175" xr:uid="{FC2E06DC-DAE4-4699-9430-907185F6A05D}"/>
    <cellStyle name="Normal 4 4" xfId="378" xr:uid="{00000000-0005-0000-0000-0000BF140000}"/>
    <cellStyle name="Normal 4 4 10" xfId="2535" xr:uid="{00000000-0005-0000-0000-0000C0140000}"/>
    <cellStyle name="Normal 4 4 10 2" xfId="6820" xr:uid="{00000000-0005-0000-0000-0000C1140000}"/>
    <cellStyle name="Normal 4 4 10 2 2" xfId="15249" xr:uid="{5241480B-E961-480A-81E5-84E7A7AB8BD2}"/>
    <cellStyle name="Normal 4 4 10 3" xfId="11031" xr:uid="{F40C2893-BED9-4C21-A223-A8EC5F190889}"/>
    <cellStyle name="Normal 4 4 11" xfId="4755" xr:uid="{00000000-0005-0000-0000-0000C2140000}"/>
    <cellStyle name="Normal 4 4 11 2" xfId="13184" xr:uid="{D77B2FB4-E455-42A8-BA6D-620979ECD448}"/>
    <cellStyle name="Normal 4 4 12" xfId="8966" xr:uid="{D8CFEAC4-0112-4F9A-8330-F430108B7B00}"/>
    <cellStyle name="Normal 4 4 2" xfId="379" xr:uid="{00000000-0005-0000-0000-0000C3140000}"/>
    <cellStyle name="Normal 4 4 2 10" xfId="4756" xr:uid="{00000000-0005-0000-0000-0000C4140000}"/>
    <cellStyle name="Normal 4 4 2 10 2" xfId="13185" xr:uid="{BE3C70FB-DB4A-4DE7-8539-C789A3172DF7}"/>
    <cellStyle name="Normal 4 4 2 11" xfId="8967" xr:uid="{5697A1CB-AFCD-466B-86E4-74000F85F129}"/>
    <cellStyle name="Normal 4 4 2 2" xfId="380" xr:uid="{00000000-0005-0000-0000-0000C5140000}"/>
    <cellStyle name="Normal 4 4 2 2 10" xfId="8968" xr:uid="{CBC36266-A244-4150-8A36-5C718B8E2E4B}"/>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4E7EEF90-74E6-491A-8C3A-775A829FB0A3}"/>
    <cellStyle name="Normal 4 4 2 2 2 2 2 2 3" xfId="11528" xr:uid="{1ACC58D2-65AF-493F-8D85-5311E3E7D327}"/>
    <cellStyle name="Normal 4 4 2 2 2 2 2 3" xfId="5172" xr:uid="{00000000-0005-0000-0000-0000CB140000}"/>
    <cellStyle name="Normal 4 4 2 2 2 2 2 3 2" xfId="13601" xr:uid="{EA978F74-7736-4654-A815-E46813B7C8DB}"/>
    <cellStyle name="Normal 4 4 2 2 2 2 2 4" xfId="9383" xr:uid="{13D21222-56EB-4474-A5AE-07B593E4EE7A}"/>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806972EC-614C-4BBD-94D0-4DCC3FC1D5B7}"/>
    <cellStyle name="Normal 4 4 2 2 2 2 3 2 3" xfId="11941" xr:uid="{3A823B94-9C98-419E-8B14-15887096F5EC}"/>
    <cellStyle name="Normal 4 4 2 2 2 2 3 3" xfId="5585" xr:uid="{00000000-0005-0000-0000-0000CF140000}"/>
    <cellStyle name="Normal 4 4 2 2 2 2 3 3 2" xfId="14014" xr:uid="{AE8E5AFB-F755-47E2-B666-14FC5F2CAAEC}"/>
    <cellStyle name="Normal 4 4 2 2 2 2 3 4" xfId="9796" xr:uid="{18FA1B7D-5885-4959-A2B7-A5C55098E4E5}"/>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ABE15BDE-E293-4F19-B354-3364C6260FFB}"/>
    <cellStyle name="Normal 4 4 2 2 2 2 4 2 3" xfId="12354" xr:uid="{A85E10B3-E489-4608-B472-8C1448AC6597}"/>
    <cellStyle name="Normal 4 4 2 2 2 2 4 3" xfId="5998" xr:uid="{00000000-0005-0000-0000-0000D3140000}"/>
    <cellStyle name="Normal 4 4 2 2 2 2 4 3 2" xfId="14427" xr:uid="{DA0F8761-F8AF-44C0-AF77-79EB4879BC7D}"/>
    <cellStyle name="Normal 4 4 2 2 2 2 4 4" xfId="10209" xr:uid="{5EC82F6E-FAD3-4519-905B-5EE80E1CB041}"/>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198437A0-738A-42C0-A53E-A756FE6D1073}"/>
    <cellStyle name="Normal 4 4 2 2 2 2 5 2 3" xfId="12767" xr:uid="{9B7B82C4-3746-4966-AC55-50072066AF45}"/>
    <cellStyle name="Normal 4 4 2 2 2 2 5 3" xfId="6411" xr:uid="{00000000-0005-0000-0000-0000D7140000}"/>
    <cellStyle name="Normal 4 4 2 2 2 2 5 3 2" xfId="14840" xr:uid="{C7226C6C-82AF-4EEE-B1DA-BE444F0AF846}"/>
    <cellStyle name="Normal 4 4 2 2 2 2 5 4" xfId="10622" xr:uid="{40831C0A-3152-4A7C-AD1F-F5CADCB54023}"/>
    <cellStyle name="Normal 4 4 2 2 2 2 6" xfId="2539" xr:uid="{00000000-0005-0000-0000-0000D8140000}"/>
    <cellStyle name="Normal 4 4 2 2 2 2 6 2" xfId="6824" xr:uid="{00000000-0005-0000-0000-0000D9140000}"/>
    <cellStyle name="Normal 4 4 2 2 2 2 6 2 2" xfId="15253" xr:uid="{4022F986-D0DB-4602-B6BC-65F8A227804C}"/>
    <cellStyle name="Normal 4 4 2 2 2 2 6 3" xfId="11035" xr:uid="{AF37B9BF-0381-44AD-B743-9E39324AA413}"/>
    <cellStyle name="Normal 4 4 2 2 2 2 7" xfId="4759" xr:uid="{00000000-0005-0000-0000-0000DA140000}"/>
    <cellStyle name="Normal 4 4 2 2 2 2 7 2" xfId="13188" xr:uid="{1B2A1BD7-ADB0-4F24-B364-0360961A36BD}"/>
    <cellStyle name="Normal 4 4 2 2 2 2 8" xfId="8970" xr:uid="{28FA24FB-857D-4ED3-B1EA-8FA6B517BFB4}"/>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32B1BAB9-0319-4B18-8A10-54F8345AFF07}"/>
    <cellStyle name="Normal 4 4 2 2 2 3 2 3" xfId="11527" xr:uid="{ED795572-5F12-4870-B9C7-4CC6AB1364FC}"/>
    <cellStyle name="Normal 4 4 2 2 2 3 3" xfId="5171" xr:uid="{00000000-0005-0000-0000-0000DE140000}"/>
    <cellStyle name="Normal 4 4 2 2 2 3 3 2" xfId="13600" xr:uid="{E111B2BD-D644-4310-A189-E233BD74C6CF}"/>
    <cellStyle name="Normal 4 4 2 2 2 3 4" xfId="9382" xr:uid="{78ECD4C4-982E-4A54-BC6A-865DEB0F819E}"/>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2B219D57-A003-4D0C-8343-E083A9AE32A9}"/>
    <cellStyle name="Normal 4 4 2 2 2 4 2 3" xfId="11940" xr:uid="{0571CBEF-83B5-49BF-9F1E-D1ECBE2F6892}"/>
    <cellStyle name="Normal 4 4 2 2 2 4 3" xfId="5584" xr:uid="{00000000-0005-0000-0000-0000E2140000}"/>
    <cellStyle name="Normal 4 4 2 2 2 4 3 2" xfId="14013" xr:uid="{A00B9636-A75F-4530-992F-DE33705EA5B1}"/>
    <cellStyle name="Normal 4 4 2 2 2 4 4" xfId="9795" xr:uid="{1030A75B-FA02-4840-B09E-7155FF736D16}"/>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81470CAF-A80C-4B63-BABB-392E822ED413}"/>
    <cellStyle name="Normal 4 4 2 2 2 5 2 3" xfId="12353" xr:uid="{B417D809-363A-4DB2-ABD7-71EF6E6443D3}"/>
    <cellStyle name="Normal 4 4 2 2 2 5 3" xfId="5997" xr:uid="{00000000-0005-0000-0000-0000E6140000}"/>
    <cellStyle name="Normal 4 4 2 2 2 5 3 2" xfId="14426" xr:uid="{C48CC5A0-DFF9-4EF4-BEEE-E8AB69AC9EC8}"/>
    <cellStyle name="Normal 4 4 2 2 2 5 4" xfId="10208" xr:uid="{D6E03479-807C-490C-B483-BA244AAD5288}"/>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93B8F951-A248-4CD7-A0D2-B32F4DA7F527}"/>
    <cellStyle name="Normal 4 4 2 2 2 6 2 3" xfId="12766" xr:uid="{6E633EE5-6E57-4237-B476-01790EDC70C6}"/>
    <cellStyle name="Normal 4 4 2 2 2 6 3" xfId="6410" xr:uid="{00000000-0005-0000-0000-0000EA140000}"/>
    <cellStyle name="Normal 4 4 2 2 2 6 3 2" xfId="14839" xr:uid="{3E2526A7-0A1C-4F21-A4CD-AF80C47AB942}"/>
    <cellStyle name="Normal 4 4 2 2 2 6 4" xfId="10621" xr:uid="{46713FA4-F6BF-4FE0-852E-BBB8D9801E31}"/>
    <cellStyle name="Normal 4 4 2 2 2 7" xfId="2538" xr:uid="{00000000-0005-0000-0000-0000EB140000}"/>
    <cellStyle name="Normal 4 4 2 2 2 7 2" xfId="6823" xr:uid="{00000000-0005-0000-0000-0000EC140000}"/>
    <cellStyle name="Normal 4 4 2 2 2 7 2 2" xfId="15252" xr:uid="{3FF880A5-8E11-492C-9192-E158CE5F7554}"/>
    <cellStyle name="Normal 4 4 2 2 2 7 3" xfId="11034" xr:uid="{46CB0754-67DC-40B7-A2C8-E500DD537EF1}"/>
    <cellStyle name="Normal 4 4 2 2 2 8" xfId="4758" xr:uid="{00000000-0005-0000-0000-0000ED140000}"/>
    <cellStyle name="Normal 4 4 2 2 2 8 2" xfId="13187" xr:uid="{0755863D-479E-4A69-8393-3C529F8F34E7}"/>
    <cellStyle name="Normal 4 4 2 2 2 9" xfId="8969" xr:uid="{E1D33DA6-2EB6-4DA7-B836-44115B03CEB2}"/>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814FBC55-CD56-4176-BA25-EBD77F7BAE8D}"/>
    <cellStyle name="Normal 4 4 2 2 3 2 2 3" xfId="11529" xr:uid="{A994BD4E-5696-4025-90BD-7884F5899BB2}"/>
    <cellStyle name="Normal 4 4 2 2 3 2 3" xfId="5173" xr:uid="{00000000-0005-0000-0000-0000F2140000}"/>
    <cellStyle name="Normal 4 4 2 2 3 2 3 2" xfId="13602" xr:uid="{202150D5-F3A8-40AC-81C6-F807D7229EAD}"/>
    <cellStyle name="Normal 4 4 2 2 3 2 4" xfId="9384" xr:uid="{FEEA7676-218B-45F2-8165-4EC81CE26974}"/>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CB10E9D5-531B-437C-BB5F-9EDF6D58D1AF}"/>
    <cellStyle name="Normal 4 4 2 2 3 3 2 3" xfId="11942" xr:uid="{FC9CC4D0-BB59-4211-BEFE-191A5938A6F9}"/>
    <cellStyle name="Normal 4 4 2 2 3 3 3" xfId="5586" xr:uid="{00000000-0005-0000-0000-0000F6140000}"/>
    <cellStyle name="Normal 4 4 2 2 3 3 3 2" xfId="14015" xr:uid="{0EC8B0CD-2656-4D58-9973-BBD19AEDC94F}"/>
    <cellStyle name="Normal 4 4 2 2 3 3 4" xfId="9797" xr:uid="{E2A96793-112A-475E-A954-D42AC9A1ADE2}"/>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0021036B-0B75-4248-BA5A-D7BF7F38FDE4}"/>
    <cellStyle name="Normal 4 4 2 2 3 4 2 3" xfId="12355" xr:uid="{3AD168FB-86B6-4A02-B84E-1C03FD0ADF84}"/>
    <cellStyle name="Normal 4 4 2 2 3 4 3" xfId="5999" xr:uid="{00000000-0005-0000-0000-0000FA140000}"/>
    <cellStyle name="Normal 4 4 2 2 3 4 3 2" xfId="14428" xr:uid="{E545E196-C3A5-4F2B-A5A5-DDF9420BCCC2}"/>
    <cellStyle name="Normal 4 4 2 2 3 4 4" xfId="10210" xr:uid="{9509DCCB-8937-403B-972D-A02880DB4E21}"/>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4968E097-2812-4674-ABB3-4B431A66E747}"/>
    <cellStyle name="Normal 4 4 2 2 3 5 2 3" xfId="12768" xr:uid="{68E05818-7EC8-4E34-B2E8-F94F2C69532E}"/>
    <cellStyle name="Normal 4 4 2 2 3 5 3" xfId="6412" xr:uid="{00000000-0005-0000-0000-0000FE140000}"/>
    <cellStyle name="Normal 4 4 2 2 3 5 3 2" xfId="14841" xr:uid="{13E901FC-B633-4168-BBBE-244C0E99FC5D}"/>
    <cellStyle name="Normal 4 4 2 2 3 5 4" xfId="10623" xr:uid="{639FD552-AAE6-416A-9F36-2E99355EB3E8}"/>
    <cellStyle name="Normal 4 4 2 2 3 6" xfId="2540" xr:uid="{00000000-0005-0000-0000-0000FF140000}"/>
    <cellStyle name="Normal 4 4 2 2 3 6 2" xfId="6825" xr:uid="{00000000-0005-0000-0000-000000150000}"/>
    <cellStyle name="Normal 4 4 2 2 3 6 2 2" xfId="15254" xr:uid="{3F9D2707-BBC9-44F5-8889-59BAA89CDAEB}"/>
    <cellStyle name="Normal 4 4 2 2 3 6 3" xfId="11036" xr:uid="{1B0E556E-2481-4604-8FD8-A8BC70DEB80E}"/>
    <cellStyle name="Normal 4 4 2 2 3 7" xfId="4760" xr:uid="{00000000-0005-0000-0000-000001150000}"/>
    <cellStyle name="Normal 4 4 2 2 3 7 2" xfId="13189" xr:uid="{7F0876CF-4863-409D-9648-BDCC17B13CCC}"/>
    <cellStyle name="Normal 4 4 2 2 3 8" xfId="8971" xr:uid="{3B9BB240-0CB6-40D5-81ED-016A83F6DC78}"/>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C6BF699D-C500-44EB-8351-4FE98B1A1F6B}"/>
    <cellStyle name="Normal 4 4 2 2 4 2 3" xfId="11526" xr:uid="{81CE1B16-B517-4709-B132-74A40A7D1531}"/>
    <cellStyle name="Normal 4 4 2 2 4 3" xfId="5170" xr:uid="{00000000-0005-0000-0000-000005150000}"/>
    <cellStyle name="Normal 4 4 2 2 4 3 2" xfId="13599" xr:uid="{11E055EE-176A-40F3-89B3-26F588B57E88}"/>
    <cellStyle name="Normal 4 4 2 2 4 4" xfId="9381" xr:uid="{93A3F8FD-A64A-41A9-8BC3-CB39FD9B53CE}"/>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0F36CBFA-6C9C-4BDB-BF2B-5292C8E43729}"/>
    <cellStyle name="Normal 4 4 2 2 5 2 3" xfId="11939" xr:uid="{E7954A30-98B3-42D3-8311-EC2583CC094B}"/>
    <cellStyle name="Normal 4 4 2 2 5 3" xfId="5583" xr:uid="{00000000-0005-0000-0000-000009150000}"/>
    <cellStyle name="Normal 4 4 2 2 5 3 2" xfId="14012" xr:uid="{217A62EA-AA75-48D0-AD10-7F60669FB09C}"/>
    <cellStyle name="Normal 4 4 2 2 5 4" xfId="9794" xr:uid="{56E5F13B-BD3D-40C3-B788-5CFE7BC53E4E}"/>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F4E43C7F-1137-4B34-AE5A-5AB4BB335696}"/>
    <cellStyle name="Normal 4 4 2 2 6 2 3" xfId="12352" xr:uid="{29A49FD9-3EE3-4E1A-B31B-BDBF2FEF070A}"/>
    <cellStyle name="Normal 4 4 2 2 6 3" xfId="5996" xr:uid="{00000000-0005-0000-0000-00000D150000}"/>
    <cellStyle name="Normal 4 4 2 2 6 3 2" xfId="14425" xr:uid="{7C4C4809-30A5-4B84-B3FF-4DE005A127C4}"/>
    <cellStyle name="Normal 4 4 2 2 6 4" xfId="10207" xr:uid="{6CC27240-587F-4C0C-AAFF-49B86F0C9B90}"/>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1868BC04-77B2-48E6-A28A-A04F04EADBED}"/>
    <cellStyle name="Normal 4 4 2 2 7 2 3" xfId="12765" xr:uid="{732A9649-7128-44CD-BC35-C1802C1F3117}"/>
    <cellStyle name="Normal 4 4 2 2 7 3" xfId="6409" xr:uid="{00000000-0005-0000-0000-000011150000}"/>
    <cellStyle name="Normal 4 4 2 2 7 3 2" xfId="14838" xr:uid="{ED9A7822-F536-4A5D-986F-EF13C75EFD21}"/>
    <cellStyle name="Normal 4 4 2 2 7 4" xfId="10620" xr:uid="{C4226EDF-BEF8-451C-B0F6-5D013E0863D3}"/>
    <cellStyle name="Normal 4 4 2 2 8" xfId="2537" xr:uid="{00000000-0005-0000-0000-000012150000}"/>
    <cellStyle name="Normal 4 4 2 2 8 2" xfId="6822" xr:uid="{00000000-0005-0000-0000-000013150000}"/>
    <cellStyle name="Normal 4 4 2 2 8 2 2" xfId="15251" xr:uid="{3709E610-5FB7-46B0-A901-567AA52C0FBA}"/>
    <cellStyle name="Normal 4 4 2 2 8 3" xfId="11033" xr:uid="{57C1F7EE-CBD8-4440-BCE5-99489B6DB37D}"/>
    <cellStyle name="Normal 4 4 2 2 9" xfId="4757" xr:uid="{00000000-0005-0000-0000-000014150000}"/>
    <cellStyle name="Normal 4 4 2 2 9 2" xfId="13186" xr:uid="{5F2ADA56-DF92-45C9-9CCB-379CA6E66C44}"/>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B894D4E7-9C12-4C47-A18B-3C07C195C076}"/>
    <cellStyle name="Normal 4 4 2 3 2 2 2 3" xfId="11531" xr:uid="{6020DEDF-7DAF-4BE2-9F0F-536C461FDCB5}"/>
    <cellStyle name="Normal 4 4 2 3 2 2 3" xfId="5175" xr:uid="{00000000-0005-0000-0000-00001A150000}"/>
    <cellStyle name="Normal 4 4 2 3 2 2 3 2" xfId="13604" xr:uid="{4E3EC776-F729-4555-B7DB-0BBDB5686691}"/>
    <cellStyle name="Normal 4 4 2 3 2 2 4" xfId="9386" xr:uid="{5B13ADE6-5BB3-4999-84AE-CBC3395058CE}"/>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3CC08151-DA15-4B57-B623-73B63CD1647C}"/>
    <cellStyle name="Normal 4 4 2 3 2 3 2 3" xfId="11944" xr:uid="{720FECE5-F36D-4F06-A74E-BC53FF579507}"/>
    <cellStyle name="Normal 4 4 2 3 2 3 3" xfId="5588" xr:uid="{00000000-0005-0000-0000-00001E150000}"/>
    <cellStyle name="Normal 4 4 2 3 2 3 3 2" xfId="14017" xr:uid="{D3A091C0-18A8-4DA9-813A-833AA7885B5D}"/>
    <cellStyle name="Normal 4 4 2 3 2 3 4" xfId="9799" xr:uid="{06306CA2-C252-4872-9200-C8BB6401D7FF}"/>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AF51CE6D-A5E1-4370-8059-4D4D57C52035}"/>
    <cellStyle name="Normal 4 4 2 3 2 4 2 3" xfId="12357" xr:uid="{2FC554EA-4A42-463B-A750-DC8C7B5AC669}"/>
    <cellStyle name="Normal 4 4 2 3 2 4 3" xfId="6001" xr:uid="{00000000-0005-0000-0000-000022150000}"/>
    <cellStyle name="Normal 4 4 2 3 2 4 3 2" xfId="14430" xr:uid="{A26C0F00-7783-414D-AC5F-18ABD40DD40C}"/>
    <cellStyle name="Normal 4 4 2 3 2 4 4" xfId="10212" xr:uid="{BC5E07CD-C9F3-4D60-BC10-7B3A56CCD251}"/>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926C553F-C719-4BA3-8923-AA6B820171E4}"/>
    <cellStyle name="Normal 4 4 2 3 2 5 2 3" xfId="12770" xr:uid="{72002653-B99F-4307-B2D3-54F049EC77CB}"/>
    <cellStyle name="Normal 4 4 2 3 2 5 3" xfId="6414" xr:uid="{00000000-0005-0000-0000-000026150000}"/>
    <cellStyle name="Normal 4 4 2 3 2 5 3 2" xfId="14843" xr:uid="{C574A641-9EE0-448A-8933-38A883ABFD06}"/>
    <cellStyle name="Normal 4 4 2 3 2 5 4" xfId="10625" xr:uid="{BA3EAC34-6B16-4ED2-A424-47409C0EEF83}"/>
    <cellStyle name="Normal 4 4 2 3 2 6" xfId="2542" xr:uid="{00000000-0005-0000-0000-000027150000}"/>
    <cellStyle name="Normal 4 4 2 3 2 6 2" xfId="6827" xr:uid="{00000000-0005-0000-0000-000028150000}"/>
    <cellStyle name="Normal 4 4 2 3 2 6 2 2" xfId="15256" xr:uid="{27ED9F16-EBAD-4D51-8F43-973488E0D383}"/>
    <cellStyle name="Normal 4 4 2 3 2 6 3" xfId="11038" xr:uid="{DB60889A-D8EE-41A9-AF39-C5D3F2C2C531}"/>
    <cellStyle name="Normal 4 4 2 3 2 7" xfId="4762" xr:uid="{00000000-0005-0000-0000-000029150000}"/>
    <cellStyle name="Normal 4 4 2 3 2 7 2" xfId="13191" xr:uid="{3B3BFF0E-326C-4B8D-B75B-A77C092CC775}"/>
    <cellStyle name="Normal 4 4 2 3 2 8" xfId="8973" xr:uid="{A9D8D8B9-B792-461B-B880-ADDDC8B69F55}"/>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AC5CA75A-5B6F-4B99-ADC0-056BFAD7C45A}"/>
    <cellStyle name="Normal 4 4 2 3 3 2 3" xfId="11530" xr:uid="{DDAD5927-E902-4779-8529-C76F598CC9ED}"/>
    <cellStyle name="Normal 4 4 2 3 3 3" xfId="5174" xr:uid="{00000000-0005-0000-0000-00002D150000}"/>
    <cellStyle name="Normal 4 4 2 3 3 3 2" xfId="13603" xr:uid="{B73C6753-D781-4E8E-A2C4-6A4D2FE719D0}"/>
    <cellStyle name="Normal 4 4 2 3 3 4" xfId="9385" xr:uid="{50414829-877B-4E42-A00D-7C6D7938F53C}"/>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FAFEA2E7-CF68-4F8E-8600-6B4B1847D6ED}"/>
    <cellStyle name="Normal 4 4 2 3 4 2 3" xfId="11943" xr:uid="{187AAB6D-C666-4AA3-A258-5DC34052C20D}"/>
    <cellStyle name="Normal 4 4 2 3 4 3" xfId="5587" xr:uid="{00000000-0005-0000-0000-000031150000}"/>
    <cellStyle name="Normal 4 4 2 3 4 3 2" xfId="14016" xr:uid="{672FC90F-1D49-453A-8D36-DC1E7B78C8B1}"/>
    <cellStyle name="Normal 4 4 2 3 4 4" xfId="9798" xr:uid="{CDC8DE3E-9843-42E9-9AC8-0C04E800A55C}"/>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86217C1C-C1DD-49DD-9CE0-966EE6532803}"/>
    <cellStyle name="Normal 4 4 2 3 5 2 3" xfId="12356" xr:uid="{A0489081-9663-4F7E-BE7F-1425A3FA95CC}"/>
    <cellStyle name="Normal 4 4 2 3 5 3" xfId="6000" xr:uid="{00000000-0005-0000-0000-000035150000}"/>
    <cellStyle name="Normal 4 4 2 3 5 3 2" xfId="14429" xr:uid="{830AEF39-8E18-4AFE-AB33-2EB7A4A1A24D}"/>
    <cellStyle name="Normal 4 4 2 3 5 4" xfId="10211" xr:uid="{7F8BF382-7D5D-4DAD-B949-6B0B8CFF4A04}"/>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F2DF84E9-C2CC-4EF1-8525-8FA41408130A}"/>
    <cellStyle name="Normal 4 4 2 3 6 2 3" xfId="12769" xr:uid="{527D88C4-296E-4FA9-B80D-DA12E034F8E5}"/>
    <cellStyle name="Normal 4 4 2 3 6 3" xfId="6413" xr:uid="{00000000-0005-0000-0000-000039150000}"/>
    <cellStyle name="Normal 4 4 2 3 6 3 2" xfId="14842" xr:uid="{64847B44-B6E0-411E-816F-F0239E6E9ED1}"/>
    <cellStyle name="Normal 4 4 2 3 6 4" xfId="10624" xr:uid="{143D10FA-867B-4F60-8864-02E537B335A2}"/>
    <cellStyle name="Normal 4 4 2 3 7" xfId="2541" xr:uid="{00000000-0005-0000-0000-00003A150000}"/>
    <cellStyle name="Normal 4 4 2 3 7 2" xfId="6826" xr:uid="{00000000-0005-0000-0000-00003B150000}"/>
    <cellStyle name="Normal 4 4 2 3 7 2 2" xfId="15255" xr:uid="{AB4B0B42-E647-4839-8CA3-A31ECEECE8D3}"/>
    <cellStyle name="Normal 4 4 2 3 7 3" xfId="11037" xr:uid="{A625BCB1-96ED-4039-B4AD-2BD473148AC2}"/>
    <cellStyle name="Normal 4 4 2 3 8" xfId="4761" xr:uid="{00000000-0005-0000-0000-00003C150000}"/>
    <cellStyle name="Normal 4 4 2 3 8 2" xfId="13190" xr:uid="{E2827FCC-00FF-4C60-BBF5-17F6572BDD74}"/>
    <cellStyle name="Normal 4 4 2 3 9" xfId="8972" xr:uid="{50DE9160-64F8-46BA-BDFF-522A7AB51602}"/>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765FD5A1-DE23-402B-BBD0-ABC32C345B13}"/>
    <cellStyle name="Normal 4 4 2 4 2 2 3" xfId="11532" xr:uid="{093BE5EF-E154-4024-B3B8-4D3E587B0F47}"/>
    <cellStyle name="Normal 4 4 2 4 2 3" xfId="5176" xr:uid="{00000000-0005-0000-0000-000041150000}"/>
    <cellStyle name="Normal 4 4 2 4 2 3 2" xfId="13605" xr:uid="{F3413BF8-42D3-4905-971C-5099CCB44492}"/>
    <cellStyle name="Normal 4 4 2 4 2 4" xfId="9387" xr:uid="{A5E50BD2-7AF8-4B36-829D-32FA43D0CB25}"/>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1656C46F-A1F4-4466-A2CD-06F8B81C700A}"/>
    <cellStyle name="Normal 4 4 2 4 3 2 3" xfId="11945" xr:uid="{FFB43994-4CCA-4143-93B6-EA1BDED29230}"/>
    <cellStyle name="Normal 4 4 2 4 3 3" xfId="5589" xr:uid="{00000000-0005-0000-0000-000045150000}"/>
    <cellStyle name="Normal 4 4 2 4 3 3 2" xfId="14018" xr:uid="{B7059A40-C569-4184-89FD-E208120B3063}"/>
    <cellStyle name="Normal 4 4 2 4 3 4" xfId="9800" xr:uid="{0E099AC9-D683-4600-A6A4-68B52A6BA411}"/>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F183B227-5F6E-4CA3-8FC1-2C2E64C5EBDF}"/>
    <cellStyle name="Normal 4 4 2 4 4 2 3" xfId="12358" xr:uid="{69FFDBC1-0388-408F-9D7A-BE4474DFF6F1}"/>
    <cellStyle name="Normal 4 4 2 4 4 3" xfId="6002" xr:uid="{00000000-0005-0000-0000-000049150000}"/>
    <cellStyle name="Normal 4 4 2 4 4 3 2" xfId="14431" xr:uid="{9A188010-7285-4721-89E1-A7FEE80D1D0E}"/>
    <cellStyle name="Normal 4 4 2 4 4 4" xfId="10213" xr:uid="{315B1304-93A6-4DC1-94F8-BEE4FFBACA8B}"/>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A7F84AB0-78CF-40F8-A067-DAC950248509}"/>
    <cellStyle name="Normal 4 4 2 4 5 2 3" xfId="12771" xr:uid="{E6EAA0CE-7E33-4783-B302-886F443AB50A}"/>
    <cellStyle name="Normal 4 4 2 4 5 3" xfId="6415" xr:uid="{00000000-0005-0000-0000-00004D150000}"/>
    <cellStyle name="Normal 4 4 2 4 5 3 2" xfId="14844" xr:uid="{1F2B3FB0-DB32-4107-B779-D57BBF1942B6}"/>
    <cellStyle name="Normal 4 4 2 4 5 4" xfId="10626" xr:uid="{B1D0D402-E03D-44EA-A857-5C1707F50314}"/>
    <cellStyle name="Normal 4 4 2 4 6" xfId="2543" xr:uid="{00000000-0005-0000-0000-00004E150000}"/>
    <cellStyle name="Normal 4 4 2 4 6 2" xfId="6828" xr:uid="{00000000-0005-0000-0000-00004F150000}"/>
    <cellStyle name="Normal 4 4 2 4 6 2 2" xfId="15257" xr:uid="{06DEDD8C-3053-4BE6-9770-FD942F308BD2}"/>
    <cellStyle name="Normal 4 4 2 4 6 3" xfId="11039" xr:uid="{1A4F96FC-1555-44AF-9D72-4AE70E1EDCCB}"/>
    <cellStyle name="Normal 4 4 2 4 7" xfId="4763" xr:uid="{00000000-0005-0000-0000-000050150000}"/>
    <cellStyle name="Normal 4 4 2 4 7 2" xfId="13192" xr:uid="{137292C8-7131-4110-B5C3-81C56572CAE6}"/>
    <cellStyle name="Normal 4 4 2 4 8" xfId="8974" xr:uid="{B13E4C06-B91C-4C31-9AB2-E62312547831}"/>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5D05DF77-80CA-4C34-85EA-CA031CC4AE95}"/>
    <cellStyle name="Normal 4 4 2 5 2 3" xfId="11525" xr:uid="{478D17F8-3B7D-4690-93F5-D145F744D7D5}"/>
    <cellStyle name="Normal 4 4 2 5 3" xfId="5169" xr:uid="{00000000-0005-0000-0000-000054150000}"/>
    <cellStyle name="Normal 4 4 2 5 3 2" xfId="13598" xr:uid="{92FFDE3C-47C5-4E25-A017-9A0878C4536C}"/>
    <cellStyle name="Normal 4 4 2 5 4" xfId="9380" xr:uid="{4CB43284-D7E3-4AB8-9BA0-8FA9CF49F9AE}"/>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ACACAC29-10AE-43E4-AFCF-8397305F543C}"/>
    <cellStyle name="Normal 4 4 2 6 2 3" xfId="11938" xr:uid="{C81ABD23-4D60-45A8-A0BC-E9E8C852DB23}"/>
    <cellStyle name="Normal 4 4 2 6 3" xfId="5582" xr:uid="{00000000-0005-0000-0000-000058150000}"/>
    <cellStyle name="Normal 4 4 2 6 3 2" xfId="14011" xr:uid="{ACC047AC-6E39-4D21-A816-0526870A5FC9}"/>
    <cellStyle name="Normal 4 4 2 6 4" xfId="9793" xr:uid="{9A224831-041E-4D5E-BE4B-C71F6FA293E3}"/>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6D0A979B-1A78-4092-A689-6BED541321E9}"/>
    <cellStyle name="Normal 4 4 2 7 2 3" xfId="12351" xr:uid="{8A9536BC-0EBA-48AD-851A-60A007BDFA3D}"/>
    <cellStyle name="Normal 4 4 2 7 3" xfId="5995" xr:uid="{00000000-0005-0000-0000-00005C150000}"/>
    <cellStyle name="Normal 4 4 2 7 3 2" xfId="14424" xr:uid="{5A8089A8-1FE0-4348-B67D-B569EE785FFD}"/>
    <cellStyle name="Normal 4 4 2 7 4" xfId="10206" xr:uid="{861C50E9-EB5C-4DA1-99B9-02B31C02C849}"/>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98CA9423-9500-4387-B4E2-997E897D2457}"/>
    <cellStyle name="Normal 4 4 2 8 2 3" xfId="12764" xr:uid="{C05F3574-E214-4A20-9EF7-A5522F584686}"/>
    <cellStyle name="Normal 4 4 2 8 3" xfId="6408" xr:uid="{00000000-0005-0000-0000-000060150000}"/>
    <cellStyle name="Normal 4 4 2 8 3 2" xfId="14837" xr:uid="{4A31F47E-2F8F-4C6C-9E01-64EA392807AF}"/>
    <cellStyle name="Normal 4 4 2 8 4" xfId="10619" xr:uid="{DC89E7D8-10CD-49BD-AFA0-1478FB3D619E}"/>
    <cellStyle name="Normal 4 4 2 9" xfId="2536" xr:uid="{00000000-0005-0000-0000-000061150000}"/>
    <cellStyle name="Normal 4 4 2 9 2" xfId="6821" xr:uid="{00000000-0005-0000-0000-000062150000}"/>
    <cellStyle name="Normal 4 4 2 9 2 2" xfId="15250" xr:uid="{9B156A85-6C98-4F10-BB9E-C6F3C36CE762}"/>
    <cellStyle name="Normal 4 4 2 9 3" xfId="11032" xr:uid="{6349EEA7-B2E0-4699-9B60-390B5AC6C632}"/>
    <cellStyle name="Normal 4 4 3" xfId="387" xr:uid="{00000000-0005-0000-0000-000063150000}"/>
    <cellStyle name="Normal 4 4 3 10" xfId="8975" xr:uid="{E9228A48-587C-4052-A3E4-7DDCE177303B}"/>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6216629F-763E-4359-B197-DC3A707BCB05}"/>
    <cellStyle name="Normal 4 4 3 2 2 2 2 3" xfId="11535" xr:uid="{A2C7777D-8788-4E35-9102-05E43BE39E17}"/>
    <cellStyle name="Normal 4 4 3 2 2 2 3" xfId="5179" xr:uid="{00000000-0005-0000-0000-000069150000}"/>
    <cellStyle name="Normal 4 4 3 2 2 2 3 2" xfId="13608" xr:uid="{7B48F1D9-0C94-4BBA-9CAD-1AB892CADC75}"/>
    <cellStyle name="Normal 4 4 3 2 2 2 4" xfId="9390" xr:uid="{3A7191CE-23B6-47C8-83A5-B87C10393F6B}"/>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3F9A4449-09C0-43AB-B271-BA89CF140CDB}"/>
    <cellStyle name="Normal 4 4 3 2 2 3 2 3" xfId="11948" xr:uid="{CB2D065B-A2A3-4019-A422-FCC9A31BD26D}"/>
    <cellStyle name="Normal 4 4 3 2 2 3 3" xfId="5592" xr:uid="{00000000-0005-0000-0000-00006D150000}"/>
    <cellStyle name="Normal 4 4 3 2 2 3 3 2" xfId="14021" xr:uid="{E334B54E-230E-41FC-903D-FE445AA79C93}"/>
    <cellStyle name="Normal 4 4 3 2 2 3 4" xfId="9803" xr:uid="{0E682CA9-E114-4FE3-988C-40210EFB6DEA}"/>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056FE69B-6F69-40CD-958D-56F4F9EFD7F9}"/>
    <cellStyle name="Normal 4 4 3 2 2 4 2 3" xfId="12361" xr:uid="{8493C026-14B2-494B-9835-B34103BEA376}"/>
    <cellStyle name="Normal 4 4 3 2 2 4 3" xfId="6005" xr:uid="{00000000-0005-0000-0000-000071150000}"/>
    <cellStyle name="Normal 4 4 3 2 2 4 3 2" xfId="14434" xr:uid="{AFA71690-B126-4431-8DCB-5E00F75171A0}"/>
    <cellStyle name="Normal 4 4 3 2 2 4 4" xfId="10216" xr:uid="{2D2105A6-1A2E-46F6-A269-3ED213AF2C15}"/>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2E2978F8-0794-48EE-BC56-EE4BCC6D4950}"/>
    <cellStyle name="Normal 4 4 3 2 2 5 2 3" xfId="12774" xr:uid="{78E9452A-C3BF-4BA9-B6A3-71089162F146}"/>
    <cellStyle name="Normal 4 4 3 2 2 5 3" xfId="6418" xr:uid="{00000000-0005-0000-0000-000075150000}"/>
    <cellStyle name="Normal 4 4 3 2 2 5 3 2" xfId="14847" xr:uid="{FA05B522-2DE9-4EEA-A601-CFB210013CD4}"/>
    <cellStyle name="Normal 4 4 3 2 2 5 4" xfId="10629" xr:uid="{41070E34-284E-4BF9-8363-1CDC979F88FD}"/>
    <cellStyle name="Normal 4 4 3 2 2 6" xfId="2546" xr:uid="{00000000-0005-0000-0000-000076150000}"/>
    <cellStyle name="Normal 4 4 3 2 2 6 2" xfId="6831" xr:uid="{00000000-0005-0000-0000-000077150000}"/>
    <cellStyle name="Normal 4 4 3 2 2 6 2 2" xfId="15260" xr:uid="{18EE6434-8F95-4715-B18E-0B2EBAA01FDE}"/>
    <cellStyle name="Normal 4 4 3 2 2 6 3" xfId="11042" xr:uid="{1D2441E7-64B8-4D2D-A482-B8B6CD000641}"/>
    <cellStyle name="Normal 4 4 3 2 2 7" xfId="4766" xr:uid="{00000000-0005-0000-0000-000078150000}"/>
    <cellStyle name="Normal 4 4 3 2 2 7 2" xfId="13195" xr:uid="{C7860C01-A37C-42F8-A2C2-B0E22EF5A1D8}"/>
    <cellStyle name="Normal 4 4 3 2 2 8" xfId="8977" xr:uid="{5A7BFDE3-F954-471F-B379-D99DC446BC20}"/>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3364C6D4-B591-4CA9-BE30-F81FCC5662A0}"/>
    <cellStyle name="Normal 4 4 3 2 3 2 3" xfId="11534" xr:uid="{292261AD-2AFE-477D-9B17-0B835830BD57}"/>
    <cellStyle name="Normal 4 4 3 2 3 3" xfId="5178" xr:uid="{00000000-0005-0000-0000-00007C150000}"/>
    <cellStyle name="Normal 4 4 3 2 3 3 2" xfId="13607" xr:uid="{44F257F3-03DB-4930-AB47-9B677307D995}"/>
    <cellStyle name="Normal 4 4 3 2 3 4" xfId="9389" xr:uid="{58FA9C8F-B591-4891-93EB-DB0E6D4B5022}"/>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7178A6F8-86B0-4FB1-8D8A-DA82FDD815CC}"/>
    <cellStyle name="Normal 4 4 3 2 4 2 3" xfId="11947" xr:uid="{10389E91-F97D-4B3D-97C5-6E70EF4E5757}"/>
    <cellStyle name="Normal 4 4 3 2 4 3" xfId="5591" xr:uid="{00000000-0005-0000-0000-000080150000}"/>
    <cellStyle name="Normal 4 4 3 2 4 3 2" xfId="14020" xr:uid="{24DFD8E4-3932-40C9-89D8-6CB62ADA617F}"/>
    <cellStyle name="Normal 4 4 3 2 4 4" xfId="9802" xr:uid="{E53A2BA1-32AF-4457-98FD-2929736D0073}"/>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9A2309E8-628D-429D-BB6A-6B89373568B6}"/>
    <cellStyle name="Normal 4 4 3 2 5 2 3" xfId="12360" xr:uid="{46388BFD-AEE9-47E0-94F8-EBAE1E808D87}"/>
    <cellStyle name="Normal 4 4 3 2 5 3" xfId="6004" xr:uid="{00000000-0005-0000-0000-000084150000}"/>
    <cellStyle name="Normal 4 4 3 2 5 3 2" xfId="14433" xr:uid="{88B43543-0CFC-46A8-9E35-B076A70D0783}"/>
    <cellStyle name="Normal 4 4 3 2 5 4" xfId="10215" xr:uid="{F5D05383-EFA4-4E8A-A754-800C07542D48}"/>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152CA609-9C80-4FB1-B7C2-6BF39A914177}"/>
    <cellStyle name="Normal 4 4 3 2 6 2 3" xfId="12773" xr:uid="{831A112F-A11B-46FD-BCE8-F4FF0C8F159A}"/>
    <cellStyle name="Normal 4 4 3 2 6 3" xfId="6417" xr:uid="{00000000-0005-0000-0000-000088150000}"/>
    <cellStyle name="Normal 4 4 3 2 6 3 2" xfId="14846" xr:uid="{0B6EA45F-FC5E-4BAD-92A3-037AE82C9955}"/>
    <cellStyle name="Normal 4 4 3 2 6 4" xfId="10628" xr:uid="{7AE28451-8D4F-480C-ACB4-66EC29B079A3}"/>
    <cellStyle name="Normal 4 4 3 2 7" xfId="2545" xr:uid="{00000000-0005-0000-0000-000089150000}"/>
    <cellStyle name="Normal 4 4 3 2 7 2" xfId="6830" xr:uid="{00000000-0005-0000-0000-00008A150000}"/>
    <cellStyle name="Normal 4 4 3 2 7 2 2" xfId="15259" xr:uid="{AAC40FF6-280F-49B3-9B2A-00B33C4C979E}"/>
    <cellStyle name="Normal 4 4 3 2 7 3" xfId="11041" xr:uid="{C361AE29-E806-4D8B-B3FE-ABABAB9B6326}"/>
    <cellStyle name="Normal 4 4 3 2 8" xfId="4765" xr:uid="{00000000-0005-0000-0000-00008B150000}"/>
    <cellStyle name="Normal 4 4 3 2 8 2" xfId="13194" xr:uid="{A1CEAFF0-DCE1-4249-9937-3A768DE223DE}"/>
    <cellStyle name="Normal 4 4 3 2 9" xfId="8976" xr:uid="{18AD88DE-B4AF-4098-A1F5-A8493120B843}"/>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CE252AD5-00D2-41BB-8439-A658A1411961}"/>
    <cellStyle name="Normal 4 4 3 3 2 2 3" xfId="11536" xr:uid="{6F24DDF3-69A9-4B88-9B5A-4C8A88DAC3BE}"/>
    <cellStyle name="Normal 4 4 3 3 2 3" xfId="5180" xr:uid="{00000000-0005-0000-0000-000090150000}"/>
    <cellStyle name="Normal 4 4 3 3 2 3 2" xfId="13609" xr:uid="{61584E3F-8AE7-4396-8A16-84482ED83971}"/>
    <cellStyle name="Normal 4 4 3 3 2 4" xfId="9391" xr:uid="{10BA8887-328D-4E05-ACDB-8F7969967E17}"/>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77AFFD9F-A98E-49C1-AB15-E2CF4A511BB3}"/>
    <cellStyle name="Normal 4 4 3 3 3 2 3" xfId="11949" xr:uid="{64BFE17E-9013-46D5-8EA7-C5B1D13A5BF9}"/>
    <cellStyle name="Normal 4 4 3 3 3 3" xfId="5593" xr:uid="{00000000-0005-0000-0000-000094150000}"/>
    <cellStyle name="Normal 4 4 3 3 3 3 2" xfId="14022" xr:uid="{AC89BFFA-FD02-4E20-B28F-678AD861B15D}"/>
    <cellStyle name="Normal 4 4 3 3 3 4" xfId="9804" xr:uid="{AD50F8C7-D79F-41D1-BFED-010C37CC5EAC}"/>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FFBD5F29-6E1C-4DA0-BC74-6C443EEF28D8}"/>
    <cellStyle name="Normal 4 4 3 3 4 2 3" xfId="12362" xr:uid="{6A76ABFE-D128-490D-8416-CEAC2EED26F6}"/>
    <cellStyle name="Normal 4 4 3 3 4 3" xfId="6006" xr:uid="{00000000-0005-0000-0000-000098150000}"/>
    <cellStyle name="Normal 4 4 3 3 4 3 2" xfId="14435" xr:uid="{91FE631C-5AB8-46D1-9323-7957058E5BD2}"/>
    <cellStyle name="Normal 4 4 3 3 4 4" xfId="10217" xr:uid="{6B0BD590-4650-4CAA-824A-48A0738318A9}"/>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64DFE597-D54E-4868-B21D-1E5DA23976FD}"/>
    <cellStyle name="Normal 4 4 3 3 5 2 3" xfId="12775" xr:uid="{E333CF88-20C1-4AA3-9C33-3DCE35BC0F65}"/>
    <cellStyle name="Normal 4 4 3 3 5 3" xfId="6419" xr:uid="{00000000-0005-0000-0000-00009C150000}"/>
    <cellStyle name="Normal 4 4 3 3 5 3 2" xfId="14848" xr:uid="{5F5001DA-3F58-4F54-830A-90226F4AB987}"/>
    <cellStyle name="Normal 4 4 3 3 5 4" xfId="10630" xr:uid="{C97E9038-40B8-4719-9BC0-CEB4087CC7A9}"/>
    <cellStyle name="Normal 4 4 3 3 6" xfId="2547" xr:uid="{00000000-0005-0000-0000-00009D150000}"/>
    <cellStyle name="Normal 4 4 3 3 6 2" xfId="6832" xr:uid="{00000000-0005-0000-0000-00009E150000}"/>
    <cellStyle name="Normal 4 4 3 3 6 2 2" xfId="15261" xr:uid="{659CCCCB-ADD4-4464-90A0-4CD8EA1CD0AE}"/>
    <cellStyle name="Normal 4 4 3 3 6 3" xfId="11043" xr:uid="{65DF4DDC-25CD-4ACC-95D3-D2EE3DD4EBDA}"/>
    <cellStyle name="Normal 4 4 3 3 7" xfId="4767" xr:uid="{00000000-0005-0000-0000-00009F150000}"/>
    <cellStyle name="Normal 4 4 3 3 7 2" xfId="13196" xr:uid="{F93B34E8-5A61-4D9A-8856-1504B9E2EC31}"/>
    <cellStyle name="Normal 4 4 3 3 8" xfId="8978" xr:uid="{D534D1B4-98E1-4FD6-B48F-C26DE9F07D24}"/>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830AFCE0-B3E9-4E7E-AE33-986B9E0155BC}"/>
    <cellStyle name="Normal 4 4 3 4 2 3" xfId="11533" xr:uid="{D775D961-8CAE-4388-AE00-103A07CB9921}"/>
    <cellStyle name="Normal 4 4 3 4 3" xfId="5177" xr:uid="{00000000-0005-0000-0000-0000A3150000}"/>
    <cellStyle name="Normal 4 4 3 4 3 2" xfId="13606" xr:uid="{0B5DA078-4233-4EB8-A754-4BA24B7A89A9}"/>
    <cellStyle name="Normal 4 4 3 4 4" xfId="9388" xr:uid="{641D389F-3345-44A7-9326-2949C4A11B0D}"/>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99548940-7C96-4680-A1BD-BA0D47F3B835}"/>
    <cellStyle name="Normal 4 4 3 5 2 3" xfId="11946" xr:uid="{39233C28-6650-4666-AE67-21B421A66C4D}"/>
    <cellStyle name="Normal 4 4 3 5 3" xfId="5590" xr:uid="{00000000-0005-0000-0000-0000A7150000}"/>
    <cellStyle name="Normal 4 4 3 5 3 2" xfId="14019" xr:uid="{AD477E69-5305-4C26-87C4-39BE7B14BAA6}"/>
    <cellStyle name="Normal 4 4 3 5 4" xfId="9801" xr:uid="{1F6E8EF7-23D8-4627-B747-1FEA8864BE0F}"/>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A51A96D2-1E30-4E7B-9610-54AEB0500D5E}"/>
    <cellStyle name="Normal 4 4 3 6 2 3" xfId="12359" xr:uid="{8C2DDAF8-00EB-4449-99BA-083808A9D85C}"/>
    <cellStyle name="Normal 4 4 3 6 3" xfId="6003" xr:uid="{00000000-0005-0000-0000-0000AB150000}"/>
    <cellStyle name="Normal 4 4 3 6 3 2" xfId="14432" xr:uid="{B0DFABE8-88C6-4474-8F41-393C05C82798}"/>
    <cellStyle name="Normal 4 4 3 6 4" xfId="10214" xr:uid="{0121C2F8-F6FD-40BF-9DE6-C4702658C295}"/>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EE058D5B-F357-4586-95D4-CBA59ACCA742}"/>
    <cellStyle name="Normal 4 4 3 7 2 3" xfId="12772" xr:uid="{FECFB017-FE1D-44B0-936A-95D95FC0A339}"/>
    <cellStyle name="Normal 4 4 3 7 3" xfId="6416" xr:uid="{00000000-0005-0000-0000-0000AF150000}"/>
    <cellStyle name="Normal 4 4 3 7 3 2" xfId="14845" xr:uid="{62F6F062-1849-4C73-A947-DEDE05275508}"/>
    <cellStyle name="Normal 4 4 3 7 4" xfId="10627" xr:uid="{B82A9A94-D46D-4C5B-A7C5-A7C7F8A7A3A0}"/>
    <cellStyle name="Normal 4 4 3 8" xfId="2544" xr:uid="{00000000-0005-0000-0000-0000B0150000}"/>
    <cellStyle name="Normal 4 4 3 8 2" xfId="6829" xr:uid="{00000000-0005-0000-0000-0000B1150000}"/>
    <cellStyle name="Normal 4 4 3 8 2 2" xfId="15258" xr:uid="{AD7898F4-7B8B-4E4F-9AFE-E1E87D210732}"/>
    <cellStyle name="Normal 4 4 3 8 3" xfId="11040" xr:uid="{421060C3-5109-4EE3-95A7-FFA7929EEEA0}"/>
    <cellStyle name="Normal 4 4 3 9" xfId="4764" xr:uid="{00000000-0005-0000-0000-0000B2150000}"/>
    <cellStyle name="Normal 4 4 3 9 2" xfId="13193" xr:uid="{A043FB12-641F-43C5-8536-5FEA4C31CA3A}"/>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45680C9B-2D46-4BA5-801D-336DC1D8B87C}"/>
    <cellStyle name="Normal 4 4 4 2 2 2 3" xfId="11538" xr:uid="{8F26CC4D-937A-4484-8344-200826E5EDA4}"/>
    <cellStyle name="Normal 4 4 4 2 2 3" xfId="5182" xr:uid="{00000000-0005-0000-0000-0000B8150000}"/>
    <cellStyle name="Normal 4 4 4 2 2 3 2" xfId="13611" xr:uid="{1CF27A5A-A8DA-4C04-93B7-22C3A59B3AA2}"/>
    <cellStyle name="Normal 4 4 4 2 2 4" xfId="9393" xr:uid="{BA624E2F-313C-4288-993D-A94549592E9D}"/>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D9F92197-690B-4FA1-9C5B-C81928C8F4CB}"/>
    <cellStyle name="Normal 4 4 4 2 3 2 3" xfId="11951" xr:uid="{0EF50AB7-05C2-481F-AE78-5DA8CBDFCE40}"/>
    <cellStyle name="Normal 4 4 4 2 3 3" xfId="5595" xr:uid="{00000000-0005-0000-0000-0000BC150000}"/>
    <cellStyle name="Normal 4 4 4 2 3 3 2" xfId="14024" xr:uid="{05719846-A1F2-4464-96DF-1F17C63C36FD}"/>
    <cellStyle name="Normal 4 4 4 2 3 4" xfId="9806" xr:uid="{0C0DD1B5-F75E-4216-9FB1-3814F4D12A22}"/>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A4A3C808-28A3-4A49-A37F-F3A4D049DC40}"/>
    <cellStyle name="Normal 4 4 4 2 4 2 3" xfId="12364" xr:uid="{E600E661-5DDC-49B5-AE1F-62FFEBBE2952}"/>
    <cellStyle name="Normal 4 4 4 2 4 3" xfId="6008" xr:uid="{00000000-0005-0000-0000-0000C0150000}"/>
    <cellStyle name="Normal 4 4 4 2 4 3 2" xfId="14437" xr:uid="{ACD16298-21BB-4277-B156-9C2DE3100784}"/>
    <cellStyle name="Normal 4 4 4 2 4 4" xfId="10219" xr:uid="{2C36256B-2264-45D2-937F-E24A5175AA50}"/>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31F6FD39-5565-4215-855D-B1F0A673EBF1}"/>
    <cellStyle name="Normal 4 4 4 2 5 2 3" xfId="12777" xr:uid="{6A2A7C10-D47F-48AF-9348-537C356CC397}"/>
    <cellStyle name="Normal 4 4 4 2 5 3" xfId="6421" xr:uid="{00000000-0005-0000-0000-0000C4150000}"/>
    <cellStyle name="Normal 4 4 4 2 5 3 2" xfId="14850" xr:uid="{ED8374C5-60A5-446D-B936-DDE6BDCB879C}"/>
    <cellStyle name="Normal 4 4 4 2 5 4" xfId="10632" xr:uid="{49E550DA-D2AA-4EFF-95E6-713098B2EDDD}"/>
    <cellStyle name="Normal 4 4 4 2 6" xfId="2549" xr:uid="{00000000-0005-0000-0000-0000C5150000}"/>
    <cellStyle name="Normal 4 4 4 2 6 2" xfId="6834" xr:uid="{00000000-0005-0000-0000-0000C6150000}"/>
    <cellStyle name="Normal 4 4 4 2 6 2 2" xfId="15263" xr:uid="{03807D9D-DBF7-49B0-B9C9-4028DE01757E}"/>
    <cellStyle name="Normal 4 4 4 2 6 3" xfId="11045" xr:uid="{C0CCFDE2-3AA0-4B98-8492-EB483DF10038}"/>
    <cellStyle name="Normal 4 4 4 2 7" xfId="4769" xr:uid="{00000000-0005-0000-0000-0000C7150000}"/>
    <cellStyle name="Normal 4 4 4 2 7 2" xfId="13198" xr:uid="{C6C676F6-F66C-4D15-B8B6-0B679D96AC97}"/>
    <cellStyle name="Normal 4 4 4 2 8" xfId="8980" xr:uid="{D9010069-9803-45EF-93FE-3F3B49413669}"/>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CED4EE47-3107-4969-A031-B17484F24AFF}"/>
    <cellStyle name="Normal 4 4 4 3 2 3" xfId="11537" xr:uid="{6E3F017E-6926-4EA6-B87D-147007879F02}"/>
    <cellStyle name="Normal 4 4 4 3 3" xfId="5181" xr:uid="{00000000-0005-0000-0000-0000CB150000}"/>
    <cellStyle name="Normal 4 4 4 3 3 2" xfId="13610" xr:uid="{7898F70F-F7FE-4562-9391-9FE58BC595CF}"/>
    <cellStyle name="Normal 4 4 4 3 4" xfId="9392" xr:uid="{F58F2A9F-A99B-45A8-B112-B3FE99258566}"/>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7CB2ADC1-0449-4835-83E2-1DE8A342F168}"/>
    <cellStyle name="Normal 4 4 4 4 2 3" xfId="11950" xr:uid="{9AB80A60-6BF3-4964-B239-F4221D755561}"/>
    <cellStyle name="Normal 4 4 4 4 3" xfId="5594" xr:uid="{00000000-0005-0000-0000-0000CF150000}"/>
    <cellStyle name="Normal 4 4 4 4 3 2" xfId="14023" xr:uid="{4A53B744-E743-4C54-97D1-276560A1D7ED}"/>
    <cellStyle name="Normal 4 4 4 4 4" xfId="9805" xr:uid="{C84481F1-E3F9-4546-B6F5-55F1BAD4C442}"/>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6247357E-7896-4FD5-960A-DDFC651ED09A}"/>
    <cellStyle name="Normal 4 4 4 5 2 3" xfId="12363" xr:uid="{E84A75E4-97E5-4F6A-A656-CE13740EEF5B}"/>
    <cellStyle name="Normal 4 4 4 5 3" xfId="6007" xr:uid="{00000000-0005-0000-0000-0000D3150000}"/>
    <cellStyle name="Normal 4 4 4 5 3 2" xfId="14436" xr:uid="{FFB3A65C-0901-489C-A2E7-CF4E43A9D5AC}"/>
    <cellStyle name="Normal 4 4 4 5 4" xfId="10218" xr:uid="{F89FB3B3-AC15-43B6-A9E5-F9683F659EAE}"/>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95B90768-EB86-45E9-B483-B3853C9C83C2}"/>
    <cellStyle name="Normal 4 4 4 6 2 3" xfId="12776" xr:uid="{295AC3B2-F64C-4063-8ABE-0430EA151C9C}"/>
    <cellStyle name="Normal 4 4 4 6 3" xfId="6420" xr:uid="{00000000-0005-0000-0000-0000D7150000}"/>
    <cellStyle name="Normal 4 4 4 6 3 2" xfId="14849" xr:uid="{AE5ECA3D-2060-4574-8226-04259AEB1FA3}"/>
    <cellStyle name="Normal 4 4 4 6 4" xfId="10631" xr:uid="{E82E0529-0FCE-4DA2-AFE1-52F331BAF48F}"/>
    <cellStyle name="Normal 4 4 4 7" xfId="2548" xr:uid="{00000000-0005-0000-0000-0000D8150000}"/>
    <cellStyle name="Normal 4 4 4 7 2" xfId="6833" xr:uid="{00000000-0005-0000-0000-0000D9150000}"/>
    <cellStyle name="Normal 4 4 4 7 2 2" xfId="15262" xr:uid="{824FB9A7-73A8-4140-9C5F-96E9197AD2E6}"/>
    <cellStyle name="Normal 4 4 4 7 3" xfId="11044" xr:uid="{6400159E-5F66-4808-9DE7-F02349CA9B59}"/>
    <cellStyle name="Normal 4 4 4 8" xfId="4768" xr:uid="{00000000-0005-0000-0000-0000DA150000}"/>
    <cellStyle name="Normal 4 4 4 8 2" xfId="13197" xr:uid="{D3A04D6D-6170-4D6A-947E-C8A03922A215}"/>
    <cellStyle name="Normal 4 4 4 9" xfId="8979" xr:uid="{6D9DFB24-15DE-4361-B401-073CBD8A0A6C}"/>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2065709D-991D-4979-95E9-89D8BC76DEFC}"/>
    <cellStyle name="Normal 4 4 5 2 2 3" xfId="11539" xr:uid="{8B5167C7-3491-4048-A9D5-781FBEE8D14E}"/>
    <cellStyle name="Normal 4 4 5 2 3" xfId="5183" xr:uid="{00000000-0005-0000-0000-0000DF150000}"/>
    <cellStyle name="Normal 4 4 5 2 3 2" xfId="13612" xr:uid="{785A5731-C275-4197-A08F-9E91D781A0DC}"/>
    <cellStyle name="Normal 4 4 5 2 4" xfId="9394" xr:uid="{C1E19293-4E88-424F-BB7D-9B72E629E128}"/>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0CC68C32-34B5-42B9-9609-C74D34E5A894}"/>
    <cellStyle name="Normal 4 4 5 3 2 3" xfId="11952" xr:uid="{62CAA069-AA57-40FA-92D0-B3EADEE13256}"/>
    <cellStyle name="Normal 4 4 5 3 3" xfId="5596" xr:uid="{00000000-0005-0000-0000-0000E3150000}"/>
    <cellStyle name="Normal 4 4 5 3 3 2" xfId="14025" xr:uid="{55839BCA-32B9-4300-B5D4-AE28EC5670A6}"/>
    <cellStyle name="Normal 4 4 5 3 4" xfId="9807" xr:uid="{FD929CCB-DBE6-4ACF-A584-4B4288890403}"/>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7A72B2CF-48B3-41BC-BABC-D25B5A5B59DB}"/>
    <cellStyle name="Normal 4 4 5 4 2 3" xfId="12365" xr:uid="{A5626EE8-F692-4D64-B498-138BE2ED7904}"/>
    <cellStyle name="Normal 4 4 5 4 3" xfId="6009" xr:uid="{00000000-0005-0000-0000-0000E7150000}"/>
    <cellStyle name="Normal 4 4 5 4 3 2" xfId="14438" xr:uid="{6AA2FEDB-E41D-4F4B-B082-CAC1D9845BD5}"/>
    <cellStyle name="Normal 4 4 5 4 4" xfId="10220" xr:uid="{C2284DEE-784B-45BE-9B8B-4E4703ED2247}"/>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85C20091-222C-4EBA-8108-FAAFCFF3AEB2}"/>
    <cellStyle name="Normal 4 4 5 5 2 3" xfId="12778" xr:uid="{FB01932A-8463-4AB0-B22B-545E060202C8}"/>
    <cellStyle name="Normal 4 4 5 5 3" xfId="6422" xr:uid="{00000000-0005-0000-0000-0000EB150000}"/>
    <cellStyle name="Normal 4 4 5 5 3 2" xfId="14851" xr:uid="{FF7DC165-18E0-4A6A-9785-85AAD78A8B72}"/>
    <cellStyle name="Normal 4 4 5 5 4" xfId="10633" xr:uid="{C06D987B-614B-4908-BA3F-52E96ACC1B5C}"/>
    <cellStyle name="Normal 4 4 5 6" xfId="2550" xr:uid="{00000000-0005-0000-0000-0000EC150000}"/>
    <cellStyle name="Normal 4 4 5 6 2" xfId="6835" xr:uid="{00000000-0005-0000-0000-0000ED150000}"/>
    <cellStyle name="Normal 4 4 5 6 2 2" xfId="15264" xr:uid="{34E5CD05-7902-4A77-851C-613CFF2C5A94}"/>
    <cellStyle name="Normal 4 4 5 6 3" xfId="11046" xr:uid="{6CB0B9E1-C47F-4B90-889D-1A9547E56120}"/>
    <cellStyle name="Normal 4 4 5 7" xfId="4770" xr:uid="{00000000-0005-0000-0000-0000EE150000}"/>
    <cellStyle name="Normal 4 4 5 7 2" xfId="13199" xr:uid="{A65DA588-A84F-40F6-B793-CAAE1BE15F4E}"/>
    <cellStyle name="Normal 4 4 5 8" xfId="8981" xr:uid="{99BA82C5-950E-46CA-B73D-51B782E44CBC}"/>
    <cellStyle name="Normal 4 4 6" xfId="854" xr:uid="{00000000-0005-0000-0000-0000EF150000}"/>
    <cellStyle name="Normal 4 4 6 2" xfId="3089" xr:uid="{00000000-0005-0000-0000-0000F0150000}"/>
    <cellStyle name="Normal 4 4 6 2 2" xfId="7313" xr:uid="{00000000-0005-0000-0000-0000F1150000}"/>
    <cellStyle name="Normal 4 4 6 2 2 2" xfId="15742" xr:uid="{D0E61835-1287-43AC-BBEE-40F8AFA388E2}"/>
    <cellStyle name="Normal 4 4 6 2 3" xfId="11524" xr:uid="{AC101392-1B81-4250-9CBB-4A08948EF940}"/>
    <cellStyle name="Normal 4 4 6 3" xfId="5168" xr:uid="{00000000-0005-0000-0000-0000F2150000}"/>
    <cellStyle name="Normal 4 4 6 3 2" xfId="13597" xr:uid="{0DAD10C3-65D4-4FD2-8739-7E1A0F5AFBEE}"/>
    <cellStyle name="Normal 4 4 6 4" xfId="9379" xr:uid="{B872743C-CB19-453E-B3BD-9D3150380FA2}"/>
    <cellStyle name="Normal 4 4 7" xfId="1272" xr:uid="{00000000-0005-0000-0000-0000F3150000}"/>
    <cellStyle name="Normal 4 4 7 2" xfId="3502" xr:uid="{00000000-0005-0000-0000-0000F4150000}"/>
    <cellStyle name="Normal 4 4 7 2 2" xfId="7726" xr:uid="{00000000-0005-0000-0000-0000F5150000}"/>
    <cellStyle name="Normal 4 4 7 2 2 2" xfId="16155" xr:uid="{F1845569-8384-42C0-995B-A6CD1FF29020}"/>
    <cellStyle name="Normal 4 4 7 2 3" xfId="11937" xr:uid="{58F1838F-1A44-4441-9F61-11E86BDD7AAE}"/>
    <cellStyle name="Normal 4 4 7 3" xfId="5581" xr:uid="{00000000-0005-0000-0000-0000F6150000}"/>
    <cellStyle name="Normal 4 4 7 3 2" xfId="14010" xr:uid="{15112229-0C4A-44B1-854E-A565F36B9312}"/>
    <cellStyle name="Normal 4 4 7 4" xfId="9792" xr:uid="{BB2BC332-1790-423D-B43D-69758E01A273}"/>
    <cellStyle name="Normal 4 4 8" xfId="1685" xr:uid="{00000000-0005-0000-0000-0000F7150000}"/>
    <cellStyle name="Normal 4 4 8 2" xfId="3915" xr:uid="{00000000-0005-0000-0000-0000F8150000}"/>
    <cellStyle name="Normal 4 4 8 2 2" xfId="8139" xr:uid="{00000000-0005-0000-0000-0000F9150000}"/>
    <cellStyle name="Normal 4 4 8 2 2 2" xfId="16568" xr:uid="{2AB3CA42-4757-4932-988B-BD21634626EF}"/>
    <cellStyle name="Normal 4 4 8 2 3" xfId="12350" xr:uid="{0FB9C068-E7ED-4869-8A17-524B569DE1E9}"/>
    <cellStyle name="Normal 4 4 8 3" xfId="5994" xr:uid="{00000000-0005-0000-0000-0000FA150000}"/>
    <cellStyle name="Normal 4 4 8 3 2" xfId="14423" xr:uid="{7CD8FF9A-0B9F-489B-988A-48E8BE245889}"/>
    <cellStyle name="Normal 4 4 8 4" xfId="10205" xr:uid="{CAC07E4A-0C8F-4CD3-8F16-6DB8BCA5CE2E}"/>
    <cellStyle name="Normal 4 4 9" xfId="2099" xr:uid="{00000000-0005-0000-0000-0000FB150000}"/>
    <cellStyle name="Normal 4 4 9 2" xfId="4328" xr:uid="{00000000-0005-0000-0000-0000FC150000}"/>
    <cellStyle name="Normal 4 4 9 2 2" xfId="8552" xr:uid="{00000000-0005-0000-0000-0000FD150000}"/>
    <cellStyle name="Normal 4 4 9 2 2 2" xfId="16981" xr:uid="{39735333-EB09-4E45-AF9D-533B7CF65B81}"/>
    <cellStyle name="Normal 4 4 9 2 3" xfId="12763" xr:uid="{936903F2-E384-4F3D-80EF-6DEE9D11CE6E}"/>
    <cellStyle name="Normal 4 4 9 3" xfId="6407" xr:uid="{00000000-0005-0000-0000-0000FE150000}"/>
    <cellStyle name="Normal 4 4 9 3 2" xfId="14836" xr:uid="{E58B1971-7A54-4B99-B181-4E8FC65169CF}"/>
    <cellStyle name="Normal 4 4 9 4" xfId="10618" xr:uid="{9726E451-2246-4F09-9FE7-B809A3C09FE6}"/>
    <cellStyle name="Normal 4 5" xfId="394" xr:uid="{00000000-0005-0000-0000-0000FF150000}"/>
    <cellStyle name="Normal 4 6" xfId="395" xr:uid="{00000000-0005-0000-0000-000000160000}"/>
    <cellStyle name="Normal 4 6 10" xfId="4771" xr:uid="{00000000-0005-0000-0000-000001160000}"/>
    <cellStyle name="Normal 4 6 10 2" xfId="13200" xr:uid="{72083762-08CA-4939-9BBB-80AEE5F91F6C}"/>
    <cellStyle name="Normal 4 6 11" xfId="8982" xr:uid="{D4A5162E-C0F5-4630-8FD3-4F88F754064C}"/>
    <cellStyle name="Normal 4 6 2" xfId="396" xr:uid="{00000000-0005-0000-0000-000002160000}"/>
    <cellStyle name="Normal 4 6 2 10" xfId="8983" xr:uid="{F943DD46-F070-4F41-A980-AE02A9963BDC}"/>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5DDEACC2-CBE9-4863-A0C1-75251C483BC5}"/>
    <cellStyle name="Normal 4 6 2 2 2 2 2 3" xfId="11543" xr:uid="{998EB471-1617-4497-A344-60979489AA39}"/>
    <cellStyle name="Normal 4 6 2 2 2 2 3" xfId="5187" xr:uid="{00000000-0005-0000-0000-000008160000}"/>
    <cellStyle name="Normal 4 6 2 2 2 2 3 2" xfId="13616" xr:uid="{80EF985A-9FF4-4460-BDFD-9C54B43F865D}"/>
    <cellStyle name="Normal 4 6 2 2 2 2 4" xfId="9398" xr:uid="{06A7D0BF-C676-4E2A-B87E-74D9EE08440F}"/>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E98B47A7-740C-409A-9A41-330603266612}"/>
    <cellStyle name="Normal 4 6 2 2 2 3 2 3" xfId="11956" xr:uid="{7146DE29-2FEB-4064-9ACC-9B6BC6A254BB}"/>
    <cellStyle name="Normal 4 6 2 2 2 3 3" xfId="5600" xr:uid="{00000000-0005-0000-0000-00000C160000}"/>
    <cellStyle name="Normal 4 6 2 2 2 3 3 2" xfId="14029" xr:uid="{62744280-3DCE-4CA6-9535-9BC37719C455}"/>
    <cellStyle name="Normal 4 6 2 2 2 3 4" xfId="9811" xr:uid="{1CB80C09-1C73-4737-9D74-8AF3B8CFA249}"/>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B45CD62A-924D-400E-BE17-B778864536AF}"/>
    <cellStyle name="Normal 4 6 2 2 2 4 2 3" xfId="12369" xr:uid="{1EA53462-96E9-466A-A367-37BC2B7612A8}"/>
    <cellStyle name="Normal 4 6 2 2 2 4 3" xfId="6013" xr:uid="{00000000-0005-0000-0000-000010160000}"/>
    <cellStyle name="Normal 4 6 2 2 2 4 3 2" xfId="14442" xr:uid="{933FFABD-EA54-40CA-AB21-9F26941030E8}"/>
    <cellStyle name="Normal 4 6 2 2 2 4 4" xfId="10224" xr:uid="{86D3D1F2-0C4C-4643-85E7-BC150E461284}"/>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943A4E68-2311-4B94-A671-587B318EA049}"/>
    <cellStyle name="Normal 4 6 2 2 2 5 2 3" xfId="12782" xr:uid="{70835B8E-6716-439F-93D0-933F44087B1D}"/>
    <cellStyle name="Normal 4 6 2 2 2 5 3" xfId="6426" xr:uid="{00000000-0005-0000-0000-000014160000}"/>
    <cellStyle name="Normal 4 6 2 2 2 5 3 2" xfId="14855" xr:uid="{8FE87246-B8CB-427D-AFC5-3C128A5CF758}"/>
    <cellStyle name="Normal 4 6 2 2 2 5 4" xfId="10637" xr:uid="{7585D93A-01DD-4407-AD19-D900159E00D8}"/>
    <cellStyle name="Normal 4 6 2 2 2 6" xfId="2554" xr:uid="{00000000-0005-0000-0000-000015160000}"/>
    <cellStyle name="Normal 4 6 2 2 2 6 2" xfId="6839" xr:uid="{00000000-0005-0000-0000-000016160000}"/>
    <cellStyle name="Normal 4 6 2 2 2 6 2 2" xfId="15268" xr:uid="{D1AC46BA-EC1B-4EA0-87B3-C468F1B04066}"/>
    <cellStyle name="Normal 4 6 2 2 2 6 3" xfId="11050" xr:uid="{1509F11B-C68E-4963-A80A-0F7F935F94BE}"/>
    <cellStyle name="Normal 4 6 2 2 2 7" xfId="4774" xr:uid="{00000000-0005-0000-0000-000017160000}"/>
    <cellStyle name="Normal 4 6 2 2 2 7 2" xfId="13203" xr:uid="{9C2B7E95-FC6A-4888-8E28-9E3D68E112A9}"/>
    <cellStyle name="Normal 4 6 2 2 2 8" xfId="8985" xr:uid="{15822589-DA5D-4867-9B77-FA63677EB228}"/>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505F295F-00B8-41A6-B236-BC0A1FB1CC15}"/>
    <cellStyle name="Normal 4 6 2 2 3 2 3" xfId="11542" xr:uid="{27BB01F5-DDD9-4D8A-B394-ECF7FB5286B1}"/>
    <cellStyle name="Normal 4 6 2 2 3 3" xfId="5186" xr:uid="{00000000-0005-0000-0000-00001B160000}"/>
    <cellStyle name="Normal 4 6 2 2 3 3 2" xfId="13615" xr:uid="{91413D42-70BB-42A7-811B-02F20FBE6700}"/>
    <cellStyle name="Normal 4 6 2 2 3 4" xfId="9397" xr:uid="{3660407A-AE5A-40B7-912B-756DB76F3A5C}"/>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53D6964D-8E05-4A50-B90D-1E3F7752FD90}"/>
    <cellStyle name="Normal 4 6 2 2 4 2 3" xfId="11955" xr:uid="{56CFF271-24E5-4B5D-80C2-3E7EC913800E}"/>
    <cellStyle name="Normal 4 6 2 2 4 3" xfId="5599" xr:uid="{00000000-0005-0000-0000-00001F160000}"/>
    <cellStyle name="Normal 4 6 2 2 4 3 2" xfId="14028" xr:uid="{D6F814C2-757C-4B64-9D5E-FA5D2125CAE5}"/>
    <cellStyle name="Normal 4 6 2 2 4 4" xfId="9810" xr:uid="{E808491C-86E7-4D8F-A62F-FD73B6D68134}"/>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DFAB8BAD-7CA5-4B2A-A138-613E6AC40D61}"/>
    <cellStyle name="Normal 4 6 2 2 5 2 3" xfId="12368" xr:uid="{10A61BE9-F8F9-4494-A587-2DBC023D833E}"/>
    <cellStyle name="Normal 4 6 2 2 5 3" xfId="6012" xr:uid="{00000000-0005-0000-0000-000023160000}"/>
    <cellStyle name="Normal 4 6 2 2 5 3 2" xfId="14441" xr:uid="{9D28A2E1-E08B-44E3-96C6-AA6B7B7F6C9F}"/>
    <cellStyle name="Normal 4 6 2 2 5 4" xfId="10223" xr:uid="{84E948D6-DCE5-4C44-94A1-672B68507E48}"/>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CC139A42-52DD-449C-B421-14CC2458B665}"/>
    <cellStyle name="Normal 4 6 2 2 6 2 3" xfId="12781" xr:uid="{8FBFFD56-F383-41B2-8894-2071C66E7BF2}"/>
    <cellStyle name="Normal 4 6 2 2 6 3" xfId="6425" xr:uid="{00000000-0005-0000-0000-000027160000}"/>
    <cellStyle name="Normal 4 6 2 2 6 3 2" xfId="14854" xr:uid="{42D14B35-8986-46F3-B320-01FCE94F22A9}"/>
    <cellStyle name="Normal 4 6 2 2 6 4" xfId="10636" xr:uid="{DF435379-8DF3-4123-AE66-A673DDFFCD1E}"/>
    <cellStyle name="Normal 4 6 2 2 7" xfId="2553" xr:uid="{00000000-0005-0000-0000-000028160000}"/>
    <cellStyle name="Normal 4 6 2 2 7 2" xfId="6838" xr:uid="{00000000-0005-0000-0000-000029160000}"/>
    <cellStyle name="Normal 4 6 2 2 7 2 2" xfId="15267" xr:uid="{4537482D-D54C-45E2-8E1E-F0A6DDD541A0}"/>
    <cellStyle name="Normal 4 6 2 2 7 3" xfId="11049" xr:uid="{FE0F9A00-D118-4043-9C97-6DB339305736}"/>
    <cellStyle name="Normal 4 6 2 2 8" xfId="4773" xr:uid="{00000000-0005-0000-0000-00002A160000}"/>
    <cellStyle name="Normal 4 6 2 2 8 2" xfId="13202" xr:uid="{D129AA70-89C8-436B-9887-8E47E60BBC22}"/>
    <cellStyle name="Normal 4 6 2 2 9" xfId="8984" xr:uid="{F4903EDA-35CD-4F2C-BC07-8AF08246AD67}"/>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ABE41DA6-6B94-4217-84B9-595D53C416B3}"/>
    <cellStyle name="Normal 4 6 2 3 2 2 3" xfId="11544" xr:uid="{4F4B4631-CD65-442E-B709-566B8D005AC2}"/>
    <cellStyle name="Normal 4 6 2 3 2 3" xfId="5188" xr:uid="{00000000-0005-0000-0000-00002F160000}"/>
    <cellStyle name="Normal 4 6 2 3 2 3 2" xfId="13617" xr:uid="{EAE2E14D-7D17-4F78-A30E-7C14C993988C}"/>
    <cellStyle name="Normal 4 6 2 3 2 4" xfId="9399" xr:uid="{85B33097-D614-4231-A7CA-7CDD2D577003}"/>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5753D09D-792E-4795-926C-DDDC8F93FCD4}"/>
    <cellStyle name="Normal 4 6 2 3 3 2 3" xfId="11957" xr:uid="{F983FD32-0DCB-4CA0-90B6-BFF2B66358B6}"/>
    <cellStyle name="Normal 4 6 2 3 3 3" xfId="5601" xr:uid="{00000000-0005-0000-0000-000033160000}"/>
    <cellStyle name="Normal 4 6 2 3 3 3 2" xfId="14030" xr:uid="{71F3D063-74E2-48A5-A557-37A84AB96BDE}"/>
    <cellStyle name="Normal 4 6 2 3 3 4" xfId="9812" xr:uid="{531C6B4B-9B7B-4C60-AB5A-F8A7087B05AC}"/>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4FC1BA27-2F8D-450C-B68F-041D162B9AEB}"/>
    <cellStyle name="Normal 4 6 2 3 4 2 3" xfId="12370" xr:uid="{9EB4D005-16A2-47CC-B6E0-8C12B9EA4E8C}"/>
    <cellStyle name="Normal 4 6 2 3 4 3" xfId="6014" xr:uid="{00000000-0005-0000-0000-000037160000}"/>
    <cellStyle name="Normal 4 6 2 3 4 3 2" xfId="14443" xr:uid="{E657C39B-003C-4D24-A856-139D1C500F02}"/>
    <cellStyle name="Normal 4 6 2 3 4 4" xfId="10225" xr:uid="{EDDA71DD-5E50-4600-B785-D2AD680EB170}"/>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40B0972C-3808-4564-8FF6-4813BF511AE3}"/>
    <cellStyle name="Normal 4 6 2 3 5 2 3" xfId="12783" xr:uid="{E2296F33-3DC1-46B5-8246-88C25FA45A40}"/>
    <cellStyle name="Normal 4 6 2 3 5 3" xfId="6427" xr:uid="{00000000-0005-0000-0000-00003B160000}"/>
    <cellStyle name="Normal 4 6 2 3 5 3 2" xfId="14856" xr:uid="{310B0001-D21C-454F-B8AD-E30A7E0ADF2E}"/>
    <cellStyle name="Normal 4 6 2 3 5 4" xfId="10638" xr:uid="{41209527-218D-4DE5-B8E0-9A44ED947A34}"/>
    <cellStyle name="Normal 4 6 2 3 6" xfId="2555" xr:uid="{00000000-0005-0000-0000-00003C160000}"/>
    <cellStyle name="Normal 4 6 2 3 6 2" xfId="6840" xr:uid="{00000000-0005-0000-0000-00003D160000}"/>
    <cellStyle name="Normal 4 6 2 3 6 2 2" xfId="15269" xr:uid="{E8DC0814-989C-4E00-A2CE-66162A1F92AA}"/>
    <cellStyle name="Normal 4 6 2 3 6 3" xfId="11051" xr:uid="{DE416E4D-6B0A-4A1C-ACEE-6E75171CD99C}"/>
    <cellStyle name="Normal 4 6 2 3 7" xfId="4775" xr:uid="{00000000-0005-0000-0000-00003E160000}"/>
    <cellStyle name="Normal 4 6 2 3 7 2" xfId="13204" xr:uid="{977663F7-7B6B-4564-BA2E-B1EA89E837AA}"/>
    <cellStyle name="Normal 4 6 2 3 8" xfId="8986" xr:uid="{A4BC45B6-EB8A-4DBB-8470-44FC662A0530}"/>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2220D501-330F-4785-AD2B-7549EE616803}"/>
    <cellStyle name="Normal 4 6 2 4 2 3" xfId="11541" xr:uid="{84F27BEC-AE09-4E3F-AFFA-5C4988D4759C}"/>
    <cellStyle name="Normal 4 6 2 4 3" xfId="5185" xr:uid="{00000000-0005-0000-0000-000042160000}"/>
    <cellStyle name="Normal 4 6 2 4 3 2" xfId="13614" xr:uid="{715DD55F-A9D1-4D5D-ADC3-B520FB869910}"/>
    <cellStyle name="Normal 4 6 2 4 4" xfId="9396" xr:uid="{6AF493C2-41BD-4A17-B75C-165FAFC9A9EE}"/>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C8D2E2EA-AD34-4DB6-AFB2-7E5B7475230B}"/>
    <cellStyle name="Normal 4 6 2 5 2 3" xfId="11954" xr:uid="{75630BBA-83C8-4B22-81F2-24CE1EC2FBBE}"/>
    <cellStyle name="Normal 4 6 2 5 3" xfId="5598" xr:uid="{00000000-0005-0000-0000-000046160000}"/>
    <cellStyle name="Normal 4 6 2 5 3 2" xfId="14027" xr:uid="{4418A2FF-8900-475E-8BCD-04F55BC5E578}"/>
    <cellStyle name="Normal 4 6 2 5 4" xfId="9809" xr:uid="{816263B6-0BC2-4A85-88F7-4441E5FB6A94}"/>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53AB3E91-5F49-4B74-AB68-EB05539B4A23}"/>
    <cellStyle name="Normal 4 6 2 6 2 3" xfId="12367" xr:uid="{8FD7AFDE-AF65-4732-9D2A-51F4BD09B818}"/>
    <cellStyle name="Normal 4 6 2 6 3" xfId="6011" xr:uid="{00000000-0005-0000-0000-00004A160000}"/>
    <cellStyle name="Normal 4 6 2 6 3 2" xfId="14440" xr:uid="{40C069FF-89EE-4000-8151-9036D6BD4A1C}"/>
    <cellStyle name="Normal 4 6 2 6 4" xfId="10222" xr:uid="{631BA569-DE4F-45CC-9D3D-A5CDBAE18BAC}"/>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9DFB0272-EC73-44AA-91E4-DE32C8A521AB}"/>
    <cellStyle name="Normal 4 6 2 7 2 3" xfId="12780" xr:uid="{EE91D76B-119D-4A05-BE30-91EFCB95A186}"/>
    <cellStyle name="Normal 4 6 2 7 3" xfId="6424" xr:uid="{00000000-0005-0000-0000-00004E160000}"/>
    <cellStyle name="Normal 4 6 2 7 3 2" xfId="14853" xr:uid="{E0A57C87-F117-478D-8156-B79A236E124C}"/>
    <cellStyle name="Normal 4 6 2 7 4" xfId="10635" xr:uid="{B006D065-B7E6-4F58-B143-C7D5225EC196}"/>
    <cellStyle name="Normal 4 6 2 8" xfId="2552" xr:uid="{00000000-0005-0000-0000-00004F160000}"/>
    <cellStyle name="Normal 4 6 2 8 2" xfId="6837" xr:uid="{00000000-0005-0000-0000-000050160000}"/>
    <cellStyle name="Normal 4 6 2 8 2 2" xfId="15266" xr:uid="{4B612834-5585-4AB9-ABB4-FCA174A4BE31}"/>
    <cellStyle name="Normal 4 6 2 8 3" xfId="11048" xr:uid="{57606432-3F60-44B8-B129-46C0AC99DD83}"/>
    <cellStyle name="Normal 4 6 2 9" xfId="4772" xr:uid="{00000000-0005-0000-0000-000051160000}"/>
    <cellStyle name="Normal 4 6 2 9 2" xfId="13201" xr:uid="{8CC5384D-917B-4DB7-AD8E-2E69F8A961DC}"/>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B7801E4B-0B24-4BFA-8BAF-A5D11491CA0F}"/>
    <cellStyle name="Normal 4 6 3 2 2 2 3" xfId="11546" xr:uid="{07416818-74F5-47E1-95F2-0C8E2B88C91F}"/>
    <cellStyle name="Normal 4 6 3 2 2 3" xfId="5190" xr:uid="{00000000-0005-0000-0000-000057160000}"/>
    <cellStyle name="Normal 4 6 3 2 2 3 2" xfId="13619" xr:uid="{D932F291-358C-426E-83C8-1DF5F8C918E5}"/>
    <cellStyle name="Normal 4 6 3 2 2 4" xfId="9401" xr:uid="{E738225C-13D6-42F1-B221-B6D09D2E514A}"/>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3E699E36-D9A7-4BFE-994A-290927D20F26}"/>
    <cellStyle name="Normal 4 6 3 2 3 2 3" xfId="11959" xr:uid="{FAC62103-2C21-4F2E-A412-37AF412C4476}"/>
    <cellStyle name="Normal 4 6 3 2 3 3" xfId="5603" xr:uid="{00000000-0005-0000-0000-00005B160000}"/>
    <cellStyle name="Normal 4 6 3 2 3 3 2" xfId="14032" xr:uid="{1E71224E-55F3-413A-AAC4-967E6520E588}"/>
    <cellStyle name="Normal 4 6 3 2 3 4" xfId="9814" xr:uid="{E014CD95-2821-4B6F-B021-FFCD1EE8F974}"/>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E69B65C9-90D6-44B1-851E-7C58D2508160}"/>
    <cellStyle name="Normal 4 6 3 2 4 2 3" xfId="12372" xr:uid="{CD4ACEBB-0187-4BCE-A7D3-153713F0AA83}"/>
    <cellStyle name="Normal 4 6 3 2 4 3" xfId="6016" xr:uid="{00000000-0005-0000-0000-00005F160000}"/>
    <cellStyle name="Normal 4 6 3 2 4 3 2" xfId="14445" xr:uid="{A7EBE963-27ED-48A1-871A-9004CAE4C87B}"/>
    <cellStyle name="Normal 4 6 3 2 4 4" xfId="10227" xr:uid="{B7FB76B6-C075-42DE-BE31-A4F44803F227}"/>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5B408C08-529F-400E-B876-3B0B10B6CE4E}"/>
    <cellStyle name="Normal 4 6 3 2 5 2 3" xfId="12785" xr:uid="{2B925B56-9758-4627-803B-1E2B6ADBDD7F}"/>
    <cellStyle name="Normal 4 6 3 2 5 3" xfId="6429" xr:uid="{00000000-0005-0000-0000-000063160000}"/>
    <cellStyle name="Normal 4 6 3 2 5 3 2" xfId="14858" xr:uid="{92B995D6-936F-4368-9C57-D7D587969637}"/>
    <cellStyle name="Normal 4 6 3 2 5 4" xfId="10640" xr:uid="{764010B3-52DF-4B6E-AE10-F8DFB5806E7B}"/>
    <cellStyle name="Normal 4 6 3 2 6" xfId="2557" xr:uid="{00000000-0005-0000-0000-000064160000}"/>
    <cellStyle name="Normal 4 6 3 2 6 2" xfId="6842" xr:uid="{00000000-0005-0000-0000-000065160000}"/>
    <cellStyle name="Normal 4 6 3 2 6 2 2" xfId="15271" xr:uid="{E2D7758C-0F40-4062-8563-CCF60E882458}"/>
    <cellStyle name="Normal 4 6 3 2 6 3" xfId="11053" xr:uid="{245CF3E3-B815-4C48-BAD8-16DF3C4A8F36}"/>
    <cellStyle name="Normal 4 6 3 2 7" xfId="4777" xr:uid="{00000000-0005-0000-0000-000066160000}"/>
    <cellStyle name="Normal 4 6 3 2 7 2" xfId="13206" xr:uid="{C270B141-418A-4155-9423-4E5B4CBEBADE}"/>
    <cellStyle name="Normal 4 6 3 2 8" xfId="8988" xr:uid="{3200B1C6-6083-4436-AC51-4AA1253E686A}"/>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A83470DA-1825-4660-8BA8-5B4D656925F2}"/>
    <cellStyle name="Normal 4 6 3 3 2 3" xfId="11545" xr:uid="{0B8C9356-4DE2-402A-84E2-0FD67A88CDC8}"/>
    <cellStyle name="Normal 4 6 3 3 3" xfId="5189" xr:uid="{00000000-0005-0000-0000-00006A160000}"/>
    <cellStyle name="Normal 4 6 3 3 3 2" xfId="13618" xr:uid="{D7F589CC-0E46-49CC-A0D8-EC3482A161BB}"/>
    <cellStyle name="Normal 4 6 3 3 4" xfId="9400" xr:uid="{A2C4A61D-C009-4E7D-BCEB-1541EFE78E17}"/>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4777618F-4BD2-498A-AA2B-5FEE7B80A6CF}"/>
    <cellStyle name="Normal 4 6 3 4 2 3" xfId="11958" xr:uid="{57E198D7-0F0C-4ED6-8E34-EA62BDDC64C1}"/>
    <cellStyle name="Normal 4 6 3 4 3" xfId="5602" xr:uid="{00000000-0005-0000-0000-00006E160000}"/>
    <cellStyle name="Normal 4 6 3 4 3 2" xfId="14031" xr:uid="{4C4B4BA9-16FD-4446-9DBB-16522F1E27A9}"/>
    <cellStyle name="Normal 4 6 3 4 4" xfId="9813" xr:uid="{B73967F6-868F-4DAF-B949-0D41840859F1}"/>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5D1B814A-7277-4F60-AFCA-1E12936543B1}"/>
    <cellStyle name="Normal 4 6 3 5 2 3" xfId="12371" xr:uid="{F0C7872B-6161-45BE-9141-3BF71BB1DC7C}"/>
    <cellStyle name="Normal 4 6 3 5 3" xfId="6015" xr:uid="{00000000-0005-0000-0000-000072160000}"/>
    <cellStyle name="Normal 4 6 3 5 3 2" xfId="14444" xr:uid="{91CC67C7-58F9-4214-8E45-E0F6889577AE}"/>
    <cellStyle name="Normal 4 6 3 5 4" xfId="10226" xr:uid="{EA91C745-F666-4CE5-8511-9E743B6D5649}"/>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46FC8D3F-BB59-45F1-BEBE-B33340E9C851}"/>
    <cellStyle name="Normal 4 6 3 6 2 3" xfId="12784" xr:uid="{2FFF4E9E-1B37-419D-A9F8-ABE477AF0CA9}"/>
    <cellStyle name="Normal 4 6 3 6 3" xfId="6428" xr:uid="{00000000-0005-0000-0000-000076160000}"/>
    <cellStyle name="Normal 4 6 3 6 3 2" xfId="14857" xr:uid="{B1EBAA14-49EC-42EB-B2E3-DD2366731941}"/>
    <cellStyle name="Normal 4 6 3 6 4" xfId="10639" xr:uid="{5B3304D7-9AF9-48D7-A820-0CE3155498A8}"/>
    <cellStyle name="Normal 4 6 3 7" xfId="2556" xr:uid="{00000000-0005-0000-0000-000077160000}"/>
    <cellStyle name="Normal 4 6 3 7 2" xfId="6841" xr:uid="{00000000-0005-0000-0000-000078160000}"/>
    <cellStyle name="Normal 4 6 3 7 2 2" xfId="15270" xr:uid="{D1C62518-D86A-4DF1-9895-E1ED849EA15F}"/>
    <cellStyle name="Normal 4 6 3 7 3" xfId="11052" xr:uid="{D18B76F5-5436-41C1-9F85-40A4FC9A1F4A}"/>
    <cellStyle name="Normal 4 6 3 8" xfId="4776" xr:uid="{00000000-0005-0000-0000-000079160000}"/>
    <cellStyle name="Normal 4 6 3 8 2" xfId="13205" xr:uid="{2ABF5CC4-E191-4DE4-B255-288BC83B4422}"/>
    <cellStyle name="Normal 4 6 3 9" xfId="8987" xr:uid="{FAF523CA-4879-4248-ADD0-A8748D767D52}"/>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192855F3-2C87-411D-B4F7-1ECE23751ACE}"/>
    <cellStyle name="Normal 4 6 4 2 2 3" xfId="11547" xr:uid="{C836AFD5-1777-41B9-B49E-489CBCD4FE99}"/>
    <cellStyle name="Normal 4 6 4 2 3" xfId="5191" xr:uid="{00000000-0005-0000-0000-00007E160000}"/>
    <cellStyle name="Normal 4 6 4 2 3 2" xfId="13620" xr:uid="{42F474BA-7864-45BE-9371-8C452368B2F7}"/>
    <cellStyle name="Normal 4 6 4 2 4" xfId="9402" xr:uid="{C1A8150E-A756-4EB9-B184-A6FAC4DFD2B9}"/>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3B03BA63-3A6D-4F5F-B164-8A1C02C8B8CE}"/>
    <cellStyle name="Normal 4 6 4 3 2 3" xfId="11960" xr:uid="{F2251DAF-341E-4B21-983E-DDC9BFEB5712}"/>
    <cellStyle name="Normal 4 6 4 3 3" xfId="5604" xr:uid="{00000000-0005-0000-0000-000082160000}"/>
    <cellStyle name="Normal 4 6 4 3 3 2" xfId="14033" xr:uid="{3C1014E6-BE40-407E-8411-E255DB815541}"/>
    <cellStyle name="Normal 4 6 4 3 4" xfId="9815" xr:uid="{8B718541-7A19-4670-889B-1BAD00ED1763}"/>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AAEF6964-6445-44BE-9CC3-198025B33AA6}"/>
    <cellStyle name="Normal 4 6 4 4 2 3" xfId="12373" xr:uid="{0B9D7578-C9E7-4372-9C87-99FB01D7FCA8}"/>
    <cellStyle name="Normal 4 6 4 4 3" xfId="6017" xr:uid="{00000000-0005-0000-0000-000086160000}"/>
    <cellStyle name="Normal 4 6 4 4 3 2" xfId="14446" xr:uid="{02BA9779-6B44-4C36-BC8B-07E615F951C7}"/>
    <cellStyle name="Normal 4 6 4 4 4" xfId="10228" xr:uid="{F3DF4290-9038-4DBD-9749-EB35CC0CBE42}"/>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323BDEE4-0FCF-4861-9104-D64D5BBB5B69}"/>
    <cellStyle name="Normal 4 6 4 5 2 3" xfId="12786" xr:uid="{AC5B4D67-9A60-4BD4-94B3-6BD5DCCB6DBA}"/>
    <cellStyle name="Normal 4 6 4 5 3" xfId="6430" xr:uid="{00000000-0005-0000-0000-00008A160000}"/>
    <cellStyle name="Normal 4 6 4 5 3 2" xfId="14859" xr:uid="{599DE30A-CB9D-4FF0-8086-4E84D823C3E6}"/>
    <cellStyle name="Normal 4 6 4 5 4" xfId="10641" xr:uid="{0614453C-64C6-4AFA-B94A-A497DD886FA9}"/>
    <cellStyle name="Normal 4 6 4 6" xfId="2558" xr:uid="{00000000-0005-0000-0000-00008B160000}"/>
    <cellStyle name="Normal 4 6 4 6 2" xfId="6843" xr:uid="{00000000-0005-0000-0000-00008C160000}"/>
    <cellStyle name="Normal 4 6 4 6 2 2" xfId="15272" xr:uid="{6DEBD51E-80FF-4CF4-ADD0-7C0DE7DF1E9D}"/>
    <cellStyle name="Normal 4 6 4 6 3" xfId="11054" xr:uid="{63075FE9-6DC1-4DE7-A500-7A7F23BE8356}"/>
    <cellStyle name="Normal 4 6 4 7" xfId="4778" xr:uid="{00000000-0005-0000-0000-00008D160000}"/>
    <cellStyle name="Normal 4 6 4 7 2" xfId="13207" xr:uid="{E4C4B214-9F69-490A-AB98-043CC86B9C48}"/>
    <cellStyle name="Normal 4 6 4 8" xfId="8989" xr:uid="{3AF3960F-3ACD-4C52-8CD6-EBC6CBF17590}"/>
    <cellStyle name="Normal 4 6 5" xfId="870" xr:uid="{00000000-0005-0000-0000-00008E160000}"/>
    <cellStyle name="Normal 4 6 5 2" xfId="3105" xr:uid="{00000000-0005-0000-0000-00008F160000}"/>
    <cellStyle name="Normal 4 6 5 2 2" xfId="7329" xr:uid="{00000000-0005-0000-0000-000090160000}"/>
    <cellStyle name="Normal 4 6 5 2 2 2" xfId="15758" xr:uid="{A4552FD4-60F1-4F3D-89F2-8F2ABE892F95}"/>
    <cellStyle name="Normal 4 6 5 2 3" xfId="11540" xr:uid="{35652FAC-EA10-4730-9523-855BBD1E29E0}"/>
    <cellStyle name="Normal 4 6 5 3" xfId="5184" xr:uid="{00000000-0005-0000-0000-000091160000}"/>
    <cellStyle name="Normal 4 6 5 3 2" xfId="13613" xr:uid="{8B65C7F2-15FC-4723-A387-641AACF4D99F}"/>
    <cellStyle name="Normal 4 6 5 4" xfId="9395" xr:uid="{2E54D084-E5C8-4E70-9804-B6D8A24D1028}"/>
    <cellStyle name="Normal 4 6 6" xfId="1288" xr:uid="{00000000-0005-0000-0000-000092160000}"/>
    <cellStyle name="Normal 4 6 6 2" xfId="3518" xr:uid="{00000000-0005-0000-0000-000093160000}"/>
    <cellStyle name="Normal 4 6 6 2 2" xfId="7742" xr:uid="{00000000-0005-0000-0000-000094160000}"/>
    <cellStyle name="Normal 4 6 6 2 2 2" xfId="16171" xr:uid="{DB81282F-8036-4F3C-838B-66354D5B5A51}"/>
    <cellStyle name="Normal 4 6 6 2 3" xfId="11953" xr:uid="{F7B6AF7F-E420-4582-9767-5A7BE28C6982}"/>
    <cellStyle name="Normal 4 6 6 3" xfId="5597" xr:uid="{00000000-0005-0000-0000-000095160000}"/>
    <cellStyle name="Normal 4 6 6 3 2" xfId="14026" xr:uid="{56313C1F-E2AD-40F1-B351-9B16853D79AF}"/>
    <cellStyle name="Normal 4 6 6 4" xfId="9808" xr:uid="{E001EF1E-E420-4B50-AA9F-BC84101CCB73}"/>
    <cellStyle name="Normal 4 6 7" xfId="1701" xr:uid="{00000000-0005-0000-0000-000096160000}"/>
    <cellStyle name="Normal 4 6 7 2" xfId="3931" xr:uid="{00000000-0005-0000-0000-000097160000}"/>
    <cellStyle name="Normal 4 6 7 2 2" xfId="8155" xr:uid="{00000000-0005-0000-0000-000098160000}"/>
    <cellStyle name="Normal 4 6 7 2 2 2" xfId="16584" xr:uid="{8A5F8132-72A7-4A54-845A-33DA568D874C}"/>
    <cellStyle name="Normal 4 6 7 2 3" xfId="12366" xr:uid="{C7825157-865C-43E2-A95C-F2296863FF3A}"/>
    <cellStyle name="Normal 4 6 7 3" xfId="6010" xr:uid="{00000000-0005-0000-0000-000099160000}"/>
    <cellStyle name="Normal 4 6 7 3 2" xfId="14439" xr:uid="{92FEDACF-D34C-445E-A480-2950F2621C8B}"/>
    <cellStyle name="Normal 4 6 7 4" xfId="10221" xr:uid="{793A2EF4-E88B-4D61-B955-4EDDAC3DC1D4}"/>
    <cellStyle name="Normal 4 6 8" xfId="2115" xr:uid="{00000000-0005-0000-0000-00009A160000}"/>
    <cellStyle name="Normal 4 6 8 2" xfId="4344" xr:uid="{00000000-0005-0000-0000-00009B160000}"/>
    <cellStyle name="Normal 4 6 8 2 2" xfId="8568" xr:uid="{00000000-0005-0000-0000-00009C160000}"/>
    <cellStyle name="Normal 4 6 8 2 2 2" xfId="16997" xr:uid="{EB8D4013-5F4D-4A4B-AACD-8E671D9B73EC}"/>
    <cellStyle name="Normal 4 6 8 2 3" xfId="12779" xr:uid="{E188F17E-8616-4EB2-9681-AE4FCF2AC8D0}"/>
    <cellStyle name="Normal 4 6 8 3" xfId="6423" xr:uid="{00000000-0005-0000-0000-00009D160000}"/>
    <cellStyle name="Normal 4 6 8 3 2" xfId="14852" xr:uid="{BC1F7FB0-CE29-494D-B557-29FB6A0AB104}"/>
    <cellStyle name="Normal 4 6 8 4" xfId="10634" xr:uid="{32A9D67F-E009-40EC-8028-03DBE4EC8C76}"/>
    <cellStyle name="Normal 4 6 9" xfId="2551" xr:uid="{00000000-0005-0000-0000-00009E160000}"/>
    <cellStyle name="Normal 4 6 9 2" xfId="6836" xr:uid="{00000000-0005-0000-0000-00009F160000}"/>
    <cellStyle name="Normal 4 6 9 2 2" xfId="15265" xr:uid="{01E974E7-B168-4A52-9822-3469B412AE3E}"/>
    <cellStyle name="Normal 4 6 9 3" xfId="11047" xr:uid="{8AC41144-B366-4133-97E1-2878670E46E3}"/>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A2D735F4-5D22-4A2D-8558-048EB433762B}"/>
    <cellStyle name="Normal 4 7 2 2 2 3" xfId="11549" xr:uid="{4784AEEF-A016-4102-B75C-E6FC6D8BC0EE}"/>
    <cellStyle name="Normal 4 7 2 2 3" xfId="5193" xr:uid="{00000000-0005-0000-0000-0000A5160000}"/>
    <cellStyle name="Normal 4 7 2 2 3 2" xfId="13622" xr:uid="{CA973AE2-D980-4C2E-B05C-9A39B16296F7}"/>
    <cellStyle name="Normal 4 7 2 2 4" xfId="9404" xr:uid="{884D2A25-4E88-48E5-8BAB-87BFAAC23428}"/>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907ED371-9E99-4D3E-B595-64107C9ED3E7}"/>
    <cellStyle name="Normal 4 7 2 3 2 3" xfId="11962" xr:uid="{B0E50833-AD1C-457C-8A66-15ADBA497E87}"/>
    <cellStyle name="Normal 4 7 2 3 3" xfId="5606" xr:uid="{00000000-0005-0000-0000-0000A9160000}"/>
    <cellStyle name="Normal 4 7 2 3 3 2" xfId="14035" xr:uid="{7623DF5E-B298-430C-AAD2-98285A27C1FF}"/>
    <cellStyle name="Normal 4 7 2 3 4" xfId="9817" xr:uid="{6675373A-159D-4638-8B38-46A782BC5C00}"/>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802BCCF0-4143-4EA4-92F1-C5C3BCD5F171}"/>
    <cellStyle name="Normal 4 7 2 4 2 3" xfId="12375" xr:uid="{464FBCEE-DD0F-466D-B278-48858FDA1120}"/>
    <cellStyle name="Normal 4 7 2 4 3" xfId="6019" xr:uid="{00000000-0005-0000-0000-0000AD160000}"/>
    <cellStyle name="Normal 4 7 2 4 3 2" xfId="14448" xr:uid="{77C88633-53BA-4FA2-BA68-F3E9C1A2E407}"/>
    <cellStyle name="Normal 4 7 2 4 4" xfId="10230" xr:uid="{1AEDDEDA-7C27-493F-B901-D40CE88A60F5}"/>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602E1305-24D0-4944-8786-A1C5D0F2A102}"/>
    <cellStyle name="Normal 4 7 2 5 2 3" xfId="12788" xr:uid="{DD5A0E96-F1CD-4D6C-B5C7-92DCB31A896D}"/>
    <cellStyle name="Normal 4 7 2 5 3" xfId="6432" xr:uid="{00000000-0005-0000-0000-0000B1160000}"/>
    <cellStyle name="Normal 4 7 2 5 3 2" xfId="14861" xr:uid="{C2BA36DE-BC16-414F-8EC1-E3A24F3C5521}"/>
    <cellStyle name="Normal 4 7 2 5 4" xfId="10643" xr:uid="{47E10CFC-D6DC-4059-930D-465D7A89FEB6}"/>
    <cellStyle name="Normal 4 7 2 6" xfId="2560" xr:uid="{00000000-0005-0000-0000-0000B2160000}"/>
    <cellStyle name="Normal 4 7 2 6 2" xfId="6845" xr:uid="{00000000-0005-0000-0000-0000B3160000}"/>
    <cellStyle name="Normal 4 7 2 6 2 2" xfId="15274" xr:uid="{FFE60CFA-E25C-4F5E-9F7A-EACC75A063A2}"/>
    <cellStyle name="Normal 4 7 2 6 3" xfId="11056" xr:uid="{BB75EC5E-ED3F-4D83-9EFC-2EAE25B6D8EB}"/>
    <cellStyle name="Normal 4 7 2 7" xfId="4780" xr:uid="{00000000-0005-0000-0000-0000B4160000}"/>
    <cellStyle name="Normal 4 7 2 7 2" xfId="13209" xr:uid="{E8B4CEF8-1F4E-4030-B51B-00997BAD7216}"/>
    <cellStyle name="Normal 4 7 2 8" xfId="8991" xr:uid="{F93E379B-140A-4348-B9E3-F24FCB96EC15}"/>
    <cellStyle name="Normal 4 7 3" xfId="878" xr:uid="{00000000-0005-0000-0000-0000B5160000}"/>
    <cellStyle name="Normal 4 7 3 2" xfId="3113" xr:uid="{00000000-0005-0000-0000-0000B6160000}"/>
    <cellStyle name="Normal 4 7 3 2 2" xfId="7337" xr:uid="{00000000-0005-0000-0000-0000B7160000}"/>
    <cellStyle name="Normal 4 7 3 2 2 2" xfId="15766" xr:uid="{C40135B7-A330-4306-9329-CB412707CB9C}"/>
    <cellStyle name="Normal 4 7 3 2 3" xfId="11548" xr:uid="{37538735-1649-455F-ADFC-5489545EE7AA}"/>
    <cellStyle name="Normal 4 7 3 3" xfId="5192" xr:uid="{00000000-0005-0000-0000-0000B8160000}"/>
    <cellStyle name="Normal 4 7 3 3 2" xfId="13621" xr:uid="{8CEC1420-8F27-4F85-A91E-453445059F7E}"/>
    <cellStyle name="Normal 4 7 3 4" xfId="9403" xr:uid="{184C8D26-D135-46A2-B772-4C4A36E0FC08}"/>
    <cellStyle name="Normal 4 7 4" xfId="1296" xr:uid="{00000000-0005-0000-0000-0000B9160000}"/>
    <cellStyle name="Normal 4 7 4 2" xfId="3526" xr:uid="{00000000-0005-0000-0000-0000BA160000}"/>
    <cellStyle name="Normal 4 7 4 2 2" xfId="7750" xr:uid="{00000000-0005-0000-0000-0000BB160000}"/>
    <cellStyle name="Normal 4 7 4 2 2 2" xfId="16179" xr:uid="{0E195CE9-4B9B-43E4-B9DF-744E44E6CE16}"/>
    <cellStyle name="Normal 4 7 4 2 3" xfId="11961" xr:uid="{8B6C1185-4485-488D-A332-7E7088EC0D04}"/>
    <cellStyle name="Normal 4 7 4 3" xfId="5605" xr:uid="{00000000-0005-0000-0000-0000BC160000}"/>
    <cellStyle name="Normal 4 7 4 3 2" xfId="14034" xr:uid="{485329EF-3CD1-49CC-A63B-25245A2FFD60}"/>
    <cellStyle name="Normal 4 7 4 4" xfId="9816" xr:uid="{B5CEB8BF-D3BD-4FD4-9D32-1CCD22635B6D}"/>
    <cellStyle name="Normal 4 7 5" xfId="1709" xr:uid="{00000000-0005-0000-0000-0000BD160000}"/>
    <cellStyle name="Normal 4 7 5 2" xfId="3939" xr:uid="{00000000-0005-0000-0000-0000BE160000}"/>
    <cellStyle name="Normal 4 7 5 2 2" xfId="8163" xr:uid="{00000000-0005-0000-0000-0000BF160000}"/>
    <cellStyle name="Normal 4 7 5 2 2 2" xfId="16592" xr:uid="{A7B7B882-C2C7-4756-887E-74DBF520CB3F}"/>
    <cellStyle name="Normal 4 7 5 2 3" xfId="12374" xr:uid="{F4A88756-BBED-4395-944F-CC9FC03C8EA2}"/>
    <cellStyle name="Normal 4 7 5 3" xfId="6018" xr:uid="{00000000-0005-0000-0000-0000C0160000}"/>
    <cellStyle name="Normal 4 7 5 3 2" xfId="14447" xr:uid="{5D84173A-628E-4282-987C-866B6C513D00}"/>
    <cellStyle name="Normal 4 7 5 4" xfId="10229" xr:uid="{8EE44410-CA15-428F-8206-60CE444B9967}"/>
    <cellStyle name="Normal 4 7 6" xfId="2123" xr:uid="{00000000-0005-0000-0000-0000C1160000}"/>
    <cellStyle name="Normal 4 7 6 2" xfId="4352" xr:uid="{00000000-0005-0000-0000-0000C2160000}"/>
    <cellStyle name="Normal 4 7 6 2 2" xfId="8576" xr:uid="{00000000-0005-0000-0000-0000C3160000}"/>
    <cellStyle name="Normal 4 7 6 2 2 2" xfId="17005" xr:uid="{8D2513D8-B92F-4818-A8EA-42C66C118BB6}"/>
    <cellStyle name="Normal 4 7 6 2 3" xfId="12787" xr:uid="{4F1D6EDE-E0CD-442B-901C-2A40443ED246}"/>
    <cellStyle name="Normal 4 7 6 3" xfId="6431" xr:uid="{00000000-0005-0000-0000-0000C4160000}"/>
    <cellStyle name="Normal 4 7 6 3 2" xfId="14860" xr:uid="{1207B430-9A46-497A-ADBD-F0CB39983DFE}"/>
    <cellStyle name="Normal 4 7 6 4" xfId="10642" xr:uid="{8D592D73-4B54-443F-BB4A-8DD10DC51320}"/>
    <cellStyle name="Normal 4 7 7" xfId="2559" xr:uid="{00000000-0005-0000-0000-0000C5160000}"/>
    <cellStyle name="Normal 4 7 7 2" xfId="6844" xr:uid="{00000000-0005-0000-0000-0000C6160000}"/>
    <cellStyle name="Normal 4 7 7 2 2" xfId="15273" xr:uid="{11BEC791-2B74-41C0-B602-51815C2401AD}"/>
    <cellStyle name="Normal 4 7 7 3" xfId="11055" xr:uid="{3C6EE9C2-CEDE-462A-9E53-C17ACE203A48}"/>
    <cellStyle name="Normal 4 7 8" xfId="4779" xr:uid="{00000000-0005-0000-0000-0000C7160000}"/>
    <cellStyle name="Normal 4 7 8 2" xfId="13208" xr:uid="{F6B126DF-E3B0-4C41-9B57-04C8A9DCD7E9}"/>
    <cellStyle name="Normal 4 7 9" xfId="8990" xr:uid="{EF036CAC-9149-4756-98D0-886A363224E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45341576-127B-4DEC-8CC6-41C64231D26D}"/>
    <cellStyle name="Normal 4 8 2 2 3" xfId="11550" xr:uid="{CB8B7FE1-1604-4A1C-873A-14D3DFFACC21}"/>
    <cellStyle name="Normal 4 8 2 3" xfId="5194" xr:uid="{00000000-0005-0000-0000-0000CC160000}"/>
    <cellStyle name="Normal 4 8 2 3 2" xfId="13623" xr:uid="{2E3D560D-648C-44ED-AD2B-AF7AE6062CC6}"/>
    <cellStyle name="Normal 4 8 2 4" xfId="9405" xr:uid="{AF738EE4-34A3-4BDE-829B-2E16EA0633FC}"/>
    <cellStyle name="Normal 4 8 3" xfId="1298" xr:uid="{00000000-0005-0000-0000-0000CD160000}"/>
    <cellStyle name="Normal 4 8 3 2" xfId="3528" xr:uid="{00000000-0005-0000-0000-0000CE160000}"/>
    <cellStyle name="Normal 4 8 3 2 2" xfId="7752" xr:uid="{00000000-0005-0000-0000-0000CF160000}"/>
    <cellStyle name="Normal 4 8 3 2 2 2" xfId="16181" xr:uid="{88406F22-AF80-4757-A802-47DED6E64FCE}"/>
    <cellStyle name="Normal 4 8 3 2 3" xfId="11963" xr:uid="{CA1F10A0-3996-45B5-89BC-A6FD462A9660}"/>
    <cellStyle name="Normal 4 8 3 3" xfId="5607" xr:uid="{00000000-0005-0000-0000-0000D0160000}"/>
    <cellStyle name="Normal 4 8 3 3 2" xfId="14036" xr:uid="{B494CD68-7053-4C86-A276-AC03E9FA1350}"/>
    <cellStyle name="Normal 4 8 3 4" xfId="9818" xr:uid="{F62C93A8-365F-44DB-A74E-19F0CA23F54C}"/>
    <cellStyle name="Normal 4 8 4" xfId="1711" xr:uid="{00000000-0005-0000-0000-0000D1160000}"/>
    <cellStyle name="Normal 4 8 4 2" xfId="3941" xr:uid="{00000000-0005-0000-0000-0000D2160000}"/>
    <cellStyle name="Normal 4 8 4 2 2" xfId="8165" xr:uid="{00000000-0005-0000-0000-0000D3160000}"/>
    <cellStyle name="Normal 4 8 4 2 2 2" xfId="16594" xr:uid="{97B82401-1408-4552-A587-94CD68D8848B}"/>
    <cellStyle name="Normal 4 8 4 2 3" xfId="12376" xr:uid="{F402376B-2102-4759-8F5C-5977308B40F0}"/>
    <cellStyle name="Normal 4 8 4 3" xfId="6020" xr:uid="{00000000-0005-0000-0000-0000D4160000}"/>
    <cellStyle name="Normal 4 8 4 3 2" xfId="14449" xr:uid="{4A91D48E-C268-4766-84F2-C73259CC0189}"/>
    <cellStyle name="Normal 4 8 4 4" xfId="10231" xr:uid="{583BEFE6-2381-4802-A9B8-0B129ACFF443}"/>
    <cellStyle name="Normal 4 8 5" xfId="2125" xr:uid="{00000000-0005-0000-0000-0000D5160000}"/>
    <cellStyle name="Normal 4 8 5 2" xfId="4354" xr:uid="{00000000-0005-0000-0000-0000D6160000}"/>
    <cellStyle name="Normal 4 8 5 2 2" xfId="8578" xr:uid="{00000000-0005-0000-0000-0000D7160000}"/>
    <cellStyle name="Normal 4 8 5 2 2 2" xfId="17007" xr:uid="{C515F96E-6099-4B65-AE1A-487AF29EB5FE}"/>
    <cellStyle name="Normal 4 8 5 2 3" xfId="12789" xr:uid="{ED615036-3485-4998-BB66-F3B1F271468D}"/>
    <cellStyle name="Normal 4 8 5 3" xfId="6433" xr:uid="{00000000-0005-0000-0000-0000D8160000}"/>
    <cellStyle name="Normal 4 8 5 3 2" xfId="14862" xr:uid="{1B95389B-9B02-4593-8252-C848958D76AA}"/>
    <cellStyle name="Normal 4 8 5 4" xfId="10644" xr:uid="{5FB98A0C-95B1-4D9C-A9C2-828869F82B8D}"/>
    <cellStyle name="Normal 4 8 6" xfId="2561" xr:uid="{00000000-0005-0000-0000-0000D9160000}"/>
    <cellStyle name="Normal 4 8 6 2" xfId="6846" xr:uid="{00000000-0005-0000-0000-0000DA160000}"/>
    <cellStyle name="Normal 4 8 6 2 2" xfId="15275" xr:uid="{9B8E41BE-BECA-40F1-8D9C-0AB623DB310C}"/>
    <cellStyle name="Normal 4 8 6 3" xfId="11057" xr:uid="{0F17B2A9-80D4-4176-9C8E-35CB4BD35069}"/>
    <cellStyle name="Normal 4 8 7" xfId="4781" xr:uid="{00000000-0005-0000-0000-0000DB160000}"/>
    <cellStyle name="Normal 4 8 7 2" xfId="13210" xr:uid="{6DD3655E-DBE6-4BD5-A6C8-410B8AAAA578}"/>
    <cellStyle name="Normal 4 8 8" xfId="8992" xr:uid="{544D0CD6-6060-4851-BC42-51D4423912A8}"/>
    <cellStyle name="Normal 4 9" xfId="4718" xr:uid="{00000000-0005-0000-0000-0000DC160000}"/>
    <cellStyle name="Normal 4 9 2" xfId="13147" xr:uid="{E5617034-2E50-4FF9-A522-5AC1CD30D3E3}"/>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D2010EDA-EE04-47C8-8875-A2E9933AACC1}"/>
    <cellStyle name="Normal 5 10 2 3" xfId="12377" xr:uid="{B00A413C-89C3-46BF-BB3B-93E3AE24EDED}"/>
    <cellStyle name="Normal 5 10 3" xfId="6021" xr:uid="{00000000-0005-0000-0000-0000E1160000}"/>
    <cellStyle name="Normal 5 10 3 2" xfId="14450" xr:uid="{96DD420B-95BD-4BAF-B97C-B098B2778E4E}"/>
    <cellStyle name="Normal 5 10 4" xfId="10232" xr:uid="{C666644C-F2BD-4C8D-BA6F-8508CCB2568F}"/>
    <cellStyle name="Normal 5 11" xfId="2126" xr:uid="{00000000-0005-0000-0000-0000E2160000}"/>
    <cellStyle name="Normal 5 11 2" xfId="4355" xr:uid="{00000000-0005-0000-0000-0000E3160000}"/>
    <cellStyle name="Normal 5 11 2 2" xfId="8579" xr:uid="{00000000-0005-0000-0000-0000E4160000}"/>
    <cellStyle name="Normal 5 11 2 2 2" xfId="17008" xr:uid="{DC5C6A1D-7B61-4987-B826-2CB245C01622}"/>
    <cellStyle name="Normal 5 11 2 3" xfId="12790" xr:uid="{FEEDB940-3241-4C35-A2FE-D2A6A6F83A2D}"/>
    <cellStyle name="Normal 5 11 3" xfId="6434" xr:uid="{00000000-0005-0000-0000-0000E5160000}"/>
    <cellStyle name="Normal 5 11 3 2" xfId="14863" xr:uid="{067C2B46-05ED-4CDE-BEA9-1C8AAEB74C83}"/>
    <cellStyle name="Normal 5 11 4" xfId="10645" xr:uid="{409FCA3B-E1D7-4186-8466-F83342A03332}"/>
    <cellStyle name="Normal 5 12" xfId="2562" xr:uid="{00000000-0005-0000-0000-0000E6160000}"/>
    <cellStyle name="Normal 5 12 2" xfId="6847" xr:uid="{00000000-0005-0000-0000-0000E7160000}"/>
    <cellStyle name="Normal 5 12 2 2" xfId="15276" xr:uid="{C4A2A1F1-33B2-4F5B-85ED-8160C5A45861}"/>
    <cellStyle name="Normal 5 12 3" xfId="11058" xr:uid="{ACCE8CA1-6D4C-40C8-B2E4-684074305055}"/>
    <cellStyle name="Normal 5 13" xfId="4782" xr:uid="{00000000-0005-0000-0000-0000E8160000}"/>
    <cellStyle name="Normal 5 13 2" xfId="13211" xr:uid="{B084AD45-14F4-4E75-92B4-DE65A7FA6BAE}"/>
    <cellStyle name="Normal 5 14" xfId="8993" xr:uid="{1A9A7028-55D8-4E71-BA74-595EC7069343}"/>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C752B42F-C174-42D5-AF26-55A4F26D6D76}"/>
    <cellStyle name="Normal 5 2 10 2 3" xfId="12791" xr:uid="{8C1EF81A-3E52-458D-BF0D-95C00C0F13F1}"/>
    <cellStyle name="Normal 5 2 10 3" xfId="6435" xr:uid="{00000000-0005-0000-0000-0000ED160000}"/>
    <cellStyle name="Normal 5 2 10 3 2" xfId="14864" xr:uid="{5575B149-36FE-4642-9108-B526E2D1A07D}"/>
    <cellStyle name="Normal 5 2 10 4" xfId="10646" xr:uid="{EC2F7E5D-6EAA-40AD-A987-975912C4127D}"/>
    <cellStyle name="Normal 5 2 11" xfId="2563" xr:uid="{00000000-0005-0000-0000-0000EE160000}"/>
    <cellStyle name="Normal 5 2 11 2" xfId="6848" xr:uid="{00000000-0005-0000-0000-0000EF160000}"/>
    <cellStyle name="Normal 5 2 11 2 2" xfId="15277" xr:uid="{491C0021-5D7A-48F4-8238-68D448FD7604}"/>
    <cellStyle name="Normal 5 2 11 3" xfId="11059" xr:uid="{5BCE50DC-3AF6-4E1C-9223-78016CEE52D9}"/>
    <cellStyle name="Normal 5 2 12" xfId="4783" xr:uid="{00000000-0005-0000-0000-0000F0160000}"/>
    <cellStyle name="Normal 5 2 12 2" xfId="13212" xr:uid="{2860117E-E2EE-45E0-B8A0-8B25D2653BC1}"/>
    <cellStyle name="Normal 5 2 13" xfId="8994" xr:uid="{97728299-01D3-41A4-811D-9E58232E8ABA}"/>
    <cellStyle name="Normal 5 2 2" xfId="408" xr:uid="{00000000-0005-0000-0000-0000F1160000}"/>
    <cellStyle name="Normal 5 2 2 10" xfId="2564" xr:uid="{00000000-0005-0000-0000-0000F2160000}"/>
    <cellStyle name="Normal 5 2 2 10 2" xfId="6849" xr:uid="{00000000-0005-0000-0000-0000F3160000}"/>
    <cellStyle name="Normal 5 2 2 10 2 2" xfId="15278" xr:uid="{63CBD27D-FDC3-4FB9-A97F-FBB0C121132F}"/>
    <cellStyle name="Normal 5 2 2 10 3" xfId="11060" xr:uid="{F9EFC190-8CC9-4233-BD5C-921D78041D5A}"/>
    <cellStyle name="Normal 5 2 2 11" xfId="4784" xr:uid="{00000000-0005-0000-0000-0000F4160000}"/>
    <cellStyle name="Normal 5 2 2 11 2" xfId="13213" xr:uid="{269E785B-A56E-4B0C-98F4-CA6A99AA5B60}"/>
    <cellStyle name="Normal 5 2 2 12" xfId="8995" xr:uid="{7AFBD9D5-413E-4C13-BA3E-09DFB25778FC}"/>
    <cellStyle name="Normal 5 2 2 2" xfId="409" xr:uid="{00000000-0005-0000-0000-0000F5160000}"/>
    <cellStyle name="Normal 5 2 2 2 10" xfId="4785" xr:uid="{00000000-0005-0000-0000-0000F6160000}"/>
    <cellStyle name="Normal 5 2 2 2 10 2" xfId="13214" xr:uid="{DD8DC18E-E40B-4C63-895A-1F484A3B2B3B}"/>
    <cellStyle name="Normal 5 2 2 2 11" xfId="8996" xr:uid="{900BF1C4-4E91-49D1-A44F-DAA938ECFDDC}"/>
    <cellStyle name="Normal 5 2 2 2 2" xfId="410" xr:uid="{00000000-0005-0000-0000-0000F7160000}"/>
    <cellStyle name="Normal 5 2 2 2 2 10" xfId="8997" xr:uid="{72BE4777-0B00-4E9E-BB4D-08FBEDA292AC}"/>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271D5AAF-97CE-458D-859F-150DFBE6A0BD}"/>
    <cellStyle name="Normal 5 2 2 2 2 2 2 2 2 3" xfId="11557" xr:uid="{33441631-2BAF-422D-B9B4-58320C62CC32}"/>
    <cellStyle name="Normal 5 2 2 2 2 2 2 2 3" xfId="5201" xr:uid="{00000000-0005-0000-0000-0000FD160000}"/>
    <cellStyle name="Normal 5 2 2 2 2 2 2 2 3 2" xfId="13630" xr:uid="{A716EF47-55EC-4501-AFF1-3F3E4E5B2FD0}"/>
    <cellStyle name="Normal 5 2 2 2 2 2 2 2 4" xfId="9412" xr:uid="{756F8563-7807-4EE4-A201-E4E0B0A2CDB7}"/>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1A3F544C-6BBD-4D46-A227-2228D6FEEB2F}"/>
    <cellStyle name="Normal 5 2 2 2 2 2 2 3 2 3" xfId="11970" xr:uid="{D21B9CB1-B137-4F46-8F7F-ACF7179AA383}"/>
    <cellStyle name="Normal 5 2 2 2 2 2 2 3 3" xfId="5614" xr:uid="{00000000-0005-0000-0000-000001170000}"/>
    <cellStyle name="Normal 5 2 2 2 2 2 2 3 3 2" xfId="14043" xr:uid="{9770ECC3-D6CC-4450-8B42-50DD52375590}"/>
    <cellStyle name="Normal 5 2 2 2 2 2 2 3 4" xfId="9825" xr:uid="{6ED4FD8F-86C5-4EA6-A65D-9243814AF2B5}"/>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16136A95-FD97-4E3E-9C89-FA29FF03945E}"/>
    <cellStyle name="Normal 5 2 2 2 2 2 2 4 2 3" xfId="12383" xr:uid="{B4D2EAFB-1EA6-4158-8064-0D0BA7A49BF1}"/>
    <cellStyle name="Normal 5 2 2 2 2 2 2 4 3" xfId="6027" xr:uid="{00000000-0005-0000-0000-000005170000}"/>
    <cellStyle name="Normal 5 2 2 2 2 2 2 4 3 2" xfId="14456" xr:uid="{9CD27DDD-AEC1-4CF5-90B8-53D99EDCE3D3}"/>
    <cellStyle name="Normal 5 2 2 2 2 2 2 4 4" xfId="10238" xr:uid="{5AAB0B64-CEB7-4C47-9F84-3F756C343AF9}"/>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C91E3CA3-EA75-4A54-A6A8-0A5A67655E1F}"/>
    <cellStyle name="Normal 5 2 2 2 2 2 2 5 2 3" xfId="12796" xr:uid="{1735B258-0BBE-41AB-8AF2-6C9A8EF2F7F0}"/>
    <cellStyle name="Normal 5 2 2 2 2 2 2 5 3" xfId="6440" xr:uid="{00000000-0005-0000-0000-000009170000}"/>
    <cellStyle name="Normal 5 2 2 2 2 2 2 5 3 2" xfId="14869" xr:uid="{495A39B2-31D1-4014-B651-F0A563724E3E}"/>
    <cellStyle name="Normal 5 2 2 2 2 2 2 5 4" xfId="10651" xr:uid="{4A64478C-07B4-4436-83E0-42BA94C7836C}"/>
    <cellStyle name="Normal 5 2 2 2 2 2 2 6" xfId="2568" xr:uid="{00000000-0005-0000-0000-00000A170000}"/>
    <cellStyle name="Normal 5 2 2 2 2 2 2 6 2" xfId="6853" xr:uid="{00000000-0005-0000-0000-00000B170000}"/>
    <cellStyle name="Normal 5 2 2 2 2 2 2 6 2 2" xfId="15282" xr:uid="{4425935A-A035-41DF-B29F-146733685DE3}"/>
    <cellStyle name="Normal 5 2 2 2 2 2 2 6 3" xfId="11064" xr:uid="{A8262740-E4F1-4F2C-8258-40BC1D196F1D}"/>
    <cellStyle name="Normal 5 2 2 2 2 2 2 7" xfId="4788" xr:uid="{00000000-0005-0000-0000-00000C170000}"/>
    <cellStyle name="Normal 5 2 2 2 2 2 2 7 2" xfId="13217" xr:uid="{E3E0A2AB-01AF-4212-A28A-361D2190B3BB}"/>
    <cellStyle name="Normal 5 2 2 2 2 2 2 8" xfId="8999" xr:uid="{B9D558E6-F32F-42D9-9CFF-B70AC810EFA6}"/>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8BD3A2B1-DE4A-432F-B9DB-D1EE9394C7DC}"/>
    <cellStyle name="Normal 5 2 2 2 2 2 3 2 3" xfId="11556" xr:uid="{9FA996DB-B74E-4994-BA94-C5A91D42F2FA}"/>
    <cellStyle name="Normal 5 2 2 2 2 2 3 3" xfId="5200" xr:uid="{00000000-0005-0000-0000-000010170000}"/>
    <cellStyle name="Normal 5 2 2 2 2 2 3 3 2" xfId="13629" xr:uid="{E3CDD8DC-1BAC-4598-976E-8864268924BE}"/>
    <cellStyle name="Normal 5 2 2 2 2 2 3 4" xfId="9411" xr:uid="{7CD9D472-07F8-4D55-A6BE-4C06E2861F09}"/>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5E082CA7-9FA0-4B34-A185-154B52F51B34}"/>
    <cellStyle name="Normal 5 2 2 2 2 2 4 2 3" xfId="11969" xr:uid="{1FCB62C0-FF16-47DA-8EE0-F8A5D528374F}"/>
    <cellStyle name="Normal 5 2 2 2 2 2 4 3" xfId="5613" xr:uid="{00000000-0005-0000-0000-000014170000}"/>
    <cellStyle name="Normal 5 2 2 2 2 2 4 3 2" xfId="14042" xr:uid="{ED06233A-FD6E-4BAA-908F-9A96F345E19F}"/>
    <cellStyle name="Normal 5 2 2 2 2 2 4 4" xfId="9824" xr:uid="{F3ACDD1B-FDB6-4127-864E-8600E1806EAC}"/>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772155FF-D457-41E4-A844-FCC522DDDB0F}"/>
    <cellStyle name="Normal 5 2 2 2 2 2 5 2 3" xfId="12382" xr:uid="{6EE16686-A4A6-4969-91BD-63DA15DBD57F}"/>
    <cellStyle name="Normal 5 2 2 2 2 2 5 3" xfId="6026" xr:uid="{00000000-0005-0000-0000-000018170000}"/>
    <cellStyle name="Normal 5 2 2 2 2 2 5 3 2" xfId="14455" xr:uid="{EC3950E3-1D5E-4014-9255-2FD72C98ADAA}"/>
    <cellStyle name="Normal 5 2 2 2 2 2 5 4" xfId="10237" xr:uid="{726B6753-44ED-4CE7-A3ED-0C31BF3627DE}"/>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8876E7D1-C0EF-41C0-B164-BBCEB1038FA5}"/>
    <cellStyle name="Normal 5 2 2 2 2 2 6 2 3" xfId="12795" xr:uid="{41E3B104-6A4A-4C3D-ABA0-836F3296B1AE}"/>
    <cellStyle name="Normal 5 2 2 2 2 2 6 3" xfId="6439" xr:uid="{00000000-0005-0000-0000-00001C170000}"/>
    <cellStyle name="Normal 5 2 2 2 2 2 6 3 2" xfId="14868" xr:uid="{D44AA83D-F2B1-4D37-80CC-580A72F18EEA}"/>
    <cellStyle name="Normal 5 2 2 2 2 2 6 4" xfId="10650" xr:uid="{3AC5EEFC-1676-470A-AB96-484A687B2E71}"/>
    <cellStyle name="Normal 5 2 2 2 2 2 7" xfId="2567" xr:uid="{00000000-0005-0000-0000-00001D170000}"/>
    <cellStyle name="Normal 5 2 2 2 2 2 7 2" xfId="6852" xr:uid="{00000000-0005-0000-0000-00001E170000}"/>
    <cellStyle name="Normal 5 2 2 2 2 2 7 2 2" xfId="15281" xr:uid="{82045102-A508-4305-9485-EBAA81AD6673}"/>
    <cellStyle name="Normal 5 2 2 2 2 2 7 3" xfId="11063" xr:uid="{5C4BB66D-E3D2-4F68-9F70-7BB092948155}"/>
    <cellStyle name="Normal 5 2 2 2 2 2 8" xfId="4787" xr:uid="{00000000-0005-0000-0000-00001F170000}"/>
    <cellStyle name="Normal 5 2 2 2 2 2 8 2" xfId="13216" xr:uid="{D0F15D98-0BF0-42E6-ABD5-78AC6697D4FC}"/>
    <cellStyle name="Normal 5 2 2 2 2 2 9" xfId="8998" xr:uid="{6BE222C3-5C44-49E6-87CE-AEB18065289C}"/>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B042C7A7-4E9C-4B5D-B17D-9808D51155A5}"/>
    <cellStyle name="Normal 5 2 2 2 2 3 2 2 3" xfId="11558" xr:uid="{A5BDBED7-F23E-4965-953E-DD0672417628}"/>
    <cellStyle name="Normal 5 2 2 2 2 3 2 3" xfId="5202" xr:uid="{00000000-0005-0000-0000-000024170000}"/>
    <cellStyle name="Normal 5 2 2 2 2 3 2 3 2" xfId="13631" xr:uid="{6B3DBFCB-296A-4080-833F-777EB0348C85}"/>
    <cellStyle name="Normal 5 2 2 2 2 3 2 4" xfId="9413" xr:uid="{0CC79429-DA9D-4031-ADF9-9897ABB39BB5}"/>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F831535C-3918-49FD-A228-1449E52510B2}"/>
    <cellStyle name="Normal 5 2 2 2 2 3 3 2 3" xfId="11971" xr:uid="{9683B900-C562-490A-8559-3D5AFA95DC9C}"/>
    <cellStyle name="Normal 5 2 2 2 2 3 3 3" xfId="5615" xr:uid="{00000000-0005-0000-0000-000028170000}"/>
    <cellStyle name="Normal 5 2 2 2 2 3 3 3 2" xfId="14044" xr:uid="{3A3B3BCE-1B9B-4504-A8B8-DF7D2DE3ED7B}"/>
    <cellStyle name="Normal 5 2 2 2 2 3 3 4" xfId="9826" xr:uid="{DA5CB33A-DAA4-45CF-AE9B-5A722CFD3931}"/>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A78E246F-0CC6-4755-9F54-95FA8F486809}"/>
    <cellStyle name="Normal 5 2 2 2 2 3 4 2 3" xfId="12384" xr:uid="{63B49163-4527-4F47-B8D5-ED423710AEBC}"/>
    <cellStyle name="Normal 5 2 2 2 2 3 4 3" xfId="6028" xr:uid="{00000000-0005-0000-0000-00002C170000}"/>
    <cellStyle name="Normal 5 2 2 2 2 3 4 3 2" xfId="14457" xr:uid="{B03C746E-40E2-42C0-874E-861DF2AA0369}"/>
    <cellStyle name="Normal 5 2 2 2 2 3 4 4" xfId="10239" xr:uid="{13CF62E7-1B58-4A3E-A4E2-1B8757F513CB}"/>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F59C75DE-8477-4819-904A-E1A10EBBED68}"/>
    <cellStyle name="Normal 5 2 2 2 2 3 5 2 3" xfId="12797" xr:uid="{3DEC5FFE-633D-4FBE-B7AD-88CB366CEC0B}"/>
    <cellStyle name="Normal 5 2 2 2 2 3 5 3" xfId="6441" xr:uid="{00000000-0005-0000-0000-000030170000}"/>
    <cellStyle name="Normal 5 2 2 2 2 3 5 3 2" xfId="14870" xr:uid="{3AEC9FBC-89D8-452C-80DD-5DF009604CE3}"/>
    <cellStyle name="Normal 5 2 2 2 2 3 5 4" xfId="10652" xr:uid="{C69A3E61-F94F-4DA3-980A-F320B01D74E4}"/>
    <cellStyle name="Normal 5 2 2 2 2 3 6" xfId="2569" xr:uid="{00000000-0005-0000-0000-000031170000}"/>
    <cellStyle name="Normal 5 2 2 2 2 3 6 2" xfId="6854" xr:uid="{00000000-0005-0000-0000-000032170000}"/>
    <cellStyle name="Normal 5 2 2 2 2 3 6 2 2" xfId="15283" xr:uid="{5BC4ED0C-F698-4440-8E95-3D7C571BCCD4}"/>
    <cellStyle name="Normal 5 2 2 2 2 3 6 3" xfId="11065" xr:uid="{4B75B6DF-6019-4696-B3D5-99A8184B7BAB}"/>
    <cellStyle name="Normal 5 2 2 2 2 3 7" xfId="4789" xr:uid="{00000000-0005-0000-0000-000033170000}"/>
    <cellStyle name="Normal 5 2 2 2 2 3 7 2" xfId="13218" xr:uid="{3EAEC42D-4E26-4522-AF8E-06CD03A2892D}"/>
    <cellStyle name="Normal 5 2 2 2 2 3 8" xfId="9000" xr:uid="{018662BF-D8C1-4A99-9112-E8B1B6B952D2}"/>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B5FFD02F-98B6-4B0F-9284-A7910B56C008}"/>
    <cellStyle name="Normal 5 2 2 2 2 4 2 3" xfId="11555" xr:uid="{CFD35089-E3C6-44F2-BE22-F7E493377A28}"/>
    <cellStyle name="Normal 5 2 2 2 2 4 3" xfId="5199" xr:uid="{00000000-0005-0000-0000-000037170000}"/>
    <cellStyle name="Normal 5 2 2 2 2 4 3 2" xfId="13628" xr:uid="{ED4586F1-5220-4345-A010-45FFC017B0E1}"/>
    <cellStyle name="Normal 5 2 2 2 2 4 4" xfId="9410" xr:uid="{34AA27A7-43B4-4757-8BDD-A89EC7324F9E}"/>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9D5ECEE9-922A-4E0F-B406-BCBCDD20CBC2}"/>
    <cellStyle name="Normal 5 2 2 2 2 5 2 3" xfId="11968" xr:uid="{65D4A516-A8CF-4A7C-8B85-E656E30D3562}"/>
    <cellStyle name="Normal 5 2 2 2 2 5 3" xfId="5612" xr:uid="{00000000-0005-0000-0000-00003B170000}"/>
    <cellStyle name="Normal 5 2 2 2 2 5 3 2" xfId="14041" xr:uid="{A4C0ECB9-14DA-4684-BB04-DA60A2360595}"/>
    <cellStyle name="Normal 5 2 2 2 2 5 4" xfId="9823" xr:uid="{2C27ABF6-C2E3-4B85-B305-C68E2925ABF7}"/>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A4162EDB-A601-4B4B-97D6-504418F6DF01}"/>
    <cellStyle name="Normal 5 2 2 2 2 6 2 3" xfId="12381" xr:uid="{96FF1943-1669-4B29-8964-4AF82566B2AF}"/>
    <cellStyle name="Normal 5 2 2 2 2 6 3" xfId="6025" xr:uid="{00000000-0005-0000-0000-00003F170000}"/>
    <cellStyle name="Normal 5 2 2 2 2 6 3 2" xfId="14454" xr:uid="{2D1FB808-CE18-4DCD-A994-5909E1AEF110}"/>
    <cellStyle name="Normal 5 2 2 2 2 6 4" xfId="10236" xr:uid="{48AD8431-B900-4279-A902-5D8AED3DE449}"/>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9E7F2B8B-FE73-4B54-94B6-F28AEA5A9B89}"/>
    <cellStyle name="Normal 5 2 2 2 2 7 2 3" xfId="12794" xr:uid="{5D9F2CAF-B7E7-412F-BAF6-81AAF7771B58}"/>
    <cellStyle name="Normal 5 2 2 2 2 7 3" xfId="6438" xr:uid="{00000000-0005-0000-0000-000043170000}"/>
    <cellStyle name="Normal 5 2 2 2 2 7 3 2" xfId="14867" xr:uid="{CCC1ABC6-77DA-45D6-B4E9-F5695D9BCC9F}"/>
    <cellStyle name="Normal 5 2 2 2 2 7 4" xfId="10649" xr:uid="{411E7781-001A-4C4B-BFE2-70DC8E6C7394}"/>
    <cellStyle name="Normal 5 2 2 2 2 8" xfId="2566" xr:uid="{00000000-0005-0000-0000-000044170000}"/>
    <cellStyle name="Normal 5 2 2 2 2 8 2" xfId="6851" xr:uid="{00000000-0005-0000-0000-000045170000}"/>
    <cellStyle name="Normal 5 2 2 2 2 8 2 2" xfId="15280" xr:uid="{A1CB25C4-1206-43DA-A742-F31E36B7F959}"/>
    <cellStyle name="Normal 5 2 2 2 2 8 3" xfId="11062" xr:uid="{DD974F53-4245-4C34-9E9A-1E6ACBFD5447}"/>
    <cellStyle name="Normal 5 2 2 2 2 9" xfId="4786" xr:uid="{00000000-0005-0000-0000-000046170000}"/>
    <cellStyle name="Normal 5 2 2 2 2 9 2" xfId="13215" xr:uid="{611A21B6-FB13-4DA4-9B59-F8719A0ABD41}"/>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C8F2062C-FB70-4095-AB94-49FA17F975DF}"/>
    <cellStyle name="Normal 5 2 2 2 3 2 2 2 3" xfId="11560" xr:uid="{DAE51F95-FF53-403D-BBA0-61F04BDA7D5A}"/>
    <cellStyle name="Normal 5 2 2 2 3 2 2 3" xfId="5204" xr:uid="{00000000-0005-0000-0000-00004C170000}"/>
    <cellStyle name="Normal 5 2 2 2 3 2 2 3 2" xfId="13633" xr:uid="{BADF2F09-949C-4FE4-AA8D-33E19817CEA8}"/>
    <cellStyle name="Normal 5 2 2 2 3 2 2 4" xfId="9415" xr:uid="{42306D31-2CE1-4B66-8940-043C91EEC4E5}"/>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9E4326AC-028C-4E12-A49E-141E45867E99}"/>
    <cellStyle name="Normal 5 2 2 2 3 2 3 2 3" xfId="11973" xr:uid="{4B7F7E6F-FCCA-45C4-BD19-53613108BCDD}"/>
    <cellStyle name="Normal 5 2 2 2 3 2 3 3" xfId="5617" xr:uid="{00000000-0005-0000-0000-000050170000}"/>
    <cellStyle name="Normal 5 2 2 2 3 2 3 3 2" xfId="14046" xr:uid="{CC28C6A1-FD64-4501-9E77-9667F7A4AAE8}"/>
    <cellStyle name="Normal 5 2 2 2 3 2 3 4" xfId="9828" xr:uid="{1DB0D0BC-A421-443B-A47C-39F6129DE5A4}"/>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0F058032-D36B-4080-88EB-EE79B5621BBD}"/>
    <cellStyle name="Normal 5 2 2 2 3 2 4 2 3" xfId="12386" xr:uid="{000C2CF1-5642-45A2-A0D2-A167D731D579}"/>
    <cellStyle name="Normal 5 2 2 2 3 2 4 3" xfId="6030" xr:uid="{00000000-0005-0000-0000-000054170000}"/>
    <cellStyle name="Normal 5 2 2 2 3 2 4 3 2" xfId="14459" xr:uid="{C8F57F25-D04B-4F39-A19C-DADC2536A594}"/>
    <cellStyle name="Normal 5 2 2 2 3 2 4 4" xfId="10241" xr:uid="{2589BCA1-8ABE-495C-828C-EF4466AE3F15}"/>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8C0BEB08-48A2-4FF5-B312-1B551D25C815}"/>
    <cellStyle name="Normal 5 2 2 2 3 2 5 2 3" xfId="12799" xr:uid="{C3AB9863-57A7-48AF-AF5E-8A233DE0CF9E}"/>
    <cellStyle name="Normal 5 2 2 2 3 2 5 3" xfId="6443" xr:uid="{00000000-0005-0000-0000-000058170000}"/>
    <cellStyle name="Normal 5 2 2 2 3 2 5 3 2" xfId="14872" xr:uid="{1C3B19D6-D5D2-44B3-9F25-7CF15D399823}"/>
    <cellStyle name="Normal 5 2 2 2 3 2 5 4" xfId="10654" xr:uid="{05E52BB8-C59B-43A2-A635-B04F46041640}"/>
    <cellStyle name="Normal 5 2 2 2 3 2 6" xfId="2571" xr:uid="{00000000-0005-0000-0000-000059170000}"/>
    <cellStyle name="Normal 5 2 2 2 3 2 6 2" xfId="6856" xr:uid="{00000000-0005-0000-0000-00005A170000}"/>
    <cellStyle name="Normal 5 2 2 2 3 2 6 2 2" xfId="15285" xr:uid="{77BE4AC6-D7C9-478C-8E91-D3B06AD62ED0}"/>
    <cellStyle name="Normal 5 2 2 2 3 2 6 3" xfId="11067" xr:uid="{333E9F8D-B5FA-46F3-96F2-5383862C025D}"/>
    <cellStyle name="Normal 5 2 2 2 3 2 7" xfId="4791" xr:uid="{00000000-0005-0000-0000-00005B170000}"/>
    <cellStyle name="Normal 5 2 2 2 3 2 7 2" xfId="13220" xr:uid="{CEDFD53A-F316-4111-A23E-9AFE99CC048D}"/>
    <cellStyle name="Normal 5 2 2 2 3 2 8" xfId="9002" xr:uid="{BD630508-4012-4ECD-8A1B-B544C4FF4992}"/>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24A0F783-303F-4348-AA13-E436E08BBC16}"/>
    <cellStyle name="Normal 5 2 2 2 3 3 2 3" xfId="11559" xr:uid="{B97761D1-259D-44A8-ACE3-4F38A0354B8A}"/>
    <cellStyle name="Normal 5 2 2 2 3 3 3" xfId="5203" xr:uid="{00000000-0005-0000-0000-00005F170000}"/>
    <cellStyle name="Normal 5 2 2 2 3 3 3 2" xfId="13632" xr:uid="{4BD4A1BA-C17D-452A-B90F-661F9A4CB7EB}"/>
    <cellStyle name="Normal 5 2 2 2 3 3 4" xfId="9414" xr:uid="{62061798-1B19-4236-AC40-1C4F5DE8C4CA}"/>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F88B8D46-55F3-4215-A217-9B1B80F4E3FD}"/>
    <cellStyle name="Normal 5 2 2 2 3 4 2 3" xfId="11972" xr:uid="{BF06634D-E072-46AA-A323-C00417B84240}"/>
    <cellStyle name="Normal 5 2 2 2 3 4 3" xfId="5616" xr:uid="{00000000-0005-0000-0000-000063170000}"/>
    <cellStyle name="Normal 5 2 2 2 3 4 3 2" xfId="14045" xr:uid="{83709AA6-95F1-438B-8373-7D8B16E36341}"/>
    <cellStyle name="Normal 5 2 2 2 3 4 4" xfId="9827" xr:uid="{F4C35E32-EB6D-4547-8293-C66F9C897F9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10D5B5C5-9293-4046-B604-5F6CE8A986A5}"/>
    <cellStyle name="Normal 5 2 2 2 3 5 2 3" xfId="12385" xr:uid="{9E0003A5-6FEC-4918-91B6-FBB59E1567B7}"/>
    <cellStyle name="Normal 5 2 2 2 3 5 3" xfId="6029" xr:uid="{00000000-0005-0000-0000-000067170000}"/>
    <cellStyle name="Normal 5 2 2 2 3 5 3 2" xfId="14458" xr:uid="{5464D48D-DA49-418A-9F73-7522579C16DD}"/>
    <cellStyle name="Normal 5 2 2 2 3 5 4" xfId="10240" xr:uid="{6ECD5D65-6BC5-4CE0-B2A2-E1B8D104FDC4}"/>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300AD633-9D37-4BC7-AE76-B58935567B74}"/>
    <cellStyle name="Normal 5 2 2 2 3 6 2 3" xfId="12798" xr:uid="{F0BDE5DA-8FA4-4C79-BEA4-96E6B2262CB6}"/>
    <cellStyle name="Normal 5 2 2 2 3 6 3" xfId="6442" xr:uid="{00000000-0005-0000-0000-00006B170000}"/>
    <cellStyle name="Normal 5 2 2 2 3 6 3 2" xfId="14871" xr:uid="{33EED717-C98C-4D51-A1EA-19F80F6E83E7}"/>
    <cellStyle name="Normal 5 2 2 2 3 6 4" xfId="10653" xr:uid="{976384EF-1BD4-425C-BCE4-745053A40E5C}"/>
    <cellStyle name="Normal 5 2 2 2 3 7" xfId="2570" xr:uid="{00000000-0005-0000-0000-00006C170000}"/>
    <cellStyle name="Normal 5 2 2 2 3 7 2" xfId="6855" xr:uid="{00000000-0005-0000-0000-00006D170000}"/>
    <cellStyle name="Normal 5 2 2 2 3 7 2 2" xfId="15284" xr:uid="{9430FD07-9595-48B7-BF8F-8360CC798C0C}"/>
    <cellStyle name="Normal 5 2 2 2 3 7 3" xfId="11066" xr:uid="{73DFF58A-E1EF-4DD3-B974-8D52987A3F55}"/>
    <cellStyle name="Normal 5 2 2 2 3 8" xfId="4790" xr:uid="{00000000-0005-0000-0000-00006E170000}"/>
    <cellStyle name="Normal 5 2 2 2 3 8 2" xfId="13219" xr:uid="{C00DB510-8B90-4B73-AE23-DBE10A54950E}"/>
    <cellStyle name="Normal 5 2 2 2 3 9" xfId="9001" xr:uid="{7F5C8968-9D1A-48EA-864E-654EC2D02EC1}"/>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31C4BB23-10D3-43FF-B75F-39D5539479A2}"/>
    <cellStyle name="Normal 5 2 2 2 4 2 2 3" xfId="11561" xr:uid="{19464FE7-22F8-4566-8A1D-6DF1C62C2E14}"/>
    <cellStyle name="Normal 5 2 2 2 4 2 3" xfId="5205" xr:uid="{00000000-0005-0000-0000-000073170000}"/>
    <cellStyle name="Normal 5 2 2 2 4 2 3 2" xfId="13634" xr:uid="{E0E2EEA4-A417-4DA4-B81E-4A48BFC548DD}"/>
    <cellStyle name="Normal 5 2 2 2 4 2 4" xfId="9416" xr:uid="{96A11D17-263F-4CAB-B686-1F1DA5413EFD}"/>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5D0A680B-7593-4AF5-8019-571E76C72528}"/>
    <cellStyle name="Normal 5 2 2 2 4 3 2 3" xfId="11974" xr:uid="{6F473AF9-8447-4B52-BD76-119B4B657335}"/>
    <cellStyle name="Normal 5 2 2 2 4 3 3" xfId="5618" xr:uid="{00000000-0005-0000-0000-000077170000}"/>
    <cellStyle name="Normal 5 2 2 2 4 3 3 2" xfId="14047" xr:uid="{BA3E1481-3540-4150-9CE5-7BAD356E3984}"/>
    <cellStyle name="Normal 5 2 2 2 4 3 4" xfId="9829" xr:uid="{78A29140-E3F1-4AE5-9E13-F251D778874E}"/>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468E8D72-EC36-4B88-9576-C7B08139C444}"/>
    <cellStyle name="Normal 5 2 2 2 4 4 2 3" xfId="12387" xr:uid="{335FF953-94AA-4583-A925-B1871AC083AC}"/>
    <cellStyle name="Normal 5 2 2 2 4 4 3" xfId="6031" xr:uid="{00000000-0005-0000-0000-00007B170000}"/>
    <cellStyle name="Normal 5 2 2 2 4 4 3 2" xfId="14460" xr:uid="{618A78DA-EFF3-45C7-89AC-ACC4A204EE8F}"/>
    <cellStyle name="Normal 5 2 2 2 4 4 4" xfId="10242" xr:uid="{85D88BDA-102B-4BAF-B554-A9D1F770E791}"/>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D0F90B76-4281-437B-82C8-63F683056A5D}"/>
    <cellStyle name="Normal 5 2 2 2 4 5 2 3" xfId="12800" xr:uid="{13FA3FCC-0BD6-4918-96D0-5407FB03F6BB}"/>
    <cellStyle name="Normal 5 2 2 2 4 5 3" xfId="6444" xr:uid="{00000000-0005-0000-0000-00007F170000}"/>
    <cellStyle name="Normal 5 2 2 2 4 5 3 2" xfId="14873" xr:uid="{C05EA7E3-BA04-4D04-BB25-610883EC9E88}"/>
    <cellStyle name="Normal 5 2 2 2 4 5 4" xfId="10655" xr:uid="{8761E58A-0A84-46BE-9787-58BB9EBD62A9}"/>
    <cellStyle name="Normal 5 2 2 2 4 6" xfId="2572" xr:uid="{00000000-0005-0000-0000-000080170000}"/>
    <cellStyle name="Normal 5 2 2 2 4 6 2" xfId="6857" xr:uid="{00000000-0005-0000-0000-000081170000}"/>
    <cellStyle name="Normal 5 2 2 2 4 6 2 2" xfId="15286" xr:uid="{CBBE22D7-3381-4EF0-8A94-EFA3D563BA8B}"/>
    <cellStyle name="Normal 5 2 2 2 4 6 3" xfId="11068" xr:uid="{02C7FF57-2804-4D30-B103-954D1D1946C2}"/>
    <cellStyle name="Normal 5 2 2 2 4 7" xfId="4792" xr:uid="{00000000-0005-0000-0000-000082170000}"/>
    <cellStyle name="Normal 5 2 2 2 4 7 2" xfId="13221" xr:uid="{94382A48-68A7-400E-B12F-6B6F5A29A4DF}"/>
    <cellStyle name="Normal 5 2 2 2 4 8" xfId="9003" xr:uid="{D72AB5CA-5412-49A6-8B22-C15FC605E969}"/>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E773E426-1B08-4532-8FF0-358764CE331B}"/>
    <cellStyle name="Normal 5 2 2 2 5 2 3" xfId="11554" xr:uid="{5B7D66A6-CBBB-4FAC-BAEE-708B4595AC8B}"/>
    <cellStyle name="Normal 5 2 2 2 5 3" xfId="5198" xr:uid="{00000000-0005-0000-0000-000086170000}"/>
    <cellStyle name="Normal 5 2 2 2 5 3 2" xfId="13627" xr:uid="{AF41F6FC-A456-45A7-8CEA-86F3A073997F}"/>
    <cellStyle name="Normal 5 2 2 2 5 4" xfId="9409" xr:uid="{E30005F3-6C18-4E8E-924D-E2B576B9B958}"/>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C4E612C6-078A-4878-A596-0097E65A614E}"/>
    <cellStyle name="Normal 5 2 2 2 6 2 3" xfId="11967" xr:uid="{42EC865C-1CFD-452E-B4E4-3A1A1E52647D}"/>
    <cellStyle name="Normal 5 2 2 2 6 3" xfId="5611" xr:uid="{00000000-0005-0000-0000-00008A170000}"/>
    <cellStyle name="Normal 5 2 2 2 6 3 2" xfId="14040" xr:uid="{5369F59D-FB6E-455F-BD39-0A8ECA364CDD}"/>
    <cellStyle name="Normal 5 2 2 2 6 4" xfId="9822" xr:uid="{E53393D1-759A-4E49-A983-34C3B0262F38}"/>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A467B770-E9C1-485E-85BA-6CF1050FF1B1}"/>
    <cellStyle name="Normal 5 2 2 2 7 2 3" xfId="12380" xr:uid="{317D382E-70D2-4F58-9EE5-E3B8A2C39C00}"/>
    <cellStyle name="Normal 5 2 2 2 7 3" xfId="6024" xr:uid="{00000000-0005-0000-0000-00008E170000}"/>
    <cellStyle name="Normal 5 2 2 2 7 3 2" xfId="14453" xr:uid="{D2A385D7-AA40-478B-9BFB-8B337B5DDCC5}"/>
    <cellStyle name="Normal 5 2 2 2 7 4" xfId="10235" xr:uid="{D33CD03D-85B1-49D2-A800-354508982FB0}"/>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1D7D377C-BCB0-48A6-8EAE-969C465946F6}"/>
    <cellStyle name="Normal 5 2 2 2 8 2 3" xfId="12793" xr:uid="{DE2708C9-065D-43AD-8167-FB4AE39A9B5D}"/>
    <cellStyle name="Normal 5 2 2 2 8 3" xfId="6437" xr:uid="{00000000-0005-0000-0000-000092170000}"/>
    <cellStyle name="Normal 5 2 2 2 8 3 2" xfId="14866" xr:uid="{2019A66F-5D8D-4068-9F58-6BE27D13A896}"/>
    <cellStyle name="Normal 5 2 2 2 8 4" xfId="10648" xr:uid="{3CA12062-64DA-42EE-AE46-89B08CF8B6A4}"/>
    <cellStyle name="Normal 5 2 2 2 9" xfId="2565" xr:uid="{00000000-0005-0000-0000-000093170000}"/>
    <cellStyle name="Normal 5 2 2 2 9 2" xfId="6850" xr:uid="{00000000-0005-0000-0000-000094170000}"/>
    <cellStyle name="Normal 5 2 2 2 9 2 2" xfId="15279" xr:uid="{9AC17F7C-98AF-442C-B805-F04293E6468F}"/>
    <cellStyle name="Normal 5 2 2 2 9 3" xfId="11061" xr:uid="{4E92DBA5-9566-4C31-B8DD-9BF3DFDD50DE}"/>
    <cellStyle name="Normal 5 2 2 3" xfId="417" xr:uid="{00000000-0005-0000-0000-000095170000}"/>
    <cellStyle name="Normal 5 2 2 3 10" xfId="9004" xr:uid="{E998907F-E2F6-4D21-8C28-A83DD34DFEB1}"/>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ED7BF8C9-D714-42BD-9509-51646E847796}"/>
    <cellStyle name="Normal 5 2 2 3 2 2 2 2 3" xfId="11564" xr:uid="{31CD7716-AAA8-4DD3-8C36-E46F17598A99}"/>
    <cellStyle name="Normal 5 2 2 3 2 2 2 3" xfId="5208" xr:uid="{00000000-0005-0000-0000-00009B170000}"/>
    <cellStyle name="Normal 5 2 2 3 2 2 2 3 2" xfId="13637" xr:uid="{0328BD92-4365-485B-94CD-9403167C6FFD}"/>
    <cellStyle name="Normal 5 2 2 3 2 2 2 4" xfId="9419" xr:uid="{9DBE9D2E-170B-408E-9727-6A172E87266C}"/>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0A74442B-5067-4952-9B67-F5557539DBC2}"/>
    <cellStyle name="Normal 5 2 2 3 2 2 3 2 3" xfId="11977" xr:uid="{64D5B182-9F3C-4CE7-8F2D-F00E590B31BE}"/>
    <cellStyle name="Normal 5 2 2 3 2 2 3 3" xfId="5621" xr:uid="{00000000-0005-0000-0000-00009F170000}"/>
    <cellStyle name="Normal 5 2 2 3 2 2 3 3 2" xfId="14050" xr:uid="{7BEF41CD-BBD2-44C6-BF2F-1A1560D5679C}"/>
    <cellStyle name="Normal 5 2 2 3 2 2 3 4" xfId="9832" xr:uid="{42FEECEF-C34E-42E9-B317-FC538BF20A8E}"/>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3B9B507D-8274-4ED0-86A7-944C7515DE06}"/>
    <cellStyle name="Normal 5 2 2 3 2 2 4 2 3" xfId="12390" xr:uid="{EC3F46D1-24BA-4640-9ED5-202194C08045}"/>
    <cellStyle name="Normal 5 2 2 3 2 2 4 3" xfId="6034" xr:uid="{00000000-0005-0000-0000-0000A3170000}"/>
    <cellStyle name="Normal 5 2 2 3 2 2 4 3 2" xfId="14463" xr:uid="{C19BBC0E-7A33-4E76-8D6A-9778E2B40EFD}"/>
    <cellStyle name="Normal 5 2 2 3 2 2 4 4" xfId="10245" xr:uid="{1772B352-C5C6-4952-9E78-3B8BFC338406}"/>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CA8DB5C1-08CA-41E0-94AA-BDF81258A128}"/>
    <cellStyle name="Normal 5 2 2 3 2 2 5 2 3" xfId="12803" xr:uid="{F73F90FC-758D-43D7-B893-F59E72D3BE4E}"/>
    <cellStyle name="Normal 5 2 2 3 2 2 5 3" xfId="6447" xr:uid="{00000000-0005-0000-0000-0000A7170000}"/>
    <cellStyle name="Normal 5 2 2 3 2 2 5 3 2" xfId="14876" xr:uid="{561A567F-E3E8-40A2-AE98-59EBCC252778}"/>
    <cellStyle name="Normal 5 2 2 3 2 2 5 4" xfId="10658" xr:uid="{3059FC2D-CE07-453C-988C-5941BE71F4F0}"/>
    <cellStyle name="Normal 5 2 2 3 2 2 6" xfId="2575" xr:uid="{00000000-0005-0000-0000-0000A8170000}"/>
    <cellStyle name="Normal 5 2 2 3 2 2 6 2" xfId="6860" xr:uid="{00000000-0005-0000-0000-0000A9170000}"/>
    <cellStyle name="Normal 5 2 2 3 2 2 6 2 2" xfId="15289" xr:uid="{4A81775E-F13A-4E78-BCCD-AB7626FBD938}"/>
    <cellStyle name="Normal 5 2 2 3 2 2 6 3" xfId="11071" xr:uid="{CD609FA2-E71B-4F92-B1D4-FF6AC6AC3A31}"/>
    <cellStyle name="Normal 5 2 2 3 2 2 7" xfId="4795" xr:uid="{00000000-0005-0000-0000-0000AA170000}"/>
    <cellStyle name="Normal 5 2 2 3 2 2 7 2" xfId="13224" xr:uid="{6DC231D4-AECE-48EE-8BF7-6CBF8914450F}"/>
    <cellStyle name="Normal 5 2 2 3 2 2 8" xfId="9006" xr:uid="{00286E4E-6BB4-4B6A-A96C-C482557EE87E}"/>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E9830142-5703-4CA3-9E66-B3559B7B5F4B}"/>
    <cellStyle name="Normal 5 2 2 3 2 3 2 3" xfId="11563" xr:uid="{E78B3ACD-34A6-4A68-9571-630786422077}"/>
    <cellStyle name="Normal 5 2 2 3 2 3 3" xfId="5207" xr:uid="{00000000-0005-0000-0000-0000AE170000}"/>
    <cellStyle name="Normal 5 2 2 3 2 3 3 2" xfId="13636" xr:uid="{05600207-EDEC-452B-873D-FC1ECBAF13E1}"/>
    <cellStyle name="Normal 5 2 2 3 2 3 4" xfId="9418" xr:uid="{CE861065-13B7-4FAD-8B75-6F45F91FA03D}"/>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7FA31FA2-C99A-4C03-BA7D-28C6318999C0}"/>
    <cellStyle name="Normal 5 2 2 3 2 4 2 3" xfId="11976" xr:uid="{B2B0384F-913B-4C6A-B86B-47C4A67A0F1D}"/>
    <cellStyle name="Normal 5 2 2 3 2 4 3" xfId="5620" xr:uid="{00000000-0005-0000-0000-0000B2170000}"/>
    <cellStyle name="Normal 5 2 2 3 2 4 3 2" xfId="14049" xr:uid="{1EC264A3-3253-4A2C-ADE2-2FE528E8B33B}"/>
    <cellStyle name="Normal 5 2 2 3 2 4 4" xfId="9831" xr:uid="{B68BFB22-4E9F-413B-AE3A-4F94F7B0B59B}"/>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28224D7E-9B03-434F-A538-DBCA7F54EA64}"/>
    <cellStyle name="Normal 5 2 2 3 2 5 2 3" xfId="12389" xr:uid="{1F79A36E-3994-4818-ACCB-B12C244CB8B7}"/>
    <cellStyle name="Normal 5 2 2 3 2 5 3" xfId="6033" xr:uid="{00000000-0005-0000-0000-0000B6170000}"/>
    <cellStyle name="Normal 5 2 2 3 2 5 3 2" xfId="14462" xr:uid="{3A2BE29A-322C-4BC7-B7BA-DB0309268443}"/>
    <cellStyle name="Normal 5 2 2 3 2 5 4" xfId="10244" xr:uid="{99A6DB69-A5F4-4C92-A57C-A09E7B32039F}"/>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1CE5C97D-B842-4FFC-B610-21BF237D8420}"/>
    <cellStyle name="Normal 5 2 2 3 2 6 2 3" xfId="12802" xr:uid="{D87687D6-5AA2-41A2-9A63-D2EEE669B61B}"/>
    <cellStyle name="Normal 5 2 2 3 2 6 3" xfId="6446" xr:uid="{00000000-0005-0000-0000-0000BA170000}"/>
    <cellStyle name="Normal 5 2 2 3 2 6 3 2" xfId="14875" xr:uid="{B69CFD24-E9A9-4C48-B295-145442A314E5}"/>
    <cellStyle name="Normal 5 2 2 3 2 6 4" xfId="10657" xr:uid="{0172BC88-25F1-4B8D-94E4-05245E4A5411}"/>
    <cellStyle name="Normal 5 2 2 3 2 7" xfId="2574" xr:uid="{00000000-0005-0000-0000-0000BB170000}"/>
    <cellStyle name="Normal 5 2 2 3 2 7 2" xfId="6859" xr:uid="{00000000-0005-0000-0000-0000BC170000}"/>
    <cellStyle name="Normal 5 2 2 3 2 7 2 2" xfId="15288" xr:uid="{E5F51808-9F55-4CA0-B4B2-017FA3709F6F}"/>
    <cellStyle name="Normal 5 2 2 3 2 7 3" xfId="11070" xr:uid="{507DD1DE-85C6-4B8E-ADCB-B41001D5C095}"/>
    <cellStyle name="Normal 5 2 2 3 2 8" xfId="4794" xr:uid="{00000000-0005-0000-0000-0000BD170000}"/>
    <cellStyle name="Normal 5 2 2 3 2 8 2" xfId="13223" xr:uid="{1ABE7599-D7CE-4999-9F4A-8420035B71E3}"/>
    <cellStyle name="Normal 5 2 2 3 2 9" xfId="9005" xr:uid="{9299DA68-8FE8-4264-97BA-025756A448B8}"/>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67FC26CF-A74E-4584-90E0-6FC379165084}"/>
    <cellStyle name="Normal 5 2 2 3 3 2 2 3" xfId="11565" xr:uid="{FBA4CC91-6526-4602-B66C-8E97DE1F5E6B}"/>
    <cellStyle name="Normal 5 2 2 3 3 2 3" xfId="5209" xr:uid="{00000000-0005-0000-0000-0000C2170000}"/>
    <cellStyle name="Normal 5 2 2 3 3 2 3 2" xfId="13638" xr:uid="{2B89F21F-CD59-4E3E-801B-76696F6B050B}"/>
    <cellStyle name="Normal 5 2 2 3 3 2 4" xfId="9420" xr:uid="{18D85EA6-5CF8-494C-9FF3-AA6C3C8E04B6}"/>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B254D9F2-3C8F-4FC3-9425-A8C5FBF5EE94}"/>
    <cellStyle name="Normal 5 2 2 3 3 3 2 3" xfId="11978" xr:uid="{0B26664D-8219-4117-8BD5-EF9BEB7B30EB}"/>
    <cellStyle name="Normal 5 2 2 3 3 3 3" xfId="5622" xr:uid="{00000000-0005-0000-0000-0000C6170000}"/>
    <cellStyle name="Normal 5 2 2 3 3 3 3 2" xfId="14051" xr:uid="{C8834A0A-830F-4254-963C-105D3B817B49}"/>
    <cellStyle name="Normal 5 2 2 3 3 3 4" xfId="9833" xr:uid="{6918F33C-6BA3-4E69-9958-9BFE256E6D2E}"/>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D2998E2C-09FB-492C-8342-6A001205F26F}"/>
    <cellStyle name="Normal 5 2 2 3 3 4 2 3" xfId="12391" xr:uid="{0E2D6641-915A-4E7E-BAA0-C04675D1E1C0}"/>
    <cellStyle name="Normal 5 2 2 3 3 4 3" xfId="6035" xr:uid="{00000000-0005-0000-0000-0000CA170000}"/>
    <cellStyle name="Normal 5 2 2 3 3 4 3 2" xfId="14464" xr:uid="{CF980D77-9D0F-4BE8-B922-E05DE797F4E0}"/>
    <cellStyle name="Normal 5 2 2 3 3 4 4" xfId="10246" xr:uid="{35E11217-26EE-49F8-A9DF-61BEE2429E1D}"/>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E6D83C87-D911-4435-9CE9-DDE14E7C77F5}"/>
    <cellStyle name="Normal 5 2 2 3 3 5 2 3" xfId="12804" xr:uid="{61B08183-8E67-47DD-9DA7-91017D55D756}"/>
    <cellStyle name="Normal 5 2 2 3 3 5 3" xfId="6448" xr:uid="{00000000-0005-0000-0000-0000CE170000}"/>
    <cellStyle name="Normal 5 2 2 3 3 5 3 2" xfId="14877" xr:uid="{8BA66F82-9772-49D4-AB7F-4D339F0292FB}"/>
    <cellStyle name="Normal 5 2 2 3 3 5 4" xfId="10659" xr:uid="{119D01CF-0141-4CC5-B9C8-CF962651F970}"/>
    <cellStyle name="Normal 5 2 2 3 3 6" xfId="2576" xr:uid="{00000000-0005-0000-0000-0000CF170000}"/>
    <cellStyle name="Normal 5 2 2 3 3 6 2" xfId="6861" xr:uid="{00000000-0005-0000-0000-0000D0170000}"/>
    <cellStyle name="Normal 5 2 2 3 3 6 2 2" xfId="15290" xr:uid="{FC0DA68A-B94C-4170-BBDF-0312AC4D2983}"/>
    <cellStyle name="Normal 5 2 2 3 3 6 3" xfId="11072" xr:uid="{90D4F02B-1E6D-49C2-879B-F279489C5E5C}"/>
    <cellStyle name="Normal 5 2 2 3 3 7" xfId="4796" xr:uid="{00000000-0005-0000-0000-0000D1170000}"/>
    <cellStyle name="Normal 5 2 2 3 3 7 2" xfId="13225" xr:uid="{D8DF01C3-8B0C-4740-9264-9B6506670383}"/>
    <cellStyle name="Normal 5 2 2 3 3 8" xfId="9007" xr:uid="{E945661D-74C8-4FBD-AEF5-C038885992F7}"/>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E290C094-F563-44E3-BF9F-7EAADE510393}"/>
    <cellStyle name="Normal 5 2 2 3 4 2 3" xfId="11562" xr:uid="{00AC7B19-1A24-4E2A-B74A-C3E0445BF601}"/>
    <cellStyle name="Normal 5 2 2 3 4 3" xfId="5206" xr:uid="{00000000-0005-0000-0000-0000D5170000}"/>
    <cellStyle name="Normal 5 2 2 3 4 3 2" xfId="13635" xr:uid="{AE54CD8D-8AAC-41E2-832E-A37D567041FF}"/>
    <cellStyle name="Normal 5 2 2 3 4 4" xfId="9417" xr:uid="{F8F15413-702A-4E5B-B2B8-CC5558DE51B8}"/>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12D3290F-9964-4983-A7D8-5EFAB7AAB102}"/>
    <cellStyle name="Normal 5 2 2 3 5 2 3" xfId="11975" xr:uid="{7EF79CB0-C64B-4DAE-B727-BCE97017654D}"/>
    <cellStyle name="Normal 5 2 2 3 5 3" xfId="5619" xr:uid="{00000000-0005-0000-0000-0000D9170000}"/>
    <cellStyle name="Normal 5 2 2 3 5 3 2" xfId="14048" xr:uid="{C6DBD608-7C83-4469-9ADE-298CB911E9DF}"/>
    <cellStyle name="Normal 5 2 2 3 5 4" xfId="9830" xr:uid="{7A604E8D-DB4D-445A-9B2B-22008D5BB055}"/>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E26D9C4F-87E8-4082-AF86-104EB18EB99A}"/>
    <cellStyle name="Normal 5 2 2 3 6 2 3" xfId="12388" xr:uid="{A78E3B75-BA17-442D-BAB3-975C2513CCCB}"/>
    <cellStyle name="Normal 5 2 2 3 6 3" xfId="6032" xr:uid="{00000000-0005-0000-0000-0000DD170000}"/>
    <cellStyle name="Normal 5 2 2 3 6 3 2" xfId="14461" xr:uid="{1056C1AF-2741-4C63-BF52-3641CB385BA3}"/>
    <cellStyle name="Normal 5 2 2 3 6 4" xfId="10243" xr:uid="{DD45FCAB-2C70-4755-A0E8-FDE0498D1BF8}"/>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A368AD76-A3A6-406C-A8C8-157F3EEEE530}"/>
    <cellStyle name="Normal 5 2 2 3 7 2 3" xfId="12801" xr:uid="{DABE63B9-B152-4263-9477-003B1AFFA856}"/>
    <cellStyle name="Normal 5 2 2 3 7 3" xfId="6445" xr:uid="{00000000-0005-0000-0000-0000E1170000}"/>
    <cellStyle name="Normal 5 2 2 3 7 3 2" xfId="14874" xr:uid="{488D5042-AC08-4316-BF37-D57646DDB8B2}"/>
    <cellStyle name="Normal 5 2 2 3 7 4" xfId="10656" xr:uid="{BD1D5415-5306-4187-81CF-7C525228380D}"/>
    <cellStyle name="Normal 5 2 2 3 8" xfId="2573" xr:uid="{00000000-0005-0000-0000-0000E2170000}"/>
    <cellStyle name="Normal 5 2 2 3 8 2" xfId="6858" xr:uid="{00000000-0005-0000-0000-0000E3170000}"/>
    <cellStyle name="Normal 5 2 2 3 8 2 2" xfId="15287" xr:uid="{445E844C-E122-4DA4-8C6B-A66404090B13}"/>
    <cellStyle name="Normal 5 2 2 3 8 3" xfId="11069" xr:uid="{7AC1C59F-A6D8-4ABA-A160-962B4C0DC48B}"/>
    <cellStyle name="Normal 5 2 2 3 9" xfId="4793" xr:uid="{00000000-0005-0000-0000-0000E4170000}"/>
    <cellStyle name="Normal 5 2 2 3 9 2" xfId="13222" xr:uid="{FC8D2DBD-2832-4A24-A668-8FF2D0314557}"/>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FE68EA01-4A0A-413B-84DB-D8B5E78E5446}"/>
    <cellStyle name="Normal 5 2 2 4 2 2 2 3" xfId="11567" xr:uid="{8176240A-40D3-4074-BCE2-48F7D8B4513C}"/>
    <cellStyle name="Normal 5 2 2 4 2 2 3" xfId="5211" xr:uid="{00000000-0005-0000-0000-0000EA170000}"/>
    <cellStyle name="Normal 5 2 2 4 2 2 3 2" xfId="13640" xr:uid="{3B071E1F-826F-4E76-A8B7-C34AC4F89BA6}"/>
    <cellStyle name="Normal 5 2 2 4 2 2 4" xfId="9422" xr:uid="{6CCEBD71-DC03-4109-BCB6-7034B94CD3CE}"/>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DC4036B8-B33C-4BD9-939A-C2FE7202129F}"/>
    <cellStyle name="Normal 5 2 2 4 2 3 2 3" xfId="11980" xr:uid="{2C4D2084-152A-4406-B1F6-905100747541}"/>
    <cellStyle name="Normal 5 2 2 4 2 3 3" xfId="5624" xr:uid="{00000000-0005-0000-0000-0000EE170000}"/>
    <cellStyle name="Normal 5 2 2 4 2 3 3 2" xfId="14053" xr:uid="{71382D5C-7792-41DC-BD82-F834B20AC6FA}"/>
    <cellStyle name="Normal 5 2 2 4 2 3 4" xfId="9835" xr:uid="{2DA9D2C8-2CFA-41B8-8792-053C701666B9}"/>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3CBA50FC-4165-4EAF-A949-DB8E10546C3C}"/>
    <cellStyle name="Normal 5 2 2 4 2 4 2 3" xfId="12393" xr:uid="{312A4CF2-07AE-486A-90DD-29897A1C8596}"/>
    <cellStyle name="Normal 5 2 2 4 2 4 3" xfId="6037" xr:uid="{00000000-0005-0000-0000-0000F2170000}"/>
    <cellStyle name="Normal 5 2 2 4 2 4 3 2" xfId="14466" xr:uid="{7C36A3DB-AA65-44D9-BA67-405939405F64}"/>
    <cellStyle name="Normal 5 2 2 4 2 4 4" xfId="10248" xr:uid="{61BA4EF7-C9A0-4BC9-80E3-8A4754AF7768}"/>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4058AD62-A77F-4D4A-81D1-EFA07685344D}"/>
    <cellStyle name="Normal 5 2 2 4 2 5 2 3" xfId="12806" xr:uid="{E1F157E0-F060-4377-BF69-DAAD2007409D}"/>
    <cellStyle name="Normal 5 2 2 4 2 5 3" xfId="6450" xr:uid="{00000000-0005-0000-0000-0000F6170000}"/>
    <cellStyle name="Normal 5 2 2 4 2 5 3 2" xfId="14879" xr:uid="{ABF712F9-24F4-4A32-839D-A67834FA23AE}"/>
    <cellStyle name="Normal 5 2 2 4 2 5 4" xfId="10661" xr:uid="{C8250E8D-3699-439E-A6BC-4B5D2858DBD5}"/>
    <cellStyle name="Normal 5 2 2 4 2 6" xfId="2578" xr:uid="{00000000-0005-0000-0000-0000F7170000}"/>
    <cellStyle name="Normal 5 2 2 4 2 6 2" xfId="6863" xr:uid="{00000000-0005-0000-0000-0000F8170000}"/>
    <cellStyle name="Normal 5 2 2 4 2 6 2 2" xfId="15292" xr:uid="{5F95A5A5-2755-41D5-90AF-51278534A150}"/>
    <cellStyle name="Normal 5 2 2 4 2 6 3" xfId="11074" xr:uid="{C0385DC9-4E36-47E5-9194-94DB2CEB314C}"/>
    <cellStyle name="Normal 5 2 2 4 2 7" xfId="4798" xr:uid="{00000000-0005-0000-0000-0000F9170000}"/>
    <cellStyle name="Normal 5 2 2 4 2 7 2" xfId="13227" xr:uid="{1FA53EBE-2EEF-4233-8627-6F56DFAE3869}"/>
    <cellStyle name="Normal 5 2 2 4 2 8" xfId="9009" xr:uid="{0E7361AB-4E4A-4F66-8737-62F3DDBA58F5}"/>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496787C4-D1A8-45BB-86E6-319F74D3FB28}"/>
    <cellStyle name="Normal 5 2 2 4 3 2 3" xfId="11566" xr:uid="{49DF5209-8B81-409F-83E0-0877D9C45D61}"/>
    <cellStyle name="Normal 5 2 2 4 3 3" xfId="5210" xr:uid="{00000000-0005-0000-0000-0000FD170000}"/>
    <cellStyle name="Normal 5 2 2 4 3 3 2" xfId="13639" xr:uid="{FF3CD604-D2F7-4DEF-991D-B57E878320E2}"/>
    <cellStyle name="Normal 5 2 2 4 3 4" xfId="9421" xr:uid="{4FFE8919-4E89-4716-8247-2F2F5D46986B}"/>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1FEA81B3-1184-410A-A1FD-A7B6BAA05DB4}"/>
    <cellStyle name="Normal 5 2 2 4 4 2 3" xfId="11979" xr:uid="{EF229BD9-B1FE-46E0-9FA9-7F8C177EF0A2}"/>
    <cellStyle name="Normal 5 2 2 4 4 3" xfId="5623" xr:uid="{00000000-0005-0000-0000-000001180000}"/>
    <cellStyle name="Normal 5 2 2 4 4 3 2" xfId="14052" xr:uid="{24E135E4-4C2A-4BA3-A06E-8C5A314251AD}"/>
    <cellStyle name="Normal 5 2 2 4 4 4" xfId="9834" xr:uid="{9B8F5732-EBF9-4C1A-BCC5-3FAEC73A3391}"/>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7BCEDD90-3E6E-4B69-8915-9DBB1CE21DD6}"/>
    <cellStyle name="Normal 5 2 2 4 5 2 3" xfId="12392" xr:uid="{7A05F4C6-74F8-4B6C-959E-9A6ABB823285}"/>
    <cellStyle name="Normal 5 2 2 4 5 3" xfId="6036" xr:uid="{00000000-0005-0000-0000-000005180000}"/>
    <cellStyle name="Normal 5 2 2 4 5 3 2" xfId="14465" xr:uid="{214E2CEA-7DC0-442B-98CA-C83C3C0FBD88}"/>
    <cellStyle name="Normal 5 2 2 4 5 4" xfId="10247" xr:uid="{2C26C217-C71A-4CC5-9FF2-59FABF40C5DE}"/>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778168A9-DA82-47F7-9E50-8ADB8384BE91}"/>
    <cellStyle name="Normal 5 2 2 4 6 2 3" xfId="12805" xr:uid="{C2050EE0-0540-4A32-BD7E-5BB95176132D}"/>
    <cellStyle name="Normal 5 2 2 4 6 3" xfId="6449" xr:uid="{00000000-0005-0000-0000-000009180000}"/>
    <cellStyle name="Normal 5 2 2 4 6 3 2" xfId="14878" xr:uid="{8912D717-A0A9-4CF9-966F-200A61785C7C}"/>
    <cellStyle name="Normal 5 2 2 4 6 4" xfId="10660" xr:uid="{E24A97DF-EB1C-45C5-9789-9F93730874EB}"/>
    <cellStyle name="Normal 5 2 2 4 7" xfId="2577" xr:uid="{00000000-0005-0000-0000-00000A180000}"/>
    <cellStyle name="Normal 5 2 2 4 7 2" xfId="6862" xr:uid="{00000000-0005-0000-0000-00000B180000}"/>
    <cellStyle name="Normal 5 2 2 4 7 2 2" xfId="15291" xr:uid="{CFB95BBF-91F8-4F3D-85F4-810E5D84371C}"/>
    <cellStyle name="Normal 5 2 2 4 7 3" xfId="11073" xr:uid="{DC446F46-DDEB-42FD-93DD-0FE6D6909B84}"/>
    <cellStyle name="Normal 5 2 2 4 8" xfId="4797" xr:uid="{00000000-0005-0000-0000-00000C180000}"/>
    <cellStyle name="Normal 5 2 2 4 8 2" xfId="13226" xr:uid="{5B5DFF55-5CA5-4A69-909F-EA9D595FA2B5}"/>
    <cellStyle name="Normal 5 2 2 4 9" xfId="9008" xr:uid="{8C7FA2C0-1F8D-4DA6-91B1-8294113C4CFB}"/>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B961B887-23E9-4B13-8C84-E454C8240A83}"/>
    <cellStyle name="Normal 5 2 2 5 2 2 3" xfId="11568" xr:uid="{74DFAEE4-9D7F-4802-9E93-EE98512DF565}"/>
    <cellStyle name="Normal 5 2 2 5 2 3" xfId="5212" xr:uid="{00000000-0005-0000-0000-000011180000}"/>
    <cellStyle name="Normal 5 2 2 5 2 3 2" xfId="13641" xr:uid="{BE61609D-AC68-4444-9830-182746188230}"/>
    <cellStyle name="Normal 5 2 2 5 2 4" xfId="9423" xr:uid="{F5E4A2DF-AD9C-432C-9E9F-929FC4AE8F2D}"/>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712BA95E-8E7A-44C5-8A1D-020552200CBC}"/>
    <cellStyle name="Normal 5 2 2 5 3 2 3" xfId="11981" xr:uid="{CD671DD0-9564-4501-BE94-46344429D473}"/>
    <cellStyle name="Normal 5 2 2 5 3 3" xfId="5625" xr:uid="{00000000-0005-0000-0000-000015180000}"/>
    <cellStyle name="Normal 5 2 2 5 3 3 2" xfId="14054" xr:uid="{4BC38EDF-EED8-4B48-8876-C6D02D092ADE}"/>
    <cellStyle name="Normal 5 2 2 5 3 4" xfId="9836" xr:uid="{238427C6-541D-4763-B620-1F7A168A63CD}"/>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2D5F41B5-1AF9-4802-B5D9-7B9FD44062CD}"/>
    <cellStyle name="Normal 5 2 2 5 4 2 3" xfId="12394" xr:uid="{DF3B5F57-2A54-4FCB-AD62-2ED316A2F908}"/>
    <cellStyle name="Normal 5 2 2 5 4 3" xfId="6038" xr:uid="{00000000-0005-0000-0000-000019180000}"/>
    <cellStyle name="Normal 5 2 2 5 4 3 2" xfId="14467" xr:uid="{E2D6A4A6-CA9B-48A1-A8FE-D8616B11A7AA}"/>
    <cellStyle name="Normal 5 2 2 5 4 4" xfId="10249" xr:uid="{E816C079-2FF2-4A07-AEE9-07997D15B976}"/>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F5BAB55B-82BF-4DAF-B62A-E47188D0AC4C}"/>
    <cellStyle name="Normal 5 2 2 5 5 2 3" xfId="12807" xr:uid="{192597C7-143B-4290-BA61-7698C7CA31B7}"/>
    <cellStyle name="Normal 5 2 2 5 5 3" xfId="6451" xr:uid="{00000000-0005-0000-0000-00001D180000}"/>
    <cellStyle name="Normal 5 2 2 5 5 3 2" xfId="14880" xr:uid="{87B8D777-6BD0-40B8-966B-27AC44F93FDA}"/>
    <cellStyle name="Normal 5 2 2 5 5 4" xfId="10662" xr:uid="{A93BE5B7-EFD9-4750-8A4D-DB37A7BF19C6}"/>
    <cellStyle name="Normal 5 2 2 5 6" xfId="2579" xr:uid="{00000000-0005-0000-0000-00001E180000}"/>
    <cellStyle name="Normal 5 2 2 5 6 2" xfId="6864" xr:uid="{00000000-0005-0000-0000-00001F180000}"/>
    <cellStyle name="Normal 5 2 2 5 6 2 2" xfId="15293" xr:uid="{70C5F54D-A1CD-4893-BF96-1AE1EF9E0BA0}"/>
    <cellStyle name="Normal 5 2 2 5 6 3" xfId="11075" xr:uid="{665F95A6-A54D-40D2-B5FB-4731569B1A37}"/>
    <cellStyle name="Normal 5 2 2 5 7" xfId="4799" xr:uid="{00000000-0005-0000-0000-000020180000}"/>
    <cellStyle name="Normal 5 2 2 5 7 2" xfId="13228" xr:uid="{4198AA95-A510-4C80-85CC-F1C8E8168D3E}"/>
    <cellStyle name="Normal 5 2 2 5 8" xfId="9010" xr:uid="{88294D1F-62DB-4E08-A0DF-610E59DB54DC}"/>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B64B6BDF-ADDC-4FC7-9FA2-C6FFDAB435DD}"/>
    <cellStyle name="Normal 5 2 2 6 2 3" xfId="11553" xr:uid="{4E532767-C3C6-4DFA-B21B-B1F97FDFC153}"/>
    <cellStyle name="Normal 5 2 2 6 3" xfId="5197" xr:uid="{00000000-0005-0000-0000-000024180000}"/>
    <cellStyle name="Normal 5 2 2 6 3 2" xfId="13626" xr:uid="{269D009F-9E80-4C73-9D34-C1C48A759F50}"/>
    <cellStyle name="Normal 5 2 2 6 4" xfId="9408" xr:uid="{70C64F2B-D285-40C0-9F26-9E67CF6C38CC}"/>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94BA6EE0-5250-49F6-95A8-413966A6FDB9}"/>
    <cellStyle name="Normal 5 2 2 7 2 3" xfId="11966" xr:uid="{81B6C87D-B43E-4D06-827E-73196E60D508}"/>
    <cellStyle name="Normal 5 2 2 7 3" xfId="5610" xr:uid="{00000000-0005-0000-0000-000028180000}"/>
    <cellStyle name="Normal 5 2 2 7 3 2" xfId="14039" xr:uid="{0D1464C1-72E4-4C6D-81EA-F307ADAB95DD}"/>
    <cellStyle name="Normal 5 2 2 7 4" xfId="9821" xr:uid="{C7EC3AFE-E240-4C73-B4B8-07F0BD4324D2}"/>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BC44A53D-5594-4BEE-BCD6-DFDD9E756712}"/>
    <cellStyle name="Normal 5 2 2 8 2 3" xfId="12379" xr:uid="{0765BC37-283E-4047-817F-8273C7C83A95}"/>
    <cellStyle name="Normal 5 2 2 8 3" xfId="6023" xr:uid="{00000000-0005-0000-0000-00002C180000}"/>
    <cellStyle name="Normal 5 2 2 8 3 2" xfId="14452" xr:uid="{8BFCBE6E-0C31-4FCD-81C9-EC659528324A}"/>
    <cellStyle name="Normal 5 2 2 8 4" xfId="10234" xr:uid="{631A1006-34B9-4FDA-B2F5-6528EE1868CB}"/>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0F3BC9EA-0720-4AFC-A707-C35B8BBA634E}"/>
    <cellStyle name="Normal 5 2 2 9 2 3" xfId="12792" xr:uid="{B96988AE-968E-4DAC-B92D-1F6A093DB183}"/>
    <cellStyle name="Normal 5 2 2 9 3" xfId="6436" xr:uid="{00000000-0005-0000-0000-000030180000}"/>
    <cellStyle name="Normal 5 2 2 9 3 2" xfId="14865" xr:uid="{DE52E22B-C429-49B1-A939-A312C69BD6D9}"/>
    <cellStyle name="Normal 5 2 2 9 4" xfId="10647" xr:uid="{40485BD4-64D6-4C1A-8666-78EB09995389}"/>
    <cellStyle name="Normal 5 2 3" xfId="424" xr:uid="{00000000-0005-0000-0000-000031180000}"/>
    <cellStyle name="Normal 5 2 3 10" xfId="4800" xr:uid="{00000000-0005-0000-0000-000032180000}"/>
    <cellStyle name="Normal 5 2 3 10 2" xfId="13229" xr:uid="{954A8103-D0DE-4E2E-AD4E-DCD4229D294F}"/>
    <cellStyle name="Normal 5 2 3 11" xfId="9011" xr:uid="{E82524C1-4E95-4AC6-BB71-07FE778F5590}"/>
    <cellStyle name="Normal 5 2 3 2" xfId="425" xr:uid="{00000000-0005-0000-0000-000033180000}"/>
    <cellStyle name="Normal 5 2 3 2 10" xfId="9012" xr:uid="{45EC3D5A-7123-4EC8-BBE1-3A66E75BBDDF}"/>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9849E8BB-E6D2-44BE-BC77-DF98B8593FDA}"/>
    <cellStyle name="Normal 5 2 3 2 2 2 2 2 3" xfId="11572" xr:uid="{FAED6521-B33F-46AD-AE99-B9CFC5E98C11}"/>
    <cellStyle name="Normal 5 2 3 2 2 2 2 3" xfId="5216" xr:uid="{00000000-0005-0000-0000-000039180000}"/>
    <cellStyle name="Normal 5 2 3 2 2 2 2 3 2" xfId="13645" xr:uid="{6A33E41D-71B6-4E07-89F7-DBB52DA6A6C4}"/>
    <cellStyle name="Normal 5 2 3 2 2 2 2 4" xfId="9427" xr:uid="{4E22074E-A645-4BFF-AABF-C33246BF1A2D}"/>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8164E681-5F8B-4334-A4FE-5CE260307ADB}"/>
    <cellStyle name="Normal 5 2 3 2 2 2 3 2 3" xfId="11985" xr:uid="{D0359641-2CB8-401F-9F86-2396E78C3E71}"/>
    <cellStyle name="Normal 5 2 3 2 2 2 3 3" xfId="5629" xr:uid="{00000000-0005-0000-0000-00003D180000}"/>
    <cellStyle name="Normal 5 2 3 2 2 2 3 3 2" xfId="14058" xr:uid="{D5B92ACF-D9FD-4F43-8DA7-FCA0995B60BA}"/>
    <cellStyle name="Normal 5 2 3 2 2 2 3 4" xfId="9840" xr:uid="{1D7B8BE8-888F-48CF-A75D-42260B5AFBC9}"/>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505EF9B0-4376-4D80-8771-D4CFE98D31B8}"/>
    <cellStyle name="Normal 5 2 3 2 2 2 4 2 3" xfId="12398" xr:uid="{5940C77D-2305-4421-B289-095994A397F0}"/>
    <cellStyle name="Normal 5 2 3 2 2 2 4 3" xfId="6042" xr:uid="{00000000-0005-0000-0000-000041180000}"/>
    <cellStyle name="Normal 5 2 3 2 2 2 4 3 2" xfId="14471" xr:uid="{177E7D44-AF42-48F4-BB23-2A3927C208B2}"/>
    <cellStyle name="Normal 5 2 3 2 2 2 4 4" xfId="10253" xr:uid="{2F720A26-3BF9-40A4-951D-30BE6CCB140C}"/>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F2D6C462-D2D5-43CC-90EE-CDABB0E82DD1}"/>
    <cellStyle name="Normal 5 2 3 2 2 2 5 2 3" xfId="12811" xr:uid="{211A7E44-C7E9-451D-89FA-5247E8785471}"/>
    <cellStyle name="Normal 5 2 3 2 2 2 5 3" xfId="6455" xr:uid="{00000000-0005-0000-0000-000045180000}"/>
    <cellStyle name="Normal 5 2 3 2 2 2 5 3 2" xfId="14884" xr:uid="{1FB81B7A-6F82-4DE6-ABED-9CCEB54437FB}"/>
    <cellStyle name="Normal 5 2 3 2 2 2 5 4" xfId="10666" xr:uid="{F23B5939-1ADA-4BF0-A635-DA10170E7863}"/>
    <cellStyle name="Normal 5 2 3 2 2 2 6" xfId="2583" xr:uid="{00000000-0005-0000-0000-000046180000}"/>
    <cellStyle name="Normal 5 2 3 2 2 2 6 2" xfId="6868" xr:uid="{00000000-0005-0000-0000-000047180000}"/>
    <cellStyle name="Normal 5 2 3 2 2 2 6 2 2" xfId="15297" xr:uid="{5602A7CB-2931-4283-969D-502A681A1178}"/>
    <cellStyle name="Normal 5 2 3 2 2 2 6 3" xfId="11079" xr:uid="{A00DD5F4-DB10-4FDF-83ED-662AF2BE012E}"/>
    <cellStyle name="Normal 5 2 3 2 2 2 7" xfId="4803" xr:uid="{00000000-0005-0000-0000-000048180000}"/>
    <cellStyle name="Normal 5 2 3 2 2 2 7 2" xfId="13232" xr:uid="{A6478870-3F06-4C45-9635-4B9550798534}"/>
    <cellStyle name="Normal 5 2 3 2 2 2 8" xfId="9014" xr:uid="{EBC154C9-782A-469C-9975-D915DCBB3E4E}"/>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34A4A6A3-D8EF-4BF2-A883-108730CAB70D}"/>
    <cellStyle name="Normal 5 2 3 2 2 3 2 3" xfId="11571" xr:uid="{549F6B25-4A5E-4909-A19B-28FCC13B392B}"/>
    <cellStyle name="Normal 5 2 3 2 2 3 3" xfId="5215" xr:uid="{00000000-0005-0000-0000-00004C180000}"/>
    <cellStyle name="Normal 5 2 3 2 2 3 3 2" xfId="13644" xr:uid="{CEB0B0DC-4F3C-4E20-8B59-EFB158143897}"/>
    <cellStyle name="Normal 5 2 3 2 2 3 4" xfId="9426" xr:uid="{F39B4DDD-3CFC-48A2-8959-74BEF6C044AA}"/>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BA4B345C-0C50-409F-ADC6-468E92048C0A}"/>
    <cellStyle name="Normal 5 2 3 2 2 4 2 3" xfId="11984" xr:uid="{F9A4A141-CC79-4E6D-AF3C-5D4879CB8DD4}"/>
    <cellStyle name="Normal 5 2 3 2 2 4 3" xfId="5628" xr:uid="{00000000-0005-0000-0000-000050180000}"/>
    <cellStyle name="Normal 5 2 3 2 2 4 3 2" xfId="14057" xr:uid="{510BFD8F-C70B-4704-A354-B81FCD458CA5}"/>
    <cellStyle name="Normal 5 2 3 2 2 4 4" xfId="9839" xr:uid="{A22D1C23-D04B-44B2-A414-91D1E79DF0EC}"/>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6656F478-9906-4D80-85A2-03483A73D19B}"/>
    <cellStyle name="Normal 5 2 3 2 2 5 2 3" xfId="12397" xr:uid="{510FBE19-D7F2-4562-AB19-54624D0FA646}"/>
    <cellStyle name="Normal 5 2 3 2 2 5 3" xfId="6041" xr:uid="{00000000-0005-0000-0000-000054180000}"/>
    <cellStyle name="Normal 5 2 3 2 2 5 3 2" xfId="14470" xr:uid="{6FA44143-32A3-4A57-8B4B-DDFC9D723156}"/>
    <cellStyle name="Normal 5 2 3 2 2 5 4" xfId="10252" xr:uid="{85FF7373-C3D1-4EBE-9850-5AADB16D60FA}"/>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24619C96-3147-4C44-88C7-1804C50A12BA}"/>
    <cellStyle name="Normal 5 2 3 2 2 6 2 3" xfId="12810" xr:uid="{772F8C1F-1000-4D4E-ACC6-A0F93D418680}"/>
    <cellStyle name="Normal 5 2 3 2 2 6 3" xfId="6454" xr:uid="{00000000-0005-0000-0000-000058180000}"/>
    <cellStyle name="Normal 5 2 3 2 2 6 3 2" xfId="14883" xr:uid="{A89D17B6-DD8B-4F70-ABB4-51041CAC5B2A}"/>
    <cellStyle name="Normal 5 2 3 2 2 6 4" xfId="10665" xr:uid="{328C18E6-6F02-41EA-95B7-3AD88F90C1C5}"/>
    <cellStyle name="Normal 5 2 3 2 2 7" xfId="2582" xr:uid="{00000000-0005-0000-0000-000059180000}"/>
    <cellStyle name="Normal 5 2 3 2 2 7 2" xfId="6867" xr:uid="{00000000-0005-0000-0000-00005A180000}"/>
    <cellStyle name="Normal 5 2 3 2 2 7 2 2" xfId="15296" xr:uid="{13C967AB-2B7E-405E-865A-C29C720D0835}"/>
    <cellStyle name="Normal 5 2 3 2 2 7 3" xfId="11078" xr:uid="{9EFDC7F4-CFF7-4804-840D-BDBECA8CCD53}"/>
    <cellStyle name="Normal 5 2 3 2 2 8" xfId="4802" xr:uid="{00000000-0005-0000-0000-00005B180000}"/>
    <cellStyle name="Normal 5 2 3 2 2 8 2" xfId="13231" xr:uid="{BCCA88DD-A701-4434-9E21-D702F04224C4}"/>
    <cellStyle name="Normal 5 2 3 2 2 9" xfId="9013" xr:uid="{2E8DE291-F3DA-4C34-9A1D-66B097977F63}"/>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6E266B11-9439-4F32-AFF3-A6CAB8EDA3C7}"/>
    <cellStyle name="Normal 5 2 3 2 3 2 2 3" xfId="11573" xr:uid="{BE96AA0F-CA0C-49DB-9437-0E12567C2C58}"/>
    <cellStyle name="Normal 5 2 3 2 3 2 3" xfId="5217" xr:uid="{00000000-0005-0000-0000-000060180000}"/>
    <cellStyle name="Normal 5 2 3 2 3 2 3 2" xfId="13646" xr:uid="{4EB5D011-43F4-4D5E-B7B4-221B3F6AD7FB}"/>
    <cellStyle name="Normal 5 2 3 2 3 2 4" xfId="9428" xr:uid="{83CF44F5-D615-44DE-9562-0735F11CE6F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CA9F1805-0A34-4EED-9D5A-43836D7F3EDF}"/>
    <cellStyle name="Normal 5 2 3 2 3 3 2 3" xfId="11986" xr:uid="{866DC4CE-87E2-42CE-B32D-7B652BBA2954}"/>
    <cellStyle name="Normal 5 2 3 2 3 3 3" xfId="5630" xr:uid="{00000000-0005-0000-0000-000064180000}"/>
    <cellStyle name="Normal 5 2 3 2 3 3 3 2" xfId="14059" xr:uid="{B6C90C73-DA2E-4E81-BB80-2A5E5ABB3272}"/>
    <cellStyle name="Normal 5 2 3 2 3 3 4" xfId="9841" xr:uid="{CF5F2CAE-5C15-4DAC-8A95-B1687DF74BD3}"/>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4516424D-D1A2-4FFB-A202-0F836B0AA70F}"/>
    <cellStyle name="Normal 5 2 3 2 3 4 2 3" xfId="12399" xr:uid="{0E79D812-1D68-4003-B324-2EE853E66D3C}"/>
    <cellStyle name="Normal 5 2 3 2 3 4 3" xfId="6043" xr:uid="{00000000-0005-0000-0000-000068180000}"/>
    <cellStyle name="Normal 5 2 3 2 3 4 3 2" xfId="14472" xr:uid="{3E4549EB-A61D-4D2C-9A95-EECEE451623B}"/>
    <cellStyle name="Normal 5 2 3 2 3 4 4" xfId="10254" xr:uid="{85BA8FC5-7758-43D5-BF3B-5A41096E35CE}"/>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37C6CD64-CACB-4372-B25D-BE4C349BA6C3}"/>
    <cellStyle name="Normal 5 2 3 2 3 5 2 3" xfId="12812" xr:uid="{F6ABA5D3-F42A-4016-A564-1A430D5EEE01}"/>
    <cellStyle name="Normal 5 2 3 2 3 5 3" xfId="6456" xr:uid="{00000000-0005-0000-0000-00006C180000}"/>
    <cellStyle name="Normal 5 2 3 2 3 5 3 2" xfId="14885" xr:uid="{C2D66AC9-C0CA-49CB-9936-EADD168F08D8}"/>
    <cellStyle name="Normal 5 2 3 2 3 5 4" xfId="10667" xr:uid="{B105D70A-1FC1-4860-9D9A-99F09DA54EA9}"/>
    <cellStyle name="Normal 5 2 3 2 3 6" xfId="2584" xr:uid="{00000000-0005-0000-0000-00006D180000}"/>
    <cellStyle name="Normal 5 2 3 2 3 6 2" xfId="6869" xr:uid="{00000000-0005-0000-0000-00006E180000}"/>
    <cellStyle name="Normal 5 2 3 2 3 6 2 2" xfId="15298" xr:uid="{D2C25174-2F7F-44D1-A780-1B765818170F}"/>
    <cellStyle name="Normal 5 2 3 2 3 6 3" xfId="11080" xr:uid="{C5CF6DFF-25E9-4A7C-B3EC-3D0DFE2413AE}"/>
    <cellStyle name="Normal 5 2 3 2 3 7" xfId="4804" xr:uid="{00000000-0005-0000-0000-00006F180000}"/>
    <cellStyle name="Normal 5 2 3 2 3 7 2" xfId="13233" xr:uid="{3B8C07B5-D8CE-407C-98D3-C06ADAD25536}"/>
    <cellStyle name="Normal 5 2 3 2 3 8" xfId="9015" xr:uid="{66F72F69-74D1-49C5-ADF5-F0D4834029D8}"/>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EF14CE0C-C14B-4354-9062-75CAF670CB36}"/>
    <cellStyle name="Normal 5 2 3 2 4 2 3" xfId="11570" xr:uid="{4461E5A4-0FEF-4FB8-82C7-EC06B18C292F}"/>
    <cellStyle name="Normal 5 2 3 2 4 3" xfId="5214" xr:uid="{00000000-0005-0000-0000-000073180000}"/>
    <cellStyle name="Normal 5 2 3 2 4 3 2" xfId="13643" xr:uid="{73D24694-CFB6-43D6-9515-43538EB8E546}"/>
    <cellStyle name="Normal 5 2 3 2 4 4" xfId="9425" xr:uid="{1D126A61-A839-4D08-B201-9440D2F8E3CE}"/>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9EF4223B-679D-4716-AB7D-340230F7516E}"/>
    <cellStyle name="Normal 5 2 3 2 5 2 3" xfId="11983" xr:uid="{42517CB2-6F42-4A45-8967-6B163059F17D}"/>
    <cellStyle name="Normal 5 2 3 2 5 3" xfId="5627" xr:uid="{00000000-0005-0000-0000-000077180000}"/>
    <cellStyle name="Normal 5 2 3 2 5 3 2" xfId="14056" xr:uid="{DF29C6F8-5D6F-48C7-84E9-AF00EBF999D6}"/>
    <cellStyle name="Normal 5 2 3 2 5 4" xfId="9838" xr:uid="{09DBD323-E1E0-4443-994D-16EF5C592489}"/>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927DFA1A-F8D7-4A76-89C6-4E853480D4AC}"/>
    <cellStyle name="Normal 5 2 3 2 6 2 3" xfId="12396" xr:uid="{83C22B88-FA46-4CEF-B017-FCC4E6D6FFAC}"/>
    <cellStyle name="Normal 5 2 3 2 6 3" xfId="6040" xr:uid="{00000000-0005-0000-0000-00007B180000}"/>
    <cellStyle name="Normal 5 2 3 2 6 3 2" xfId="14469" xr:uid="{5E6E78C6-95D1-46ED-BACB-DCFACC3659D1}"/>
    <cellStyle name="Normal 5 2 3 2 6 4" xfId="10251" xr:uid="{840BE348-C6D4-4C76-9C3E-FDAA4CB16869}"/>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327F871C-D0F5-43BC-91C3-6B92586C0908}"/>
    <cellStyle name="Normal 5 2 3 2 7 2 3" xfId="12809" xr:uid="{2F10ACFF-8643-4B6C-8D94-9238C5F5461B}"/>
    <cellStyle name="Normal 5 2 3 2 7 3" xfId="6453" xr:uid="{00000000-0005-0000-0000-00007F180000}"/>
    <cellStyle name="Normal 5 2 3 2 7 3 2" xfId="14882" xr:uid="{0E481224-F13D-49D2-BB49-24D8FDB50BAC}"/>
    <cellStyle name="Normal 5 2 3 2 7 4" xfId="10664" xr:uid="{BF7D4CB3-137A-40A0-B93B-DFD6334151B6}"/>
    <cellStyle name="Normal 5 2 3 2 8" xfId="2581" xr:uid="{00000000-0005-0000-0000-000080180000}"/>
    <cellStyle name="Normal 5 2 3 2 8 2" xfId="6866" xr:uid="{00000000-0005-0000-0000-000081180000}"/>
    <cellStyle name="Normal 5 2 3 2 8 2 2" xfId="15295" xr:uid="{02C04D38-9001-46A7-BA62-072F43B2A376}"/>
    <cellStyle name="Normal 5 2 3 2 8 3" xfId="11077" xr:uid="{8E890E34-1EB2-45CD-B380-301F61749AB1}"/>
    <cellStyle name="Normal 5 2 3 2 9" xfId="4801" xr:uid="{00000000-0005-0000-0000-000082180000}"/>
    <cellStyle name="Normal 5 2 3 2 9 2" xfId="13230" xr:uid="{94791894-FA71-4AF3-9C06-153CA4DF53CE}"/>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1C534339-1491-4DEE-B19E-B7BCA4A44B31}"/>
    <cellStyle name="Normal 5 2 3 3 2 2 2 3" xfId="11575" xr:uid="{FD5C6BBF-464A-4EF0-BC93-11C08ECDDF05}"/>
    <cellStyle name="Normal 5 2 3 3 2 2 3" xfId="5219" xr:uid="{00000000-0005-0000-0000-000088180000}"/>
    <cellStyle name="Normal 5 2 3 3 2 2 3 2" xfId="13648" xr:uid="{357E916C-EA1A-4DCC-9ACE-55D03FDAFDB9}"/>
    <cellStyle name="Normal 5 2 3 3 2 2 4" xfId="9430" xr:uid="{DDFD9F47-4F32-438A-BB9A-CEA4DCABCBB1}"/>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CE396D99-5413-4F97-A798-CC89AA19E8CF}"/>
    <cellStyle name="Normal 5 2 3 3 2 3 2 3" xfId="11988" xr:uid="{B1A2B073-C28E-4909-A0E2-F2B176D28827}"/>
    <cellStyle name="Normal 5 2 3 3 2 3 3" xfId="5632" xr:uid="{00000000-0005-0000-0000-00008C180000}"/>
    <cellStyle name="Normal 5 2 3 3 2 3 3 2" xfId="14061" xr:uid="{DC61FED0-A112-4AE4-B986-C719674D9E2C}"/>
    <cellStyle name="Normal 5 2 3 3 2 3 4" xfId="9843" xr:uid="{E5F5C4DF-329A-42FA-8215-093A821A1524}"/>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1533B5F1-F3D1-4F99-8F00-2EE82ACE2104}"/>
    <cellStyle name="Normal 5 2 3 3 2 4 2 3" xfId="12401" xr:uid="{6B580708-7240-490A-B4ED-74827A7422B4}"/>
    <cellStyle name="Normal 5 2 3 3 2 4 3" xfId="6045" xr:uid="{00000000-0005-0000-0000-000090180000}"/>
    <cellStyle name="Normal 5 2 3 3 2 4 3 2" xfId="14474" xr:uid="{45630A3E-39BC-4C0A-8526-7290740A8461}"/>
    <cellStyle name="Normal 5 2 3 3 2 4 4" xfId="10256" xr:uid="{78B5CEC5-C429-491B-8F7D-352BE7B730DF}"/>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F7CED45F-7C5E-46C8-888C-A2FB47473144}"/>
    <cellStyle name="Normal 5 2 3 3 2 5 2 3" xfId="12814" xr:uid="{3132C7F0-1DA7-4BA7-8E0C-58051A9155E4}"/>
    <cellStyle name="Normal 5 2 3 3 2 5 3" xfId="6458" xr:uid="{00000000-0005-0000-0000-000094180000}"/>
    <cellStyle name="Normal 5 2 3 3 2 5 3 2" xfId="14887" xr:uid="{AF960F70-22A5-46AA-848C-3CE67436F12A}"/>
    <cellStyle name="Normal 5 2 3 3 2 5 4" xfId="10669" xr:uid="{2F62F087-4C22-45EE-9C66-00260C947322}"/>
    <cellStyle name="Normal 5 2 3 3 2 6" xfId="2586" xr:uid="{00000000-0005-0000-0000-000095180000}"/>
    <cellStyle name="Normal 5 2 3 3 2 6 2" xfId="6871" xr:uid="{00000000-0005-0000-0000-000096180000}"/>
    <cellStyle name="Normal 5 2 3 3 2 6 2 2" xfId="15300" xr:uid="{A8D14E78-9617-48F2-A122-9FB39A9A5DF9}"/>
    <cellStyle name="Normal 5 2 3 3 2 6 3" xfId="11082" xr:uid="{A6E86F6F-7EB6-45FA-94E4-E8B71A7A84F9}"/>
    <cellStyle name="Normal 5 2 3 3 2 7" xfId="4806" xr:uid="{00000000-0005-0000-0000-000097180000}"/>
    <cellStyle name="Normal 5 2 3 3 2 7 2" xfId="13235" xr:uid="{8BD408F6-1A9E-49E9-97FA-E8FD2AA1EA84}"/>
    <cellStyle name="Normal 5 2 3 3 2 8" xfId="9017" xr:uid="{EBAB00BC-07F3-4D3A-A92B-38BD30C47D1A}"/>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150A1341-344E-4BDA-93EF-69D5583676FF}"/>
    <cellStyle name="Normal 5 2 3 3 3 2 3" xfId="11574" xr:uid="{C248F180-0627-4800-ACFF-9D44AA24F98A}"/>
    <cellStyle name="Normal 5 2 3 3 3 3" xfId="5218" xr:uid="{00000000-0005-0000-0000-00009B180000}"/>
    <cellStyle name="Normal 5 2 3 3 3 3 2" xfId="13647" xr:uid="{F03FA284-0442-4806-AA75-1F86A77CE912}"/>
    <cellStyle name="Normal 5 2 3 3 3 4" xfId="9429" xr:uid="{0383E6F5-6CB3-4E00-8E3B-AC20C6533E77}"/>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C1F59637-0EBE-4783-B8CA-CB1E8BB5B45C}"/>
    <cellStyle name="Normal 5 2 3 3 4 2 3" xfId="11987" xr:uid="{E4CAEBB4-4C85-4E3E-AEEC-845C2025E85B}"/>
    <cellStyle name="Normal 5 2 3 3 4 3" xfId="5631" xr:uid="{00000000-0005-0000-0000-00009F180000}"/>
    <cellStyle name="Normal 5 2 3 3 4 3 2" xfId="14060" xr:uid="{5327510D-3DE4-4B54-8C61-E81166201F99}"/>
    <cellStyle name="Normal 5 2 3 3 4 4" xfId="9842" xr:uid="{9D922370-E953-4632-B68D-816EA177CC4B}"/>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AF16463F-13D1-4A9E-B935-F74DCC9A3E2A}"/>
    <cellStyle name="Normal 5 2 3 3 5 2 3" xfId="12400" xr:uid="{FB44BB99-83F2-4554-B836-3BD5CDAB7097}"/>
    <cellStyle name="Normal 5 2 3 3 5 3" xfId="6044" xr:uid="{00000000-0005-0000-0000-0000A3180000}"/>
    <cellStyle name="Normal 5 2 3 3 5 3 2" xfId="14473" xr:uid="{14A6B1C1-7B9E-4AED-9FB4-008AC63095FA}"/>
    <cellStyle name="Normal 5 2 3 3 5 4" xfId="10255" xr:uid="{0F73B29B-E6A0-4B81-850B-DFD2F5EC8640}"/>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305EA319-7E8A-44C3-956B-7B48EBCBFA5E}"/>
    <cellStyle name="Normal 5 2 3 3 6 2 3" xfId="12813" xr:uid="{536FDB0D-E9F3-4BBA-86F9-020A4B02215C}"/>
    <cellStyle name="Normal 5 2 3 3 6 3" xfId="6457" xr:uid="{00000000-0005-0000-0000-0000A7180000}"/>
    <cellStyle name="Normal 5 2 3 3 6 3 2" xfId="14886" xr:uid="{47FC4638-B07D-42EA-B8B9-58D3AECE6D57}"/>
    <cellStyle name="Normal 5 2 3 3 6 4" xfId="10668" xr:uid="{4FF641D4-4DA0-40CD-98DE-3F886F4F6F86}"/>
    <cellStyle name="Normal 5 2 3 3 7" xfId="2585" xr:uid="{00000000-0005-0000-0000-0000A8180000}"/>
    <cellStyle name="Normal 5 2 3 3 7 2" xfId="6870" xr:uid="{00000000-0005-0000-0000-0000A9180000}"/>
    <cellStyle name="Normal 5 2 3 3 7 2 2" xfId="15299" xr:uid="{238C5C5E-4729-47EB-94BC-E65117F35DC2}"/>
    <cellStyle name="Normal 5 2 3 3 7 3" xfId="11081" xr:uid="{6842E1E3-4C17-49A6-81AE-4A96795465C5}"/>
    <cellStyle name="Normal 5 2 3 3 8" xfId="4805" xr:uid="{00000000-0005-0000-0000-0000AA180000}"/>
    <cellStyle name="Normal 5 2 3 3 8 2" xfId="13234" xr:uid="{5ACE12B9-4294-4AB0-BA94-051299618FA7}"/>
    <cellStyle name="Normal 5 2 3 3 9" xfId="9016" xr:uid="{6CB4DC7D-3092-48BD-8EBF-BB44AABCA4F3}"/>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E7C3D11F-CB8C-4958-BE36-931248AB4CCD}"/>
    <cellStyle name="Normal 5 2 3 4 2 2 3" xfId="11576" xr:uid="{32E1F259-25D5-4C64-8639-2B97E2D10B96}"/>
    <cellStyle name="Normal 5 2 3 4 2 3" xfId="5220" xr:uid="{00000000-0005-0000-0000-0000AF180000}"/>
    <cellStyle name="Normal 5 2 3 4 2 3 2" xfId="13649" xr:uid="{B5A3374C-1F41-4E83-9CE2-18E966D95066}"/>
    <cellStyle name="Normal 5 2 3 4 2 4" xfId="9431" xr:uid="{F7BB0C28-6BA7-4659-A84A-DEEBC77503DE}"/>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7E767D7C-B4C9-44DF-B876-670F9E77F610}"/>
    <cellStyle name="Normal 5 2 3 4 3 2 3" xfId="11989" xr:uid="{BB58538E-3600-4A27-BD6A-D11037693A8D}"/>
    <cellStyle name="Normal 5 2 3 4 3 3" xfId="5633" xr:uid="{00000000-0005-0000-0000-0000B3180000}"/>
    <cellStyle name="Normal 5 2 3 4 3 3 2" xfId="14062" xr:uid="{42B9A07B-D0CB-4E31-9B48-AC2DB40F4248}"/>
    <cellStyle name="Normal 5 2 3 4 3 4" xfId="9844" xr:uid="{39C7BF63-657B-44C1-82BB-BB48AFD14808}"/>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4D8346D9-6F78-41B6-AFB6-348008C0C5F3}"/>
    <cellStyle name="Normal 5 2 3 4 4 2 3" xfId="12402" xr:uid="{12A0986E-1D25-41CF-907D-6A48E438B35A}"/>
    <cellStyle name="Normal 5 2 3 4 4 3" xfId="6046" xr:uid="{00000000-0005-0000-0000-0000B7180000}"/>
    <cellStyle name="Normal 5 2 3 4 4 3 2" xfId="14475" xr:uid="{3988D8BA-B3E5-4C46-82AE-6DBFC1CE3E6D}"/>
    <cellStyle name="Normal 5 2 3 4 4 4" xfId="10257" xr:uid="{8FF96E8C-9A92-461D-840C-45F23C8687B9}"/>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C0430DA7-1E55-42D1-AD8A-1DE87BFA7AAA}"/>
    <cellStyle name="Normal 5 2 3 4 5 2 3" xfId="12815" xr:uid="{102DDA33-4E8F-45C0-8462-FD6FED0779F7}"/>
    <cellStyle name="Normal 5 2 3 4 5 3" xfId="6459" xr:uid="{00000000-0005-0000-0000-0000BB180000}"/>
    <cellStyle name="Normal 5 2 3 4 5 3 2" xfId="14888" xr:uid="{858EC97A-07D4-4E9C-B04D-8C591BE995B9}"/>
    <cellStyle name="Normal 5 2 3 4 5 4" xfId="10670" xr:uid="{55B57604-D606-46A9-931F-9665C68DA1C7}"/>
    <cellStyle name="Normal 5 2 3 4 6" xfId="2587" xr:uid="{00000000-0005-0000-0000-0000BC180000}"/>
    <cellStyle name="Normal 5 2 3 4 6 2" xfId="6872" xr:uid="{00000000-0005-0000-0000-0000BD180000}"/>
    <cellStyle name="Normal 5 2 3 4 6 2 2" xfId="15301" xr:uid="{07626000-3AB6-41EB-8F71-0E912DDF2C85}"/>
    <cellStyle name="Normal 5 2 3 4 6 3" xfId="11083" xr:uid="{059CFBA9-7BD6-419B-B174-11CC177A0465}"/>
    <cellStyle name="Normal 5 2 3 4 7" xfId="4807" xr:uid="{00000000-0005-0000-0000-0000BE180000}"/>
    <cellStyle name="Normal 5 2 3 4 7 2" xfId="13236" xr:uid="{0F578DFB-F286-43B7-8DBA-4C7C897A79E7}"/>
    <cellStyle name="Normal 5 2 3 4 8" xfId="9018" xr:uid="{2780CD02-FE2D-425D-BC7C-AD4EE5A6DCB0}"/>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0F7B7320-E9E2-4CFB-8F33-770CD8B94167}"/>
    <cellStyle name="Normal 5 2 3 5 2 3" xfId="11569" xr:uid="{ADE6ED37-C6CC-47AC-AF1A-4FD974F1A269}"/>
    <cellStyle name="Normal 5 2 3 5 3" xfId="5213" xr:uid="{00000000-0005-0000-0000-0000C2180000}"/>
    <cellStyle name="Normal 5 2 3 5 3 2" xfId="13642" xr:uid="{3659ED41-E7E9-45EC-B000-596D96943BD8}"/>
    <cellStyle name="Normal 5 2 3 5 4" xfId="9424" xr:uid="{DAD6B7FA-98F3-4B17-BDB3-B3A35E3E5E2E}"/>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C500036A-FFAB-486D-859F-37F2190193FC}"/>
    <cellStyle name="Normal 5 2 3 6 2 3" xfId="11982" xr:uid="{5B0C7083-1885-4AEC-9CED-A6547862C9CA}"/>
    <cellStyle name="Normal 5 2 3 6 3" xfId="5626" xr:uid="{00000000-0005-0000-0000-0000C6180000}"/>
    <cellStyle name="Normal 5 2 3 6 3 2" xfId="14055" xr:uid="{8535D965-AC47-4385-9759-35D9BC9C7DE0}"/>
    <cellStyle name="Normal 5 2 3 6 4" xfId="9837" xr:uid="{A140914B-8C2B-41AF-B7F5-6625A90227B6}"/>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47603E4A-BDA1-4E52-B92E-3F77211E95DB}"/>
    <cellStyle name="Normal 5 2 3 7 2 3" xfId="12395" xr:uid="{CADC443D-E202-42D1-A40C-21E7AB1FC605}"/>
    <cellStyle name="Normal 5 2 3 7 3" xfId="6039" xr:uid="{00000000-0005-0000-0000-0000CA180000}"/>
    <cellStyle name="Normal 5 2 3 7 3 2" xfId="14468" xr:uid="{DE53CB92-EEB0-49A9-9216-0684F605F3BB}"/>
    <cellStyle name="Normal 5 2 3 7 4" xfId="10250" xr:uid="{B55201AE-9EFE-4C24-9511-95809EE55933}"/>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81609379-C1EF-458B-8CC6-8FFD18B191AF}"/>
    <cellStyle name="Normal 5 2 3 8 2 3" xfId="12808" xr:uid="{B65CCAC9-44F9-40FA-AC91-740C66A7861C}"/>
    <cellStyle name="Normal 5 2 3 8 3" xfId="6452" xr:uid="{00000000-0005-0000-0000-0000CE180000}"/>
    <cellStyle name="Normal 5 2 3 8 3 2" xfId="14881" xr:uid="{A29A6AF4-0577-4E3D-BB2E-F7FD6B8489D3}"/>
    <cellStyle name="Normal 5 2 3 8 4" xfId="10663" xr:uid="{6B51E1D5-AB37-453F-BF3E-72D69CA00B40}"/>
    <cellStyle name="Normal 5 2 3 9" xfId="2580" xr:uid="{00000000-0005-0000-0000-0000CF180000}"/>
    <cellStyle name="Normal 5 2 3 9 2" xfId="6865" xr:uid="{00000000-0005-0000-0000-0000D0180000}"/>
    <cellStyle name="Normal 5 2 3 9 2 2" xfId="15294" xr:uid="{BB71B893-2E90-4C9A-9C4D-DBABF6788FF3}"/>
    <cellStyle name="Normal 5 2 3 9 3" xfId="11076" xr:uid="{2649BFC3-FFF8-4911-A729-0F7400085D7C}"/>
    <cellStyle name="Normal 5 2 4" xfId="432" xr:uid="{00000000-0005-0000-0000-0000D1180000}"/>
    <cellStyle name="Normal 5 2 4 10" xfId="9019" xr:uid="{C8281A63-D74D-40F6-9C8D-46DE372CCBB9}"/>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D4E5797F-A871-483D-A05D-D9E0E1CBDC59}"/>
    <cellStyle name="Normal 5 2 4 2 2 2 2 3" xfId="11579" xr:uid="{F75C5D3C-D653-41E5-93BB-9B9A3C079700}"/>
    <cellStyle name="Normal 5 2 4 2 2 2 3" xfId="5223" xr:uid="{00000000-0005-0000-0000-0000D7180000}"/>
    <cellStyle name="Normal 5 2 4 2 2 2 3 2" xfId="13652" xr:uid="{5353D6B5-4AF7-4E18-8AC5-57198E7CDAE4}"/>
    <cellStyle name="Normal 5 2 4 2 2 2 4" xfId="9434" xr:uid="{4DF2C9C4-D9E2-4830-A44B-71C986CDC77C}"/>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5A8FE578-5633-4EE2-BA01-EC07BEBB9D8E}"/>
    <cellStyle name="Normal 5 2 4 2 2 3 2 3" xfId="11992" xr:uid="{8CE85E6C-DFAA-4446-BA72-DD1D746DBBFB}"/>
    <cellStyle name="Normal 5 2 4 2 2 3 3" xfId="5636" xr:uid="{00000000-0005-0000-0000-0000DB180000}"/>
    <cellStyle name="Normal 5 2 4 2 2 3 3 2" xfId="14065" xr:uid="{687F7141-8599-4BC3-842A-1FF4FACD674F}"/>
    <cellStyle name="Normal 5 2 4 2 2 3 4" xfId="9847" xr:uid="{B5F5FC49-3ECB-4788-BECF-721ECF849D9E}"/>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0B8A4F2D-4D56-4BC5-A421-68046C642223}"/>
    <cellStyle name="Normal 5 2 4 2 2 4 2 3" xfId="12405" xr:uid="{AA367465-E165-4C2E-A2D4-6BCD1FEC65AF}"/>
    <cellStyle name="Normal 5 2 4 2 2 4 3" xfId="6049" xr:uid="{00000000-0005-0000-0000-0000DF180000}"/>
    <cellStyle name="Normal 5 2 4 2 2 4 3 2" xfId="14478" xr:uid="{AA828F94-9826-426B-93D5-78525A1E0FF3}"/>
    <cellStyle name="Normal 5 2 4 2 2 4 4" xfId="10260" xr:uid="{2CCCFB8B-44B9-4713-BE10-889F377FAC1F}"/>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C4838870-C64F-4E5A-B5C9-A22380690A65}"/>
    <cellStyle name="Normal 5 2 4 2 2 5 2 3" xfId="12818" xr:uid="{84A77379-BEBE-473D-8884-C7CCD4E3FA12}"/>
    <cellStyle name="Normal 5 2 4 2 2 5 3" xfId="6462" xr:uid="{00000000-0005-0000-0000-0000E3180000}"/>
    <cellStyle name="Normal 5 2 4 2 2 5 3 2" xfId="14891" xr:uid="{50CD43B7-1779-4808-8759-C53669592F31}"/>
    <cellStyle name="Normal 5 2 4 2 2 5 4" xfId="10673" xr:uid="{6297FE75-7975-4338-AC20-F4306B6A2F48}"/>
    <cellStyle name="Normal 5 2 4 2 2 6" xfId="2590" xr:uid="{00000000-0005-0000-0000-0000E4180000}"/>
    <cellStyle name="Normal 5 2 4 2 2 6 2" xfId="6875" xr:uid="{00000000-0005-0000-0000-0000E5180000}"/>
    <cellStyle name="Normal 5 2 4 2 2 6 2 2" xfId="15304" xr:uid="{75FE8BEC-9C9C-4116-8A80-C412F150D79A}"/>
    <cellStyle name="Normal 5 2 4 2 2 6 3" xfId="11086" xr:uid="{FD882B91-EBF8-475C-BB97-B6B6F7DDDDA6}"/>
    <cellStyle name="Normal 5 2 4 2 2 7" xfId="4810" xr:uid="{00000000-0005-0000-0000-0000E6180000}"/>
    <cellStyle name="Normal 5 2 4 2 2 7 2" xfId="13239" xr:uid="{2A8FB70C-EC4F-41C4-AF5F-B11194731D1B}"/>
    <cellStyle name="Normal 5 2 4 2 2 8" xfId="9021" xr:uid="{73A6CB13-E2EF-4E70-B943-AD4401CDFC94}"/>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F499B61F-C8DF-45FE-AD8A-6B1882947118}"/>
    <cellStyle name="Normal 5 2 4 2 3 2 3" xfId="11578" xr:uid="{64D16088-5D14-4341-B76F-AB9BDD23B690}"/>
    <cellStyle name="Normal 5 2 4 2 3 3" xfId="5222" xr:uid="{00000000-0005-0000-0000-0000EA180000}"/>
    <cellStyle name="Normal 5 2 4 2 3 3 2" xfId="13651" xr:uid="{4B17C601-8E83-40D9-A5BB-ED1EEE55CDFB}"/>
    <cellStyle name="Normal 5 2 4 2 3 4" xfId="9433" xr:uid="{61026247-CE30-49E8-8886-DA345096FC73}"/>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BD716277-625D-4B26-852D-3D1E7FEC8D01}"/>
    <cellStyle name="Normal 5 2 4 2 4 2 3" xfId="11991" xr:uid="{DFDE9425-13F8-49E7-AD2D-71BA1BF17AA8}"/>
    <cellStyle name="Normal 5 2 4 2 4 3" xfId="5635" xr:uid="{00000000-0005-0000-0000-0000EE180000}"/>
    <cellStyle name="Normal 5 2 4 2 4 3 2" xfId="14064" xr:uid="{EB730EC1-5986-4B08-8F9E-86392A873CDD}"/>
    <cellStyle name="Normal 5 2 4 2 4 4" xfId="9846" xr:uid="{C2BFC995-BC4A-45ED-B779-281F0FD3A097}"/>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3A0CCE87-059B-485A-993A-07AAB774F456}"/>
    <cellStyle name="Normal 5 2 4 2 5 2 3" xfId="12404" xr:uid="{BAC34B31-CBD0-4849-9850-E5BFC802630D}"/>
    <cellStyle name="Normal 5 2 4 2 5 3" xfId="6048" xr:uid="{00000000-0005-0000-0000-0000F2180000}"/>
    <cellStyle name="Normal 5 2 4 2 5 3 2" xfId="14477" xr:uid="{2FCF4135-7327-4E9C-AC52-BD82A98F3D36}"/>
    <cellStyle name="Normal 5 2 4 2 5 4" xfId="10259" xr:uid="{45CB39E5-CF5F-4E97-A437-6F99B8387082}"/>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8290F54B-179B-4634-B88A-4D183B8F2D12}"/>
    <cellStyle name="Normal 5 2 4 2 6 2 3" xfId="12817" xr:uid="{19A7AA2B-4F66-413B-BFB7-1E5C8EC3BBDA}"/>
    <cellStyle name="Normal 5 2 4 2 6 3" xfId="6461" xr:uid="{00000000-0005-0000-0000-0000F6180000}"/>
    <cellStyle name="Normal 5 2 4 2 6 3 2" xfId="14890" xr:uid="{49E39E27-2BF9-4B84-9769-01B31B3E0DE9}"/>
    <cellStyle name="Normal 5 2 4 2 6 4" xfId="10672" xr:uid="{D3A2DC50-7E91-441F-A86D-03E2C339BD08}"/>
    <cellStyle name="Normal 5 2 4 2 7" xfId="2589" xr:uid="{00000000-0005-0000-0000-0000F7180000}"/>
    <cellStyle name="Normal 5 2 4 2 7 2" xfId="6874" xr:uid="{00000000-0005-0000-0000-0000F8180000}"/>
    <cellStyle name="Normal 5 2 4 2 7 2 2" xfId="15303" xr:uid="{9DB0B4C5-FD2C-45DC-8303-4E9402A7133D}"/>
    <cellStyle name="Normal 5 2 4 2 7 3" xfId="11085" xr:uid="{F8961E87-E845-4DE6-AD7F-2457358329CC}"/>
    <cellStyle name="Normal 5 2 4 2 8" xfId="4809" xr:uid="{00000000-0005-0000-0000-0000F9180000}"/>
    <cellStyle name="Normal 5 2 4 2 8 2" xfId="13238" xr:uid="{F1A78F43-0520-4EC9-B751-9C40DE8AC1A5}"/>
    <cellStyle name="Normal 5 2 4 2 9" xfId="9020" xr:uid="{C9B7D6F2-CC79-4400-B39D-23002C567C89}"/>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46B05F67-D7BE-4726-970D-FF2D8554F1C7}"/>
    <cellStyle name="Normal 5 2 4 3 2 2 3" xfId="11580" xr:uid="{B031DAA9-1706-404D-9C1D-8E628A6806CE}"/>
    <cellStyle name="Normal 5 2 4 3 2 3" xfId="5224" xr:uid="{00000000-0005-0000-0000-0000FE180000}"/>
    <cellStyle name="Normal 5 2 4 3 2 3 2" xfId="13653" xr:uid="{B8CE61A2-0895-46D3-B629-68CF3955FE26}"/>
    <cellStyle name="Normal 5 2 4 3 2 4" xfId="9435" xr:uid="{9DE6139E-E798-434C-B9CA-243F04458B1D}"/>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ABE5FB58-62AC-4B99-97A1-1427F9E0ACC3}"/>
    <cellStyle name="Normal 5 2 4 3 3 2 3" xfId="11993" xr:uid="{0FA9B92F-1BE0-4BF9-B006-89C87BD31952}"/>
    <cellStyle name="Normal 5 2 4 3 3 3" xfId="5637" xr:uid="{00000000-0005-0000-0000-000002190000}"/>
    <cellStyle name="Normal 5 2 4 3 3 3 2" xfId="14066" xr:uid="{C5630AF4-96CC-434B-B746-B0EBA08F5869}"/>
    <cellStyle name="Normal 5 2 4 3 3 4" xfId="9848" xr:uid="{747F2E94-00DD-44B0-88A6-9B9D7E718780}"/>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53C0990F-23E5-4C15-9EC7-2C3056DAD668}"/>
    <cellStyle name="Normal 5 2 4 3 4 2 3" xfId="12406" xr:uid="{C45C87ED-4E64-41CE-9D9C-7918A0F642C6}"/>
    <cellStyle name="Normal 5 2 4 3 4 3" xfId="6050" xr:uid="{00000000-0005-0000-0000-000006190000}"/>
    <cellStyle name="Normal 5 2 4 3 4 3 2" xfId="14479" xr:uid="{B18F76DE-BD06-4307-A918-86A4AA890FA9}"/>
    <cellStyle name="Normal 5 2 4 3 4 4" xfId="10261" xr:uid="{ED4EF9A2-9B8B-44C2-AC02-77F6765AB1B6}"/>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F1946601-7316-46D2-98FD-F4E5A6FEE25E}"/>
    <cellStyle name="Normal 5 2 4 3 5 2 3" xfId="12819" xr:uid="{0BA682F2-4415-4C1D-9FB2-69147EFDFF00}"/>
    <cellStyle name="Normal 5 2 4 3 5 3" xfId="6463" xr:uid="{00000000-0005-0000-0000-00000A190000}"/>
    <cellStyle name="Normal 5 2 4 3 5 3 2" xfId="14892" xr:uid="{28504CDB-EE61-4973-A183-A43C4DAD6A22}"/>
    <cellStyle name="Normal 5 2 4 3 5 4" xfId="10674" xr:uid="{23BE5CFA-3720-4D00-909D-3E287430AA07}"/>
    <cellStyle name="Normal 5 2 4 3 6" xfId="2591" xr:uid="{00000000-0005-0000-0000-00000B190000}"/>
    <cellStyle name="Normal 5 2 4 3 6 2" xfId="6876" xr:uid="{00000000-0005-0000-0000-00000C190000}"/>
    <cellStyle name="Normal 5 2 4 3 6 2 2" xfId="15305" xr:uid="{42B48B9B-3EF2-4F54-8786-04099D6182D4}"/>
    <cellStyle name="Normal 5 2 4 3 6 3" xfId="11087" xr:uid="{0A71ED4C-E3AA-4C7F-A82C-84A4D11D8E65}"/>
    <cellStyle name="Normal 5 2 4 3 7" xfId="4811" xr:uid="{00000000-0005-0000-0000-00000D190000}"/>
    <cellStyle name="Normal 5 2 4 3 7 2" xfId="13240" xr:uid="{28FA23F2-7B7D-4DF1-9BA6-5E38370A15F2}"/>
    <cellStyle name="Normal 5 2 4 3 8" xfId="9022" xr:uid="{D0FC1F4F-AFEC-4E57-94BF-0594B1CE5B28}"/>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0C12BFF0-168E-4305-B64B-E8A76BC6932D}"/>
    <cellStyle name="Normal 5 2 4 4 2 3" xfId="11577" xr:uid="{7DA69300-47D6-4959-A0D6-D569F35F4CD3}"/>
    <cellStyle name="Normal 5 2 4 4 3" xfId="5221" xr:uid="{00000000-0005-0000-0000-000011190000}"/>
    <cellStyle name="Normal 5 2 4 4 3 2" xfId="13650" xr:uid="{2AC45C3D-9B93-43A2-8E4A-EA9AB55B59BB}"/>
    <cellStyle name="Normal 5 2 4 4 4" xfId="9432" xr:uid="{08D9AC96-3D57-4432-828E-2A86BA7058D0}"/>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836DE33F-6438-41D9-BBA4-76E3D96AECFE}"/>
    <cellStyle name="Normal 5 2 4 5 2 3" xfId="11990" xr:uid="{A367189F-D3F2-4028-824D-305C884C735B}"/>
    <cellStyle name="Normal 5 2 4 5 3" xfId="5634" xr:uid="{00000000-0005-0000-0000-000015190000}"/>
    <cellStyle name="Normal 5 2 4 5 3 2" xfId="14063" xr:uid="{179B2808-2D19-4D8D-9957-32C086EFF1A7}"/>
    <cellStyle name="Normal 5 2 4 5 4" xfId="9845" xr:uid="{02C76313-0D97-4120-8D8F-69B97E8D8271}"/>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44B1A9E0-8962-4F54-A0BE-5A648854A890}"/>
    <cellStyle name="Normal 5 2 4 6 2 3" xfId="12403" xr:uid="{8FB67DF9-EE74-4D26-B666-A0765EDB43AD}"/>
    <cellStyle name="Normal 5 2 4 6 3" xfId="6047" xr:uid="{00000000-0005-0000-0000-000019190000}"/>
    <cellStyle name="Normal 5 2 4 6 3 2" xfId="14476" xr:uid="{5D4B9840-4EE8-404B-A74A-823C2E46763C}"/>
    <cellStyle name="Normal 5 2 4 6 4" xfId="10258" xr:uid="{BAEDE859-A005-4A98-A345-FF69C07C4216}"/>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D1EC14DC-47C6-4EE8-9B7C-298E16E766A7}"/>
    <cellStyle name="Normal 5 2 4 7 2 3" xfId="12816" xr:uid="{21674760-1288-4BEF-9F87-282D41421492}"/>
    <cellStyle name="Normal 5 2 4 7 3" xfId="6460" xr:uid="{00000000-0005-0000-0000-00001D190000}"/>
    <cellStyle name="Normal 5 2 4 7 3 2" xfId="14889" xr:uid="{5A93DB1B-6666-4479-B3D0-FD6CBE9FFE2A}"/>
    <cellStyle name="Normal 5 2 4 7 4" xfId="10671" xr:uid="{7B7D57DA-E053-4DAD-8AC9-65744F74929A}"/>
    <cellStyle name="Normal 5 2 4 8" xfId="2588" xr:uid="{00000000-0005-0000-0000-00001E190000}"/>
    <cellStyle name="Normal 5 2 4 8 2" xfId="6873" xr:uid="{00000000-0005-0000-0000-00001F190000}"/>
    <cellStyle name="Normal 5 2 4 8 2 2" xfId="15302" xr:uid="{4B5344BC-DA51-46FD-BA6D-F975287C4C21}"/>
    <cellStyle name="Normal 5 2 4 8 3" xfId="11084" xr:uid="{FCEE12B8-732B-4394-A522-66CDFB45B54B}"/>
    <cellStyle name="Normal 5 2 4 9" xfId="4808" xr:uid="{00000000-0005-0000-0000-000020190000}"/>
    <cellStyle name="Normal 5 2 4 9 2" xfId="13237" xr:uid="{B03B0A22-79C3-40FB-8606-8275AF87A69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5664C5C0-41C7-4850-A11A-939D71DD69B5}"/>
    <cellStyle name="Normal 5 2 5 2 2 2 3" xfId="11582" xr:uid="{068FE355-AEB9-4583-A193-6563CCB619DD}"/>
    <cellStyle name="Normal 5 2 5 2 2 3" xfId="5226" xr:uid="{00000000-0005-0000-0000-000026190000}"/>
    <cellStyle name="Normal 5 2 5 2 2 3 2" xfId="13655" xr:uid="{AAB615AF-380E-48D5-93BA-E7182F1F7FAF}"/>
    <cellStyle name="Normal 5 2 5 2 2 4" xfId="9437" xr:uid="{2E6A4A71-E20E-4F8B-9D3A-0148713D3579}"/>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72B9C45F-4D15-4900-B927-2C51AB8B99CA}"/>
    <cellStyle name="Normal 5 2 5 2 3 2 3" xfId="11995" xr:uid="{AAFE351D-420D-4DC6-A26E-16EB3D4D5BB8}"/>
    <cellStyle name="Normal 5 2 5 2 3 3" xfId="5639" xr:uid="{00000000-0005-0000-0000-00002A190000}"/>
    <cellStyle name="Normal 5 2 5 2 3 3 2" xfId="14068" xr:uid="{7477652E-6ADB-47EB-A40D-FE6BEBE8A288}"/>
    <cellStyle name="Normal 5 2 5 2 3 4" xfId="9850" xr:uid="{6E8881E2-3272-4A76-BBBE-B1279552F26F}"/>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41C788A7-FF5C-427D-99E3-A033200DA664}"/>
    <cellStyle name="Normal 5 2 5 2 4 2 3" xfId="12408" xr:uid="{450A81D0-8219-4F1C-8C24-C405357DCA28}"/>
    <cellStyle name="Normal 5 2 5 2 4 3" xfId="6052" xr:uid="{00000000-0005-0000-0000-00002E190000}"/>
    <cellStyle name="Normal 5 2 5 2 4 3 2" xfId="14481" xr:uid="{5812FCD9-28DF-483F-B822-31645951807B}"/>
    <cellStyle name="Normal 5 2 5 2 4 4" xfId="10263" xr:uid="{1EBFD071-0910-41AB-98F2-9968CCB99E0A}"/>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D54E8B8C-88A9-4842-8AEC-995FC4CC46E5}"/>
    <cellStyle name="Normal 5 2 5 2 5 2 3" xfId="12821" xr:uid="{E3F9F802-BDAB-4635-AEA3-E536A15BFD34}"/>
    <cellStyle name="Normal 5 2 5 2 5 3" xfId="6465" xr:uid="{00000000-0005-0000-0000-000032190000}"/>
    <cellStyle name="Normal 5 2 5 2 5 3 2" xfId="14894" xr:uid="{3FBD4D5F-9087-476A-886B-2DCB83A37706}"/>
    <cellStyle name="Normal 5 2 5 2 5 4" xfId="10676" xr:uid="{DA878861-960C-4B50-99C6-9C8925AC9555}"/>
    <cellStyle name="Normal 5 2 5 2 6" xfId="2593" xr:uid="{00000000-0005-0000-0000-000033190000}"/>
    <cellStyle name="Normal 5 2 5 2 6 2" xfId="6878" xr:uid="{00000000-0005-0000-0000-000034190000}"/>
    <cellStyle name="Normal 5 2 5 2 6 2 2" xfId="15307" xr:uid="{BA0B4867-173E-41CE-85E4-DDB8FC73F1F7}"/>
    <cellStyle name="Normal 5 2 5 2 6 3" xfId="11089" xr:uid="{9179DB43-AA03-4AC7-820B-406360CD76A2}"/>
    <cellStyle name="Normal 5 2 5 2 7" xfId="4813" xr:uid="{00000000-0005-0000-0000-000035190000}"/>
    <cellStyle name="Normal 5 2 5 2 7 2" xfId="13242" xr:uid="{E385097A-5B11-45D0-B092-E47221888748}"/>
    <cellStyle name="Normal 5 2 5 2 8" xfId="9024" xr:uid="{527F4C4B-CBB3-41F2-8E42-2EF740BFD741}"/>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BA777D6F-7C62-4170-B112-958E0B13314B}"/>
    <cellStyle name="Normal 5 2 5 3 2 3" xfId="11581" xr:uid="{B87A0377-E8CF-4CFB-ADA9-E644C5C6DF14}"/>
    <cellStyle name="Normal 5 2 5 3 3" xfId="5225" xr:uid="{00000000-0005-0000-0000-000039190000}"/>
    <cellStyle name="Normal 5 2 5 3 3 2" xfId="13654" xr:uid="{EFDA18F3-498F-4C90-8228-C686E13C7D73}"/>
    <cellStyle name="Normal 5 2 5 3 4" xfId="9436" xr:uid="{C9939044-BEF2-460F-9A53-0874A3E0731E}"/>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0FDA2B53-0AC7-46E1-A0C3-17DCDE1AF4A6}"/>
    <cellStyle name="Normal 5 2 5 4 2 3" xfId="11994" xr:uid="{710CC854-8E4C-4456-944E-9289C4408D93}"/>
    <cellStyle name="Normal 5 2 5 4 3" xfId="5638" xr:uid="{00000000-0005-0000-0000-00003D190000}"/>
    <cellStyle name="Normal 5 2 5 4 3 2" xfId="14067" xr:uid="{6BE1C792-F018-470A-AFD5-AF01BFFC0504}"/>
    <cellStyle name="Normal 5 2 5 4 4" xfId="9849" xr:uid="{3DFC35D4-0557-4DFF-8E5B-FEDD8574C0F4}"/>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6716BA4F-4555-403E-A266-C554F564E429}"/>
    <cellStyle name="Normal 5 2 5 5 2 3" xfId="12407" xr:uid="{7F068111-E451-440F-B047-4DFC208D4715}"/>
    <cellStyle name="Normal 5 2 5 5 3" xfId="6051" xr:uid="{00000000-0005-0000-0000-000041190000}"/>
    <cellStyle name="Normal 5 2 5 5 3 2" xfId="14480" xr:uid="{9D4C9E7B-FE44-428D-8FF3-0F26E21E90BA}"/>
    <cellStyle name="Normal 5 2 5 5 4" xfId="10262" xr:uid="{DF9ADBBD-1185-4535-A73A-E6A4B540959B}"/>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1F1756A9-4328-42DB-B944-733E2BFB348A}"/>
    <cellStyle name="Normal 5 2 5 6 2 3" xfId="12820" xr:uid="{541A4656-99E9-4CC1-BB42-325DCAE20E21}"/>
    <cellStyle name="Normal 5 2 5 6 3" xfId="6464" xr:uid="{00000000-0005-0000-0000-000045190000}"/>
    <cellStyle name="Normal 5 2 5 6 3 2" xfId="14893" xr:uid="{CBAD370C-941C-4E6C-A89A-D575445E9BB5}"/>
    <cellStyle name="Normal 5 2 5 6 4" xfId="10675" xr:uid="{36AC9354-45EB-4B34-9F5E-1F8A7A9152A8}"/>
    <cellStyle name="Normal 5 2 5 7" xfId="2592" xr:uid="{00000000-0005-0000-0000-000046190000}"/>
    <cellStyle name="Normal 5 2 5 7 2" xfId="6877" xr:uid="{00000000-0005-0000-0000-000047190000}"/>
    <cellStyle name="Normal 5 2 5 7 2 2" xfId="15306" xr:uid="{6E9294F7-04FB-420E-89C8-E48ED788A802}"/>
    <cellStyle name="Normal 5 2 5 7 3" xfId="11088" xr:uid="{1CC420E3-F5F1-495A-9615-F95AA9BBCD1C}"/>
    <cellStyle name="Normal 5 2 5 8" xfId="4812" xr:uid="{00000000-0005-0000-0000-000048190000}"/>
    <cellStyle name="Normal 5 2 5 8 2" xfId="13241" xr:uid="{ACDF540C-225D-4098-932A-E511A85CB5FB}"/>
    <cellStyle name="Normal 5 2 5 9" xfId="9023" xr:uid="{9CCB1EC1-2C4E-460F-B2FB-DECD6DA267D6}"/>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41560450-6408-4661-8566-ECEF750575B1}"/>
    <cellStyle name="Normal 5 2 6 2 2 3" xfId="11583" xr:uid="{12475FA8-364F-4A53-A04A-FA2416F7D94B}"/>
    <cellStyle name="Normal 5 2 6 2 3" xfId="5227" xr:uid="{00000000-0005-0000-0000-00004D190000}"/>
    <cellStyle name="Normal 5 2 6 2 3 2" xfId="13656" xr:uid="{006A3CDA-15FD-48EA-AD45-638F0BEBF704}"/>
    <cellStyle name="Normal 5 2 6 2 4" xfId="9438" xr:uid="{8E8E44E3-633A-4D29-BBE7-A8B785A67306}"/>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185EBAE9-53C6-4F0F-82FC-7C2865DE193E}"/>
    <cellStyle name="Normal 5 2 6 3 2 3" xfId="11996" xr:uid="{478F8F8C-E479-41D8-9BAF-3B9005E94ECF}"/>
    <cellStyle name="Normal 5 2 6 3 3" xfId="5640" xr:uid="{00000000-0005-0000-0000-000051190000}"/>
    <cellStyle name="Normal 5 2 6 3 3 2" xfId="14069" xr:uid="{399D10D6-CE56-477D-B38F-6973B990CDCB}"/>
    <cellStyle name="Normal 5 2 6 3 4" xfId="9851" xr:uid="{4AA5C43D-7AD2-4386-B8C9-2698D45A4D5A}"/>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A454C9FC-C5C0-4152-8668-42B2EB3DB910}"/>
    <cellStyle name="Normal 5 2 6 4 2 3" xfId="12409" xr:uid="{EB52EEC4-F726-4555-8913-A480F11C3093}"/>
    <cellStyle name="Normal 5 2 6 4 3" xfId="6053" xr:uid="{00000000-0005-0000-0000-000055190000}"/>
    <cellStyle name="Normal 5 2 6 4 3 2" xfId="14482" xr:uid="{63E4D9B7-1544-4926-ABD6-464030B60C0D}"/>
    <cellStyle name="Normal 5 2 6 4 4" xfId="10264" xr:uid="{766B1AEE-9B31-4F6C-AAA5-8944BF039B9E}"/>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2E2B23AE-CF23-4049-BD23-A5CB2805A623}"/>
    <cellStyle name="Normal 5 2 6 5 2 3" xfId="12822" xr:uid="{1F5E97AC-ACDC-4E94-B03B-D5E29525F526}"/>
    <cellStyle name="Normal 5 2 6 5 3" xfId="6466" xr:uid="{00000000-0005-0000-0000-000059190000}"/>
    <cellStyle name="Normal 5 2 6 5 3 2" xfId="14895" xr:uid="{FCAF9766-4DBC-46EE-A162-1C54F6D3BBB8}"/>
    <cellStyle name="Normal 5 2 6 5 4" xfId="10677" xr:uid="{1DC2EA12-06A7-40C3-A31E-28CF2AE5F54E}"/>
    <cellStyle name="Normal 5 2 6 6" xfId="2594" xr:uid="{00000000-0005-0000-0000-00005A190000}"/>
    <cellStyle name="Normal 5 2 6 6 2" xfId="6879" xr:uid="{00000000-0005-0000-0000-00005B190000}"/>
    <cellStyle name="Normal 5 2 6 6 2 2" xfId="15308" xr:uid="{C113E0E8-9CAA-41B9-8351-7737EE73B9B3}"/>
    <cellStyle name="Normal 5 2 6 6 3" xfId="11090" xr:uid="{AFA3454D-2EB7-4654-818B-3C5DA0108215}"/>
    <cellStyle name="Normal 5 2 6 7" xfId="4814" xr:uid="{00000000-0005-0000-0000-00005C190000}"/>
    <cellStyle name="Normal 5 2 6 7 2" xfId="13243" xr:uid="{169D5767-9692-42BC-A5A9-ABC924A8F177}"/>
    <cellStyle name="Normal 5 2 6 8" xfId="9025" xr:uid="{A68CFAC0-1458-4BAA-8D22-D1E46A8F19BC}"/>
    <cellStyle name="Normal 5 2 7" xfId="882" xr:uid="{00000000-0005-0000-0000-00005D190000}"/>
    <cellStyle name="Normal 5 2 7 2" xfId="3117" xr:uid="{00000000-0005-0000-0000-00005E190000}"/>
    <cellStyle name="Normal 5 2 7 2 2" xfId="7341" xr:uid="{00000000-0005-0000-0000-00005F190000}"/>
    <cellStyle name="Normal 5 2 7 2 2 2" xfId="15770" xr:uid="{537185B9-A8DC-4DC1-807B-667077FCCD42}"/>
    <cellStyle name="Normal 5 2 7 2 3" xfId="11552" xr:uid="{3F288BC4-01F3-4001-A205-C8423C77AB18}"/>
    <cellStyle name="Normal 5 2 7 3" xfId="5196" xr:uid="{00000000-0005-0000-0000-000060190000}"/>
    <cellStyle name="Normal 5 2 7 3 2" xfId="13625" xr:uid="{C9404755-D8D1-4475-AC02-91A2B7701157}"/>
    <cellStyle name="Normal 5 2 7 4" xfId="9407" xr:uid="{433F7FDD-14AE-4089-9B67-4FC93049552C}"/>
    <cellStyle name="Normal 5 2 8" xfId="1300" xr:uid="{00000000-0005-0000-0000-000061190000}"/>
    <cellStyle name="Normal 5 2 8 2" xfId="3530" xr:uid="{00000000-0005-0000-0000-000062190000}"/>
    <cellStyle name="Normal 5 2 8 2 2" xfId="7754" xr:uid="{00000000-0005-0000-0000-000063190000}"/>
    <cellStyle name="Normal 5 2 8 2 2 2" xfId="16183" xr:uid="{DDC82A4A-92F2-43AB-A798-C1D7EBB2FADB}"/>
    <cellStyle name="Normal 5 2 8 2 3" xfId="11965" xr:uid="{465D6D34-B02E-4A35-98D4-B3B41B66A4D6}"/>
    <cellStyle name="Normal 5 2 8 3" xfId="5609" xr:uid="{00000000-0005-0000-0000-000064190000}"/>
    <cellStyle name="Normal 5 2 8 3 2" xfId="14038" xr:uid="{E1CA8502-0B6F-4050-859B-62911A0D1EE1}"/>
    <cellStyle name="Normal 5 2 8 4" xfId="9820" xr:uid="{C7D32FD1-52FE-4DF7-A42D-2E67A033E9E3}"/>
    <cellStyle name="Normal 5 2 9" xfId="1713" xr:uid="{00000000-0005-0000-0000-000065190000}"/>
    <cellStyle name="Normal 5 2 9 2" xfId="3943" xr:uid="{00000000-0005-0000-0000-000066190000}"/>
    <cellStyle name="Normal 5 2 9 2 2" xfId="8167" xr:uid="{00000000-0005-0000-0000-000067190000}"/>
    <cellStyle name="Normal 5 2 9 2 2 2" xfId="16596" xr:uid="{4C59F674-38BB-41B6-89EB-380795ED8763}"/>
    <cellStyle name="Normal 5 2 9 2 3" xfId="12378" xr:uid="{AE109FBE-177D-4ABA-8F8C-2B922D2AB95F}"/>
    <cellStyle name="Normal 5 2 9 3" xfId="6022" xr:uid="{00000000-0005-0000-0000-000068190000}"/>
    <cellStyle name="Normal 5 2 9 3 2" xfId="14451" xr:uid="{35FB3BED-9B95-4951-9E6B-A51B66D1DD97}"/>
    <cellStyle name="Normal 5 2 9 4" xfId="10233" xr:uid="{8CC2D078-B58E-43F4-A719-BC7DC7C6C34E}"/>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BA0EE004-E9EB-4BC6-9685-114D4416AB30}"/>
    <cellStyle name="Normal 5 3 10 2 3" xfId="12823" xr:uid="{57A34931-51B8-47F5-A3CF-DDD0C2A5B6F9}"/>
    <cellStyle name="Normal 5 3 10 3" xfId="6467" xr:uid="{00000000-0005-0000-0000-00006D190000}"/>
    <cellStyle name="Normal 5 3 10 3 2" xfId="14896" xr:uid="{A630A705-C0FC-4792-86A6-0AAC2D48693A}"/>
    <cellStyle name="Normal 5 3 10 4" xfId="10678" xr:uid="{CF805FC4-638D-4D2B-B81F-3E8312E9CD23}"/>
    <cellStyle name="Normal 5 3 11" xfId="2595" xr:uid="{00000000-0005-0000-0000-00006E190000}"/>
    <cellStyle name="Normal 5 3 11 2" xfId="6880" xr:uid="{00000000-0005-0000-0000-00006F190000}"/>
    <cellStyle name="Normal 5 3 11 2 2" xfId="15309" xr:uid="{4CD0F1FF-6099-433B-A8E2-273E1952BD1D}"/>
    <cellStyle name="Normal 5 3 11 3" xfId="11091" xr:uid="{183AE2B8-91A3-4F12-9B7A-5692E832F6A6}"/>
    <cellStyle name="Normal 5 3 12" xfId="4815" xr:uid="{00000000-0005-0000-0000-000070190000}"/>
    <cellStyle name="Normal 5 3 12 2" xfId="13244" xr:uid="{3804B4E8-771E-4201-8432-BECC131F5DE0}"/>
    <cellStyle name="Normal 5 3 13" xfId="9026" xr:uid="{3983CE8F-F8FA-4364-9573-624F2748746C}"/>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E7858F96-4FA5-440C-BEE6-DDD4822BAB83}"/>
    <cellStyle name="Normal 5 3 3 11" xfId="9027" xr:uid="{B99D37A7-067C-4547-83F5-1D5F5FEE2500}"/>
    <cellStyle name="Normal 5 3 3 2" xfId="442" xr:uid="{00000000-0005-0000-0000-000075190000}"/>
    <cellStyle name="Normal 5 3 3 2 10" xfId="9028" xr:uid="{35E9A724-3C04-4477-BBF0-7972D4CC9F4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497F3E6A-5010-4E9B-A1C8-39BCF3EEA39E}"/>
    <cellStyle name="Normal 5 3 3 2 2 2 2 2 3" xfId="11588" xr:uid="{410D3DD9-4B45-4158-A706-6EF7D1697111}"/>
    <cellStyle name="Normal 5 3 3 2 2 2 2 3" xfId="5232" xr:uid="{00000000-0005-0000-0000-00007B190000}"/>
    <cellStyle name="Normal 5 3 3 2 2 2 2 3 2" xfId="13661" xr:uid="{5356CC08-4D02-4709-B9A2-AE7FE33D82DE}"/>
    <cellStyle name="Normal 5 3 3 2 2 2 2 4" xfId="9443" xr:uid="{5AF6554E-C8F9-4E31-A202-AA07EF0B995E}"/>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A71E68B3-F763-44B2-904B-AF1F1F5E9A73}"/>
    <cellStyle name="Normal 5 3 3 2 2 2 3 2 3" xfId="12001" xr:uid="{A39FF8CA-6FA4-4C84-B35E-BA311A0211D8}"/>
    <cellStyle name="Normal 5 3 3 2 2 2 3 3" xfId="5645" xr:uid="{00000000-0005-0000-0000-00007F190000}"/>
    <cellStyle name="Normal 5 3 3 2 2 2 3 3 2" xfId="14074" xr:uid="{501D904E-D727-447E-866C-080FE78BBE0E}"/>
    <cellStyle name="Normal 5 3 3 2 2 2 3 4" xfId="9856" xr:uid="{623C224F-8EC5-4845-87F2-599BF3A9F6F1}"/>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E639FB60-8049-483A-969B-8CB11B41CA26}"/>
    <cellStyle name="Normal 5 3 3 2 2 2 4 2 3" xfId="12414" xr:uid="{A9D1C4DF-416E-4663-A13D-DBE001506112}"/>
    <cellStyle name="Normal 5 3 3 2 2 2 4 3" xfId="6058" xr:uid="{00000000-0005-0000-0000-000083190000}"/>
    <cellStyle name="Normal 5 3 3 2 2 2 4 3 2" xfId="14487" xr:uid="{970BC691-598E-4385-86AF-EE3855EC867B}"/>
    <cellStyle name="Normal 5 3 3 2 2 2 4 4" xfId="10269" xr:uid="{F63219FE-AB1F-49E8-AA4F-DAE5A73E4FA1}"/>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86848AEF-0119-432F-97CC-ADE11FDAD6E1}"/>
    <cellStyle name="Normal 5 3 3 2 2 2 5 2 3" xfId="12827" xr:uid="{6F91B755-909D-4082-8FCC-2E2C4DD888BD}"/>
    <cellStyle name="Normal 5 3 3 2 2 2 5 3" xfId="6471" xr:uid="{00000000-0005-0000-0000-000087190000}"/>
    <cellStyle name="Normal 5 3 3 2 2 2 5 3 2" xfId="14900" xr:uid="{85168E5B-290F-4D83-978E-40C9B633468B}"/>
    <cellStyle name="Normal 5 3 3 2 2 2 5 4" xfId="10682" xr:uid="{84B2252E-71AD-456A-93EA-A3830B7B48BA}"/>
    <cellStyle name="Normal 5 3 3 2 2 2 6" xfId="2599" xr:uid="{00000000-0005-0000-0000-000088190000}"/>
    <cellStyle name="Normal 5 3 3 2 2 2 6 2" xfId="6884" xr:uid="{00000000-0005-0000-0000-000089190000}"/>
    <cellStyle name="Normal 5 3 3 2 2 2 6 2 2" xfId="15313" xr:uid="{FF3D007A-23CB-4EBE-84C6-E863B1AA7269}"/>
    <cellStyle name="Normal 5 3 3 2 2 2 6 3" xfId="11095" xr:uid="{6071BA44-6021-461E-87BC-9EE07857385D}"/>
    <cellStyle name="Normal 5 3 3 2 2 2 7" xfId="4819" xr:uid="{00000000-0005-0000-0000-00008A190000}"/>
    <cellStyle name="Normal 5 3 3 2 2 2 7 2" xfId="13248" xr:uid="{FC43996F-C562-477E-931C-841ADA5C2F89}"/>
    <cellStyle name="Normal 5 3 3 2 2 2 8" xfId="9030" xr:uid="{00324EB6-60CE-432A-9D18-AB18895E7F93}"/>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5A0B1C06-5FA0-47B5-90B5-ABABC358CAA1}"/>
    <cellStyle name="Normal 5 3 3 2 2 3 2 3" xfId="11587" xr:uid="{FDD86A2D-DFA1-4D09-9082-31FF40DBA409}"/>
    <cellStyle name="Normal 5 3 3 2 2 3 3" xfId="5231" xr:uid="{00000000-0005-0000-0000-00008E190000}"/>
    <cellStyle name="Normal 5 3 3 2 2 3 3 2" xfId="13660" xr:uid="{EA0F83C3-DC5C-4C65-AC92-6219D47B12EA}"/>
    <cellStyle name="Normal 5 3 3 2 2 3 4" xfId="9442" xr:uid="{23C0981A-C04A-4114-AFCF-BE2D65A563FA}"/>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9E34F114-A2A8-467E-875D-60615D772BD4}"/>
    <cellStyle name="Normal 5 3 3 2 2 4 2 3" xfId="12000" xr:uid="{54E59C8B-7B9C-46F9-9D4D-509001C753C1}"/>
    <cellStyle name="Normal 5 3 3 2 2 4 3" xfId="5644" xr:uid="{00000000-0005-0000-0000-000092190000}"/>
    <cellStyle name="Normal 5 3 3 2 2 4 3 2" xfId="14073" xr:uid="{94C5AA17-F0AC-4A82-A7F8-DAA8D8260C9A}"/>
    <cellStyle name="Normal 5 3 3 2 2 4 4" xfId="9855" xr:uid="{BC7138A6-809F-492D-8596-A93465CF6084}"/>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455A66DC-69C2-4542-BFE3-901110CA4298}"/>
    <cellStyle name="Normal 5 3 3 2 2 5 2 3" xfId="12413" xr:uid="{22EA0DCD-9638-432E-B515-2DC993B09043}"/>
    <cellStyle name="Normal 5 3 3 2 2 5 3" xfId="6057" xr:uid="{00000000-0005-0000-0000-000096190000}"/>
    <cellStyle name="Normal 5 3 3 2 2 5 3 2" xfId="14486" xr:uid="{724C5B26-C17C-48AA-8F0F-11DA2DE2034A}"/>
    <cellStyle name="Normal 5 3 3 2 2 5 4" xfId="10268" xr:uid="{B0446FC6-6DE3-40F5-961E-0B397CC13816}"/>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EC0544E2-66AA-4C03-B43F-2E1B8FEF436E}"/>
    <cellStyle name="Normal 5 3 3 2 2 6 2 3" xfId="12826" xr:uid="{88DE50DB-CD99-407C-BC68-AAA282ECFDCF}"/>
    <cellStyle name="Normal 5 3 3 2 2 6 3" xfId="6470" xr:uid="{00000000-0005-0000-0000-00009A190000}"/>
    <cellStyle name="Normal 5 3 3 2 2 6 3 2" xfId="14899" xr:uid="{C0235364-3ADE-4A54-8B8F-4D7FB37D69CC}"/>
    <cellStyle name="Normal 5 3 3 2 2 6 4" xfId="10681" xr:uid="{B8145AF2-91BF-4762-B82F-93832B2773C8}"/>
    <cellStyle name="Normal 5 3 3 2 2 7" xfId="2598" xr:uid="{00000000-0005-0000-0000-00009B190000}"/>
    <cellStyle name="Normal 5 3 3 2 2 7 2" xfId="6883" xr:uid="{00000000-0005-0000-0000-00009C190000}"/>
    <cellStyle name="Normal 5 3 3 2 2 7 2 2" xfId="15312" xr:uid="{AB2DE4BD-5AF5-4EB7-8571-9F42E06975A2}"/>
    <cellStyle name="Normal 5 3 3 2 2 7 3" xfId="11094" xr:uid="{86FD7FE6-C687-4FF8-B944-C62BBA1289CA}"/>
    <cellStyle name="Normal 5 3 3 2 2 8" xfId="4818" xr:uid="{00000000-0005-0000-0000-00009D190000}"/>
    <cellStyle name="Normal 5 3 3 2 2 8 2" xfId="13247" xr:uid="{6C231AB7-0C01-41E3-8966-C7EB7E230604}"/>
    <cellStyle name="Normal 5 3 3 2 2 9" xfId="9029" xr:uid="{BD8D9230-B182-4347-AD5F-0C47D1144B3A}"/>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8C52861F-AC56-484E-BCA3-4FA193EA02CB}"/>
    <cellStyle name="Normal 5 3 3 2 3 2 2 3" xfId="11589" xr:uid="{68D9AB7D-EFFC-4820-82E9-B9EED21FB96E}"/>
    <cellStyle name="Normal 5 3 3 2 3 2 3" xfId="5233" xr:uid="{00000000-0005-0000-0000-0000A2190000}"/>
    <cellStyle name="Normal 5 3 3 2 3 2 3 2" xfId="13662" xr:uid="{6413C77B-A651-416C-852E-ACE9DA0185FE}"/>
    <cellStyle name="Normal 5 3 3 2 3 2 4" xfId="9444" xr:uid="{EB12B2B3-10C6-4B9A-B32C-036C80BDF566}"/>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03DA12F1-694A-45D8-BAD0-0AF58363B117}"/>
    <cellStyle name="Normal 5 3 3 2 3 3 2 3" xfId="12002" xr:uid="{724FCF39-C45D-4DE0-A70F-D4228E5D7C26}"/>
    <cellStyle name="Normal 5 3 3 2 3 3 3" xfId="5646" xr:uid="{00000000-0005-0000-0000-0000A6190000}"/>
    <cellStyle name="Normal 5 3 3 2 3 3 3 2" xfId="14075" xr:uid="{EE3672AE-1EBC-48CF-B49E-9C5AD6894538}"/>
    <cellStyle name="Normal 5 3 3 2 3 3 4" xfId="9857" xr:uid="{9A7B7088-4E0A-41EA-9D72-49233605C4E6}"/>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91222C8D-46E6-4F39-969A-8A2D7D9FCC9F}"/>
    <cellStyle name="Normal 5 3 3 2 3 4 2 3" xfId="12415" xr:uid="{00A5A26E-80F0-4506-8C20-14657FCF9334}"/>
    <cellStyle name="Normal 5 3 3 2 3 4 3" xfId="6059" xr:uid="{00000000-0005-0000-0000-0000AA190000}"/>
    <cellStyle name="Normal 5 3 3 2 3 4 3 2" xfId="14488" xr:uid="{E03DED5F-3020-4C3F-91B3-70D8BAC2076C}"/>
    <cellStyle name="Normal 5 3 3 2 3 4 4" xfId="10270" xr:uid="{E8B04737-5943-4285-B9E9-C539096CE42D}"/>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2918E6AD-BC17-4D03-8841-A050F86C94F7}"/>
    <cellStyle name="Normal 5 3 3 2 3 5 2 3" xfId="12828" xr:uid="{091C0EE8-A316-4721-ACCE-023FAFFB69E0}"/>
    <cellStyle name="Normal 5 3 3 2 3 5 3" xfId="6472" xr:uid="{00000000-0005-0000-0000-0000AE190000}"/>
    <cellStyle name="Normal 5 3 3 2 3 5 3 2" xfId="14901" xr:uid="{CC095EB9-DC3D-4D62-B9A1-EDD266BADA2E}"/>
    <cellStyle name="Normal 5 3 3 2 3 5 4" xfId="10683" xr:uid="{3AF5B23C-DBEB-4B34-AC2C-073EB4391FF7}"/>
    <cellStyle name="Normal 5 3 3 2 3 6" xfId="2600" xr:uid="{00000000-0005-0000-0000-0000AF190000}"/>
    <cellStyle name="Normal 5 3 3 2 3 6 2" xfId="6885" xr:uid="{00000000-0005-0000-0000-0000B0190000}"/>
    <cellStyle name="Normal 5 3 3 2 3 6 2 2" xfId="15314" xr:uid="{8FE2E469-B161-4340-9F86-3ED78096C153}"/>
    <cellStyle name="Normal 5 3 3 2 3 6 3" xfId="11096" xr:uid="{28858456-26BA-41C9-8513-C8A659E99479}"/>
    <cellStyle name="Normal 5 3 3 2 3 7" xfId="4820" xr:uid="{00000000-0005-0000-0000-0000B1190000}"/>
    <cellStyle name="Normal 5 3 3 2 3 7 2" xfId="13249" xr:uid="{6BC99944-F41A-4693-80B1-CDDA95D22C59}"/>
    <cellStyle name="Normal 5 3 3 2 3 8" xfId="9031" xr:uid="{F70E1A10-D8B4-43B4-B406-3497B1C05C06}"/>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310A5A26-437A-473E-82B4-268964267969}"/>
    <cellStyle name="Normal 5 3 3 2 4 2 3" xfId="11586" xr:uid="{16F2B9AB-0B8E-4BD1-81B6-103B974D5531}"/>
    <cellStyle name="Normal 5 3 3 2 4 3" xfId="5230" xr:uid="{00000000-0005-0000-0000-0000B5190000}"/>
    <cellStyle name="Normal 5 3 3 2 4 3 2" xfId="13659" xr:uid="{1D15BE61-C81B-4019-8730-B4EE0AD5E03E}"/>
    <cellStyle name="Normal 5 3 3 2 4 4" xfId="9441" xr:uid="{0797CFB5-C63B-4B75-B7D1-8FC7EC3C5201}"/>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EF96B101-832B-42A2-8B2C-DB2CFC3F2F87}"/>
    <cellStyle name="Normal 5 3 3 2 5 2 3" xfId="11999" xr:uid="{1CEBA8BF-2C09-41A9-B7E3-423C3408B308}"/>
    <cellStyle name="Normal 5 3 3 2 5 3" xfId="5643" xr:uid="{00000000-0005-0000-0000-0000B9190000}"/>
    <cellStyle name="Normal 5 3 3 2 5 3 2" xfId="14072" xr:uid="{3B1482E4-4929-4CC5-90B1-58C2FF0E4443}"/>
    <cellStyle name="Normal 5 3 3 2 5 4" xfId="9854" xr:uid="{4AC0DC16-9F04-4CF3-9CF8-9ED916FAA52E}"/>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C19483A8-25DB-4040-856A-B70B9291392E}"/>
    <cellStyle name="Normal 5 3 3 2 6 2 3" xfId="12412" xr:uid="{9472B2CD-280F-46BF-AF6B-A7FF2A2B12DE}"/>
    <cellStyle name="Normal 5 3 3 2 6 3" xfId="6056" xr:uid="{00000000-0005-0000-0000-0000BD190000}"/>
    <cellStyle name="Normal 5 3 3 2 6 3 2" xfId="14485" xr:uid="{10C18F94-14BB-4F1B-A0D0-12335EADECB5}"/>
    <cellStyle name="Normal 5 3 3 2 6 4" xfId="10267" xr:uid="{2C56E0E7-1CCC-4448-84C0-EBD5A498DB82}"/>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19E12168-D2AC-489D-99F6-77EDAC8AFC0B}"/>
    <cellStyle name="Normal 5 3 3 2 7 2 3" xfId="12825" xr:uid="{DB60A77F-4763-4231-8BEF-3515E67F1AD9}"/>
    <cellStyle name="Normal 5 3 3 2 7 3" xfId="6469" xr:uid="{00000000-0005-0000-0000-0000C1190000}"/>
    <cellStyle name="Normal 5 3 3 2 7 3 2" xfId="14898" xr:uid="{71C4870A-F8FD-40AA-90E6-5D1F07063237}"/>
    <cellStyle name="Normal 5 3 3 2 7 4" xfId="10680" xr:uid="{3ED0732E-36C7-4976-8E69-D6000F11876D}"/>
    <cellStyle name="Normal 5 3 3 2 8" xfId="2597" xr:uid="{00000000-0005-0000-0000-0000C2190000}"/>
    <cellStyle name="Normal 5 3 3 2 8 2" xfId="6882" xr:uid="{00000000-0005-0000-0000-0000C3190000}"/>
    <cellStyle name="Normal 5 3 3 2 8 2 2" xfId="15311" xr:uid="{A3CC7C90-4210-4A51-94E8-FC3FA6D57987}"/>
    <cellStyle name="Normal 5 3 3 2 8 3" xfId="11093" xr:uid="{A5DA1277-B81D-4CA9-ADC8-BBF5AB9F12D9}"/>
    <cellStyle name="Normal 5 3 3 2 9" xfId="4817" xr:uid="{00000000-0005-0000-0000-0000C4190000}"/>
    <cellStyle name="Normal 5 3 3 2 9 2" xfId="13246" xr:uid="{7C09BA16-B953-4DE1-8A61-A1C82ED0ACEC}"/>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62A14810-3A06-47C7-AC06-87C6F3B09613}"/>
    <cellStyle name="Normal 5 3 3 3 2 2 2 3" xfId="11591" xr:uid="{FE696456-35CF-4A6B-893F-6CDF95E0F2A9}"/>
    <cellStyle name="Normal 5 3 3 3 2 2 3" xfId="5235" xr:uid="{00000000-0005-0000-0000-0000CA190000}"/>
    <cellStyle name="Normal 5 3 3 3 2 2 3 2" xfId="13664" xr:uid="{D4118646-1F60-423D-94B4-E1AFB9B68FB1}"/>
    <cellStyle name="Normal 5 3 3 3 2 2 4" xfId="9446" xr:uid="{A9D1C552-95F9-4BF3-8B7A-369CE5E5435F}"/>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04F06FFD-8C88-422B-951D-A57FDCC3FDE2}"/>
    <cellStyle name="Normal 5 3 3 3 2 3 2 3" xfId="12004" xr:uid="{73EFAE34-7206-4EEB-94BA-AE96451E0E88}"/>
    <cellStyle name="Normal 5 3 3 3 2 3 3" xfId="5648" xr:uid="{00000000-0005-0000-0000-0000CE190000}"/>
    <cellStyle name="Normal 5 3 3 3 2 3 3 2" xfId="14077" xr:uid="{D83E989B-14D3-4FDF-92C1-5EA4131F934C}"/>
    <cellStyle name="Normal 5 3 3 3 2 3 4" xfId="9859" xr:uid="{4BB6A29C-0379-4D4A-8DFA-D37DF8A9B6F4}"/>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335F2132-5EE4-421E-9F4C-25FC5596FC81}"/>
    <cellStyle name="Normal 5 3 3 3 2 4 2 3" xfId="12417" xr:uid="{09D5218F-C2BA-4A44-A44F-6DA0F58D043E}"/>
    <cellStyle name="Normal 5 3 3 3 2 4 3" xfId="6061" xr:uid="{00000000-0005-0000-0000-0000D2190000}"/>
    <cellStyle name="Normal 5 3 3 3 2 4 3 2" xfId="14490" xr:uid="{69D5B694-96AF-44F9-A475-F63863B95C36}"/>
    <cellStyle name="Normal 5 3 3 3 2 4 4" xfId="10272" xr:uid="{EA80898B-9CCA-4695-99C8-BF9E8AA66941}"/>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6F17C1E9-FF0C-43C6-AC04-8AE68F365290}"/>
    <cellStyle name="Normal 5 3 3 3 2 5 2 3" xfId="12830" xr:uid="{0B6F7DF8-998F-472D-82C7-3F4C0639D560}"/>
    <cellStyle name="Normal 5 3 3 3 2 5 3" xfId="6474" xr:uid="{00000000-0005-0000-0000-0000D6190000}"/>
    <cellStyle name="Normal 5 3 3 3 2 5 3 2" xfId="14903" xr:uid="{12C25184-1A00-4B1B-BD07-5F80177324F6}"/>
    <cellStyle name="Normal 5 3 3 3 2 5 4" xfId="10685" xr:uid="{ACFA1E33-183A-45F0-ABF0-24B44FA5C244}"/>
    <cellStyle name="Normal 5 3 3 3 2 6" xfId="2602" xr:uid="{00000000-0005-0000-0000-0000D7190000}"/>
    <cellStyle name="Normal 5 3 3 3 2 6 2" xfId="6887" xr:uid="{00000000-0005-0000-0000-0000D8190000}"/>
    <cellStyle name="Normal 5 3 3 3 2 6 2 2" xfId="15316" xr:uid="{A01D130D-8CED-4E69-BD72-ED5C005BB47C}"/>
    <cellStyle name="Normal 5 3 3 3 2 6 3" xfId="11098" xr:uid="{A0BC4420-3A27-4EF7-8F21-02FB72A79A98}"/>
    <cellStyle name="Normal 5 3 3 3 2 7" xfId="4822" xr:uid="{00000000-0005-0000-0000-0000D9190000}"/>
    <cellStyle name="Normal 5 3 3 3 2 7 2" xfId="13251" xr:uid="{EFD89997-6D9B-488D-904F-9DEEAEC6505A}"/>
    <cellStyle name="Normal 5 3 3 3 2 8" xfId="9033" xr:uid="{8B4FAB6C-E68C-4C69-AAC7-E89F89D9B5BB}"/>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30774C0D-2BA8-466A-9A48-6A43650DA38D}"/>
    <cellStyle name="Normal 5 3 3 3 3 2 3" xfId="11590" xr:uid="{5FDF67CA-3F81-4DBE-B0E3-638C163D37CC}"/>
    <cellStyle name="Normal 5 3 3 3 3 3" xfId="5234" xr:uid="{00000000-0005-0000-0000-0000DD190000}"/>
    <cellStyle name="Normal 5 3 3 3 3 3 2" xfId="13663" xr:uid="{D58FA16E-B2CD-4691-9182-9CBD77232DFA}"/>
    <cellStyle name="Normal 5 3 3 3 3 4" xfId="9445" xr:uid="{A762BEA4-0D7A-4F53-B504-4B15D4D52096}"/>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7F34B276-9F75-4948-B7B1-C94F3EEB3634}"/>
    <cellStyle name="Normal 5 3 3 3 4 2 3" xfId="12003" xr:uid="{74C47D99-85FE-4371-A833-C6F76B35762E}"/>
    <cellStyle name="Normal 5 3 3 3 4 3" xfId="5647" xr:uid="{00000000-0005-0000-0000-0000E1190000}"/>
    <cellStyle name="Normal 5 3 3 3 4 3 2" xfId="14076" xr:uid="{2EA7182B-4071-4DC2-9E60-EA92C26AD318}"/>
    <cellStyle name="Normal 5 3 3 3 4 4" xfId="9858" xr:uid="{5F7AD4F3-EC38-4C8C-849A-FD9C497D6BCE}"/>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5D71A653-B790-4E32-9126-86F43890B4A7}"/>
    <cellStyle name="Normal 5 3 3 3 5 2 3" xfId="12416" xr:uid="{E80AF648-9989-43A0-BB19-4682043DB40F}"/>
    <cellStyle name="Normal 5 3 3 3 5 3" xfId="6060" xr:uid="{00000000-0005-0000-0000-0000E5190000}"/>
    <cellStyle name="Normal 5 3 3 3 5 3 2" xfId="14489" xr:uid="{A29A0720-871A-4AC4-926A-49466D3DE349}"/>
    <cellStyle name="Normal 5 3 3 3 5 4" xfId="10271" xr:uid="{BB800C85-1B36-4461-B77F-83103641628E}"/>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3FE80162-F3E7-46DC-94A3-B783C5F96D98}"/>
    <cellStyle name="Normal 5 3 3 3 6 2 3" xfId="12829" xr:uid="{D0706278-C0E6-4568-B625-AA6413F09843}"/>
    <cellStyle name="Normal 5 3 3 3 6 3" xfId="6473" xr:uid="{00000000-0005-0000-0000-0000E9190000}"/>
    <cellStyle name="Normal 5 3 3 3 6 3 2" xfId="14902" xr:uid="{DE571C12-B295-4D03-9DF0-2A246703993C}"/>
    <cellStyle name="Normal 5 3 3 3 6 4" xfId="10684" xr:uid="{F494F775-4593-4F69-8F25-B4D7BF0B3689}"/>
    <cellStyle name="Normal 5 3 3 3 7" xfId="2601" xr:uid="{00000000-0005-0000-0000-0000EA190000}"/>
    <cellStyle name="Normal 5 3 3 3 7 2" xfId="6886" xr:uid="{00000000-0005-0000-0000-0000EB190000}"/>
    <cellStyle name="Normal 5 3 3 3 7 2 2" xfId="15315" xr:uid="{C6460E12-2406-47D0-B5CE-E3FB0EE46F1D}"/>
    <cellStyle name="Normal 5 3 3 3 7 3" xfId="11097" xr:uid="{FC335E6A-37E6-4FC4-AF7B-3751A6DF9204}"/>
    <cellStyle name="Normal 5 3 3 3 8" xfId="4821" xr:uid="{00000000-0005-0000-0000-0000EC190000}"/>
    <cellStyle name="Normal 5 3 3 3 8 2" xfId="13250" xr:uid="{F2FB1DAF-B5DC-4152-A0CB-F2EC9387F51C}"/>
    <cellStyle name="Normal 5 3 3 3 9" xfId="9032" xr:uid="{B3BA9D06-5DDA-4B36-92C5-BE1871BE0B2C}"/>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2043A00C-C8DD-493E-86CA-41D204287C4D}"/>
    <cellStyle name="Normal 5 3 3 4 2 2 3" xfId="11592" xr:uid="{1E033811-FA04-406D-B039-9AC45976E207}"/>
    <cellStyle name="Normal 5 3 3 4 2 3" xfId="5236" xr:uid="{00000000-0005-0000-0000-0000F1190000}"/>
    <cellStyle name="Normal 5 3 3 4 2 3 2" xfId="13665" xr:uid="{9F02B842-DCD4-441B-A39A-19F224CE43AC}"/>
    <cellStyle name="Normal 5 3 3 4 2 4" xfId="9447" xr:uid="{9347C9F7-B3BD-46B6-8CF2-20DB4CD9DF5D}"/>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A0AA8548-414A-4EF2-9849-1705C33ED42A}"/>
    <cellStyle name="Normal 5 3 3 4 3 2 3" xfId="12005" xr:uid="{40C583B9-4D42-4B6E-9EF1-2A0258B92FA5}"/>
    <cellStyle name="Normal 5 3 3 4 3 3" xfId="5649" xr:uid="{00000000-0005-0000-0000-0000F5190000}"/>
    <cellStyle name="Normal 5 3 3 4 3 3 2" xfId="14078" xr:uid="{6F084F15-9824-4A23-A24B-5A35B3F492C7}"/>
    <cellStyle name="Normal 5 3 3 4 3 4" xfId="9860" xr:uid="{12A88BB5-8ABE-4012-BC51-51B041100673}"/>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7096591F-AC1C-48A0-A802-5ED9428C68EE}"/>
    <cellStyle name="Normal 5 3 3 4 4 2 3" xfId="12418" xr:uid="{162D1D6E-77C2-46C5-917E-9E5EE54AFD7D}"/>
    <cellStyle name="Normal 5 3 3 4 4 3" xfId="6062" xr:uid="{00000000-0005-0000-0000-0000F9190000}"/>
    <cellStyle name="Normal 5 3 3 4 4 3 2" xfId="14491" xr:uid="{47138B1D-9402-439A-A936-362D54961A7D}"/>
    <cellStyle name="Normal 5 3 3 4 4 4" xfId="10273" xr:uid="{DF9136DC-6D94-438A-9B79-5ABE0B6CBE46}"/>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96F08242-6C29-4800-906F-E7C882E2C109}"/>
    <cellStyle name="Normal 5 3 3 4 5 2 3" xfId="12831" xr:uid="{26D65192-1B7C-4675-BAE2-789EA84E1A42}"/>
    <cellStyle name="Normal 5 3 3 4 5 3" xfId="6475" xr:uid="{00000000-0005-0000-0000-0000FD190000}"/>
    <cellStyle name="Normal 5 3 3 4 5 3 2" xfId="14904" xr:uid="{24174246-0374-4C9E-81EC-469EB36FAFA6}"/>
    <cellStyle name="Normal 5 3 3 4 5 4" xfId="10686" xr:uid="{C6D75D70-E580-4DA7-B8D6-993039330C60}"/>
    <cellStyle name="Normal 5 3 3 4 6" xfId="2603" xr:uid="{00000000-0005-0000-0000-0000FE190000}"/>
    <cellStyle name="Normal 5 3 3 4 6 2" xfId="6888" xr:uid="{00000000-0005-0000-0000-0000FF190000}"/>
    <cellStyle name="Normal 5 3 3 4 6 2 2" xfId="15317" xr:uid="{E6F519DC-84E5-465C-AABF-E66F249FF42B}"/>
    <cellStyle name="Normal 5 3 3 4 6 3" xfId="11099" xr:uid="{005EAEFD-9D81-46C4-996A-3A329AEC3C2C}"/>
    <cellStyle name="Normal 5 3 3 4 7" xfId="4823" xr:uid="{00000000-0005-0000-0000-0000001A0000}"/>
    <cellStyle name="Normal 5 3 3 4 7 2" xfId="13252" xr:uid="{38805A13-2E2E-4299-90C4-7181E6C54EAA}"/>
    <cellStyle name="Normal 5 3 3 4 8" xfId="9034" xr:uid="{0B85D7AA-CDDF-4667-AD3C-2494D78E9109}"/>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6AF8938F-C65E-418F-914D-BE8B7CA82EE8}"/>
    <cellStyle name="Normal 5 3 3 5 2 3" xfId="11585" xr:uid="{613765E7-9BE0-4236-A8D2-7D4B639713BE}"/>
    <cellStyle name="Normal 5 3 3 5 3" xfId="5229" xr:uid="{00000000-0005-0000-0000-0000041A0000}"/>
    <cellStyle name="Normal 5 3 3 5 3 2" xfId="13658" xr:uid="{68E3DABB-11D3-4156-AA94-7517663405C4}"/>
    <cellStyle name="Normal 5 3 3 5 4" xfId="9440" xr:uid="{965465F2-A280-4068-B259-78F891E59DFF}"/>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7A8EBAC3-65C6-4860-8738-A11CAAEA214E}"/>
    <cellStyle name="Normal 5 3 3 6 2 3" xfId="11998" xr:uid="{D0D099C5-5498-44E5-8FE8-93398E9CFEC5}"/>
    <cellStyle name="Normal 5 3 3 6 3" xfId="5642" xr:uid="{00000000-0005-0000-0000-0000081A0000}"/>
    <cellStyle name="Normal 5 3 3 6 3 2" xfId="14071" xr:uid="{F3E14BD9-DBDB-470B-84E0-B902E686C4A6}"/>
    <cellStyle name="Normal 5 3 3 6 4" xfId="9853" xr:uid="{41C7A976-E3A3-4814-B82C-4337A5BFC16B}"/>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D94DD928-9220-45FF-9560-BD62742DF393}"/>
    <cellStyle name="Normal 5 3 3 7 2 3" xfId="12411" xr:uid="{5CE5D199-CE9F-40BF-B3E4-BAD40CC109F9}"/>
    <cellStyle name="Normal 5 3 3 7 3" xfId="6055" xr:uid="{00000000-0005-0000-0000-00000C1A0000}"/>
    <cellStyle name="Normal 5 3 3 7 3 2" xfId="14484" xr:uid="{F8F8BE7A-B066-4DD3-8B0D-E116039BA903}"/>
    <cellStyle name="Normal 5 3 3 7 4" xfId="10266" xr:uid="{A639083D-21DD-499A-BA88-15F10F582E0C}"/>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7D3A6643-F9A0-4A3C-BAA9-417B0DF6CDCC}"/>
    <cellStyle name="Normal 5 3 3 8 2 3" xfId="12824" xr:uid="{FC599FC6-6204-4CE8-B183-F8992796F8B2}"/>
    <cellStyle name="Normal 5 3 3 8 3" xfId="6468" xr:uid="{00000000-0005-0000-0000-0000101A0000}"/>
    <cellStyle name="Normal 5 3 3 8 3 2" xfId="14897" xr:uid="{8DB33CE6-396E-42E2-97F5-3F3EEF741C9D}"/>
    <cellStyle name="Normal 5 3 3 8 4" xfId="10679" xr:uid="{549727CF-C0FB-4F74-8A5A-98CBA2AE1231}"/>
    <cellStyle name="Normal 5 3 3 9" xfId="2596" xr:uid="{00000000-0005-0000-0000-0000111A0000}"/>
    <cellStyle name="Normal 5 3 3 9 2" xfId="6881" xr:uid="{00000000-0005-0000-0000-0000121A0000}"/>
    <cellStyle name="Normal 5 3 3 9 2 2" xfId="15310" xr:uid="{B960D42C-1183-4AA5-9AE9-BBC3EF44D665}"/>
    <cellStyle name="Normal 5 3 3 9 3" xfId="11092" xr:uid="{5BB279ED-1050-46F1-8E27-C60FE95356F0}"/>
    <cellStyle name="Normal 5 3 4" xfId="449" xr:uid="{00000000-0005-0000-0000-0000131A0000}"/>
    <cellStyle name="Normal 5 3 4 10" xfId="9035" xr:uid="{034F068F-6992-454A-A337-7C4DADC6421D}"/>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C75CC99A-B0E5-4E61-95FD-D2B993485E71}"/>
    <cellStyle name="Normal 5 3 4 2 2 2 2 3" xfId="11595" xr:uid="{6DEAE78C-415B-42F1-95FD-C32A843A7ED1}"/>
    <cellStyle name="Normal 5 3 4 2 2 2 3" xfId="5239" xr:uid="{00000000-0005-0000-0000-0000191A0000}"/>
    <cellStyle name="Normal 5 3 4 2 2 2 3 2" xfId="13668" xr:uid="{6F79C3E2-D81E-45A3-8AD8-16E03B306672}"/>
    <cellStyle name="Normal 5 3 4 2 2 2 4" xfId="9450" xr:uid="{1D9A812B-F9D1-4BE9-B847-106C32B4EAC1}"/>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23943880-5910-4B77-A78D-19F1994CBB00}"/>
    <cellStyle name="Normal 5 3 4 2 2 3 2 3" xfId="12008" xr:uid="{6BCD8046-D57A-4989-9F1F-11EE7C0D1BB9}"/>
    <cellStyle name="Normal 5 3 4 2 2 3 3" xfId="5652" xr:uid="{00000000-0005-0000-0000-00001D1A0000}"/>
    <cellStyle name="Normal 5 3 4 2 2 3 3 2" xfId="14081" xr:uid="{29EF6CE5-B554-4628-9547-DD152DD12798}"/>
    <cellStyle name="Normal 5 3 4 2 2 3 4" xfId="9863" xr:uid="{A6D89367-8BF8-4467-9DA6-2413F596D65C}"/>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99A406CF-550A-4D18-B079-E52D53A250A2}"/>
    <cellStyle name="Normal 5 3 4 2 2 4 2 3" xfId="12421" xr:uid="{AB9FA61F-756E-417F-A0CB-1651849DCC8C}"/>
    <cellStyle name="Normal 5 3 4 2 2 4 3" xfId="6065" xr:uid="{00000000-0005-0000-0000-0000211A0000}"/>
    <cellStyle name="Normal 5 3 4 2 2 4 3 2" xfId="14494" xr:uid="{F6E17C73-D347-4E77-ABC9-37331DF598E6}"/>
    <cellStyle name="Normal 5 3 4 2 2 4 4" xfId="10276" xr:uid="{667AD156-0180-4D65-AAF9-C407E6B6A704}"/>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DB4D0EAF-7703-49A4-9B09-343A989D35F7}"/>
    <cellStyle name="Normal 5 3 4 2 2 5 2 3" xfId="12834" xr:uid="{6116A6C6-2BC1-4628-88B2-FC9B109EDC13}"/>
    <cellStyle name="Normal 5 3 4 2 2 5 3" xfId="6478" xr:uid="{00000000-0005-0000-0000-0000251A0000}"/>
    <cellStyle name="Normal 5 3 4 2 2 5 3 2" xfId="14907" xr:uid="{FEE24D35-4ACB-4033-8B96-532C2AAA39C3}"/>
    <cellStyle name="Normal 5 3 4 2 2 5 4" xfId="10689" xr:uid="{840FCACA-FC67-4007-88BA-B923C9E0160B}"/>
    <cellStyle name="Normal 5 3 4 2 2 6" xfId="2606" xr:uid="{00000000-0005-0000-0000-0000261A0000}"/>
    <cellStyle name="Normal 5 3 4 2 2 6 2" xfId="6891" xr:uid="{00000000-0005-0000-0000-0000271A0000}"/>
    <cellStyle name="Normal 5 3 4 2 2 6 2 2" xfId="15320" xr:uid="{33F1C700-4969-4A32-8C2B-B8989969AD45}"/>
    <cellStyle name="Normal 5 3 4 2 2 6 3" xfId="11102" xr:uid="{02854A65-8AA5-4D10-AEA9-89D1CE4FD333}"/>
    <cellStyle name="Normal 5 3 4 2 2 7" xfId="4826" xr:uid="{00000000-0005-0000-0000-0000281A0000}"/>
    <cellStyle name="Normal 5 3 4 2 2 7 2" xfId="13255" xr:uid="{563EDD03-6892-4713-BFE7-449D9DC062F2}"/>
    <cellStyle name="Normal 5 3 4 2 2 8" xfId="9037" xr:uid="{D9A5C409-52D0-4574-8A9A-358A87ABC4A2}"/>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9204151B-333D-4CDB-BE3C-7EA57E50EC7B}"/>
    <cellStyle name="Normal 5 3 4 2 3 2 3" xfId="11594" xr:uid="{DA2DF376-4A16-4282-9C17-66A119F90537}"/>
    <cellStyle name="Normal 5 3 4 2 3 3" xfId="5238" xr:uid="{00000000-0005-0000-0000-00002C1A0000}"/>
    <cellStyle name="Normal 5 3 4 2 3 3 2" xfId="13667" xr:uid="{AC94AD08-39AE-4968-990F-42A64EB398D5}"/>
    <cellStyle name="Normal 5 3 4 2 3 4" xfId="9449" xr:uid="{8801F0DB-D3FC-4CF8-8DE5-01B665100BF6}"/>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9265D2F5-59D6-499F-A6CE-C8E0FB41C92B}"/>
    <cellStyle name="Normal 5 3 4 2 4 2 3" xfId="12007" xr:uid="{8D5EEC99-3D58-43A9-B841-06D0E3E28728}"/>
    <cellStyle name="Normal 5 3 4 2 4 3" xfId="5651" xr:uid="{00000000-0005-0000-0000-0000301A0000}"/>
    <cellStyle name="Normal 5 3 4 2 4 3 2" xfId="14080" xr:uid="{8B686AB5-B9FB-4F5F-805D-A1721A7446EE}"/>
    <cellStyle name="Normal 5 3 4 2 4 4" xfId="9862" xr:uid="{366CAA22-0A35-43E7-8146-8ACD0C33020B}"/>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0D007019-B8AE-4ACA-B6C3-69F85A987E2B}"/>
    <cellStyle name="Normal 5 3 4 2 5 2 3" xfId="12420" xr:uid="{5EF5EA44-005F-4790-A5AB-0F937A0F4B74}"/>
    <cellStyle name="Normal 5 3 4 2 5 3" xfId="6064" xr:uid="{00000000-0005-0000-0000-0000341A0000}"/>
    <cellStyle name="Normal 5 3 4 2 5 3 2" xfId="14493" xr:uid="{0D6B2F70-83A3-48A0-B9F5-31A275919DF5}"/>
    <cellStyle name="Normal 5 3 4 2 5 4" xfId="10275" xr:uid="{10103BA7-F3EB-4379-950F-E10859F1EC4B}"/>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F597398E-309F-4A49-8613-2FA260697542}"/>
    <cellStyle name="Normal 5 3 4 2 6 2 3" xfId="12833" xr:uid="{52D84DB1-02A8-4B31-AB27-9506C2588FD4}"/>
    <cellStyle name="Normal 5 3 4 2 6 3" xfId="6477" xr:uid="{00000000-0005-0000-0000-0000381A0000}"/>
    <cellStyle name="Normal 5 3 4 2 6 3 2" xfId="14906" xr:uid="{A1A626B9-0BBF-4DDD-8D9F-EDDDBDED8B63}"/>
    <cellStyle name="Normal 5 3 4 2 6 4" xfId="10688" xr:uid="{5BA39255-1BF0-4F98-8BCB-F6CEB5D87816}"/>
    <cellStyle name="Normal 5 3 4 2 7" xfId="2605" xr:uid="{00000000-0005-0000-0000-0000391A0000}"/>
    <cellStyle name="Normal 5 3 4 2 7 2" xfId="6890" xr:uid="{00000000-0005-0000-0000-00003A1A0000}"/>
    <cellStyle name="Normal 5 3 4 2 7 2 2" xfId="15319" xr:uid="{0D23B9A3-C1F6-494F-A3AF-A8C2AEE60F89}"/>
    <cellStyle name="Normal 5 3 4 2 7 3" xfId="11101" xr:uid="{B43A5B9E-3FD8-4C73-A8C8-0805F3E5DA9D}"/>
    <cellStyle name="Normal 5 3 4 2 8" xfId="4825" xr:uid="{00000000-0005-0000-0000-00003B1A0000}"/>
    <cellStyle name="Normal 5 3 4 2 8 2" xfId="13254" xr:uid="{BB77DB05-FF93-4ADF-BC55-31DBFFE94A05}"/>
    <cellStyle name="Normal 5 3 4 2 9" xfId="9036" xr:uid="{C7B627C2-3437-41E5-8472-EEE61849A44A}"/>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9CD35C83-F8F3-4511-8BE9-E3FB6A59ABF1}"/>
    <cellStyle name="Normal 5 3 4 3 2 2 3" xfId="11596" xr:uid="{DD53DAF6-E1B7-4887-A94B-61CAE5FA6BAE}"/>
    <cellStyle name="Normal 5 3 4 3 2 3" xfId="5240" xr:uid="{00000000-0005-0000-0000-0000401A0000}"/>
    <cellStyle name="Normal 5 3 4 3 2 3 2" xfId="13669" xr:uid="{A3D24E2B-8C16-4274-B203-72B5553C0842}"/>
    <cellStyle name="Normal 5 3 4 3 2 4" xfId="9451" xr:uid="{EAD6334D-6243-402A-A8AB-3D40CC637964}"/>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F701DD9F-05B6-4C7A-82A4-B6D50E61AFEF}"/>
    <cellStyle name="Normal 5 3 4 3 3 2 3" xfId="12009" xr:uid="{6CE6E5DF-146D-497F-BD86-2735DB42F50A}"/>
    <cellStyle name="Normal 5 3 4 3 3 3" xfId="5653" xr:uid="{00000000-0005-0000-0000-0000441A0000}"/>
    <cellStyle name="Normal 5 3 4 3 3 3 2" xfId="14082" xr:uid="{9DB68AFA-8287-4F3A-A1CD-A817064E6BAD}"/>
    <cellStyle name="Normal 5 3 4 3 3 4" xfId="9864" xr:uid="{93FF80E4-39AD-4A0B-A6E1-D40E8AE32115}"/>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C9F15B71-4825-44CB-8299-31FE74C691ED}"/>
    <cellStyle name="Normal 5 3 4 3 4 2 3" xfId="12422" xr:uid="{7E8874B4-A95A-48F0-9A07-606F2F92FD83}"/>
    <cellStyle name="Normal 5 3 4 3 4 3" xfId="6066" xr:uid="{00000000-0005-0000-0000-0000481A0000}"/>
    <cellStyle name="Normal 5 3 4 3 4 3 2" xfId="14495" xr:uid="{16C77A1A-74AD-4E71-B6D1-58FB09E4623D}"/>
    <cellStyle name="Normal 5 3 4 3 4 4" xfId="10277" xr:uid="{C69D92D9-AD8C-4202-87A8-755D21B8061B}"/>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ADDEC79F-DE55-4325-9369-7D39EBDFEEA8}"/>
    <cellStyle name="Normal 5 3 4 3 5 2 3" xfId="12835" xr:uid="{A5B24D2C-BFF2-425D-A78C-5E60006F78C5}"/>
    <cellStyle name="Normal 5 3 4 3 5 3" xfId="6479" xr:uid="{00000000-0005-0000-0000-00004C1A0000}"/>
    <cellStyle name="Normal 5 3 4 3 5 3 2" xfId="14908" xr:uid="{ECD81F7F-061B-47A1-9202-7D86BA5316F2}"/>
    <cellStyle name="Normal 5 3 4 3 5 4" xfId="10690" xr:uid="{A92BF318-DF84-416C-A752-02E5596DBA21}"/>
    <cellStyle name="Normal 5 3 4 3 6" xfId="2607" xr:uid="{00000000-0005-0000-0000-00004D1A0000}"/>
    <cellStyle name="Normal 5 3 4 3 6 2" xfId="6892" xr:uid="{00000000-0005-0000-0000-00004E1A0000}"/>
    <cellStyle name="Normal 5 3 4 3 6 2 2" xfId="15321" xr:uid="{14DEB807-20F0-4C29-9864-9470BB2CAA43}"/>
    <cellStyle name="Normal 5 3 4 3 6 3" xfId="11103" xr:uid="{1F4C6B6A-7DCD-4F97-8EFD-8277861807B9}"/>
    <cellStyle name="Normal 5 3 4 3 7" xfId="4827" xr:uid="{00000000-0005-0000-0000-00004F1A0000}"/>
    <cellStyle name="Normal 5 3 4 3 7 2" xfId="13256" xr:uid="{96092934-7005-49BC-8CBA-1CD6A94D414A}"/>
    <cellStyle name="Normal 5 3 4 3 8" xfId="9038" xr:uid="{D1A7176E-FD43-430E-B05E-7F3A5F0F8C76}"/>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D926AD90-891E-425A-9B9C-2CDD64F69849}"/>
    <cellStyle name="Normal 5 3 4 4 2 3" xfId="11593" xr:uid="{F06BD7D8-C23D-4281-A1D7-5D60832684A2}"/>
    <cellStyle name="Normal 5 3 4 4 3" xfId="5237" xr:uid="{00000000-0005-0000-0000-0000531A0000}"/>
    <cellStyle name="Normal 5 3 4 4 3 2" xfId="13666" xr:uid="{0F9241EB-8F5D-417C-80B1-3AE34A0694CA}"/>
    <cellStyle name="Normal 5 3 4 4 4" xfId="9448" xr:uid="{8B949CB1-F729-49FA-B717-D8A01E6335D6}"/>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201B072A-D291-4BA4-AA9C-29C11C9CBC87}"/>
    <cellStyle name="Normal 5 3 4 5 2 3" xfId="12006" xr:uid="{A08FD238-2B7A-4CE3-BDEF-C93BEFB08207}"/>
    <cellStyle name="Normal 5 3 4 5 3" xfId="5650" xr:uid="{00000000-0005-0000-0000-0000571A0000}"/>
    <cellStyle name="Normal 5 3 4 5 3 2" xfId="14079" xr:uid="{6F2F210B-C2D4-4CD3-8BC1-2A8A516B29F8}"/>
    <cellStyle name="Normal 5 3 4 5 4" xfId="9861" xr:uid="{477C7145-7B7A-4FDD-8174-8E77BA9624DF}"/>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C5C1BFDC-42E5-476C-ABAD-91A3197B29DC}"/>
    <cellStyle name="Normal 5 3 4 6 2 3" xfId="12419" xr:uid="{7BEBD5FE-FF58-4F62-B237-56E8A16A446F}"/>
    <cellStyle name="Normal 5 3 4 6 3" xfId="6063" xr:uid="{00000000-0005-0000-0000-00005B1A0000}"/>
    <cellStyle name="Normal 5 3 4 6 3 2" xfId="14492" xr:uid="{F3697D17-DC3F-46B3-8CF0-EC8D9B32719A}"/>
    <cellStyle name="Normal 5 3 4 6 4" xfId="10274" xr:uid="{FB147A82-58A1-436F-87FF-FBFEB45D59BA}"/>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6BDDAFFD-5EF6-4B10-A0EE-7FD33010C468}"/>
    <cellStyle name="Normal 5 3 4 7 2 3" xfId="12832" xr:uid="{74ED8460-6F90-4271-AFB9-7274C38D0BA4}"/>
    <cellStyle name="Normal 5 3 4 7 3" xfId="6476" xr:uid="{00000000-0005-0000-0000-00005F1A0000}"/>
    <cellStyle name="Normal 5 3 4 7 3 2" xfId="14905" xr:uid="{B11B0AF2-59B6-45D0-A295-AEBFA2F31C8F}"/>
    <cellStyle name="Normal 5 3 4 7 4" xfId="10687" xr:uid="{6F948379-6307-498C-BA0A-0FB5DA4C9AC7}"/>
    <cellStyle name="Normal 5 3 4 8" xfId="2604" xr:uid="{00000000-0005-0000-0000-0000601A0000}"/>
    <cellStyle name="Normal 5 3 4 8 2" xfId="6889" xr:uid="{00000000-0005-0000-0000-0000611A0000}"/>
    <cellStyle name="Normal 5 3 4 8 2 2" xfId="15318" xr:uid="{CDC512EF-8D95-419C-9D5C-200DAAB0AC74}"/>
    <cellStyle name="Normal 5 3 4 8 3" xfId="11100" xr:uid="{3BA573A5-6B64-408F-B37C-58E3DC7798A8}"/>
    <cellStyle name="Normal 5 3 4 9" xfId="4824" xr:uid="{00000000-0005-0000-0000-0000621A0000}"/>
    <cellStyle name="Normal 5 3 4 9 2" xfId="13253" xr:uid="{0B34C635-7E6F-4113-A227-CE8C89E747F8}"/>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019EF1D5-E30F-48C5-AF1C-05B73A32DCBB}"/>
    <cellStyle name="Normal 5 3 5 2 2 2 3" xfId="11598" xr:uid="{E789EE6B-01DF-4815-B9D9-377F8A177614}"/>
    <cellStyle name="Normal 5 3 5 2 2 3" xfId="5242" xr:uid="{00000000-0005-0000-0000-0000681A0000}"/>
    <cellStyle name="Normal 5 3 5 2 2 3 2" xfId="13671" xr:uid="{F3D4890C-4538-4A14-9ABB-52A9F2B79EB2}"/>
    <cellStyle name="Normal 5 3 5 2 2 4" xfId="9453" xr:uid="{E782535D-5A6D-4E45-993D-493CD38B3016}"/>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ED7A55FC-5E5D-448D-A796-9A1C70AE3F66}"/>
    <cellStyle name="Normal 5 3 5 2 3 2 3" xfId="12011" xr:uid="{70C2261F-E486-4A6F-B2AE-FC08FE40DB21}"/>
    <cellStyle name="Normal 5 3 5 2 3 3" xfId="5655" xr:uid="{00000000-0005-0000-0000-00006C1A0000}"/>
    <cellStyle name="Normal 5 3 5 2 3 3 2" xfId="14084" xr:uid="{98229E0B-E2C0-4A64-894D-E60A89B39072}"/>
    <cellStyle name="Normal 5 3 5 2 3 4" xfId="9866" xr:uid="{FA086CA4-9AA2-46C6-B195-979D70433F5A}"/>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3A57F096-7886-4AEB-BB77-C64C8DC2EE93}"/>
    <cellStyle name="Normal 5 3 5 2 4 2 3" xfId="12424" xr:uid="{AB8BD4F4-7CD0-4CEF-8031-6922346F1DBF}"/>
    <cellStyle name="Normal 5 3 5 2 4 3" xfId="6068" xr:uid="{00000000-0005-0000-0000-0000701A0000}"/>
    <cellStyle name="Normal 5 3 5 2 4 3 2" xfId="14497" xr:uid="{57FF8F04-73BC-42AC-84A7-EB61760E5C6D}"/>
    <cellStyle name="Normal 5 3 5 2 4 4" xfId="10279" xr:uid="{5D83425B-23E2-468A-81BD-6822C5E61C0A}"/>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8C7FAF63-F8E1-426D-ACED-1226F48555B3}"/>
    <cellStyle name="Normal 5 3 5 2 5 2 3" xfId="12837" xr:uid="{71CC92B1-6D13-49EE-BFB3-624DB6BAE448}"/>
    <cellStyle name="Normal 5 3 5 2 5 3" xfId="6481" xr:uid="{00000000-0005-0000-0000-0000741A0000}"/>
    <cellStyle name="Normal 5 3 5 2 5 3 2" xfId="14910" xr:uid="{D8C505AA-7A9F-4502-AF66-791774197912}"/>
    <cellStyle name="Normal 5 3 5 2 5 4" xfId="10692" xr:uid="{F224298B-6488-455B-B761-4F36AD444444}"/>
    <cellStyle name="Normal 5 3 5 2 6" xfId="2609" xr:uid="{00000000-0005-0000-0000-0000751A0000}"/>
    <cellStyle name="Normal 5 3 5 2 6 2" xfId="6894" xr:uid="{00000000-0005-0000-0000-0000761A0000}"/>
    <cellStyle name="Normal 5 3 5 2 6 2 2" xfId="15323" xr:uid="{FDDE95C6-B946-4632-A2DE-1419F8D4887B}"/>
    <cellStyle name="Normal 5 3 5 2 6 3" xfId="11105" xr:uid="{03B46909-5DE5-49CD-908B-EF42C965E07F}"/>
    <cellStyle name="Normal 5 3 5 2 7" xfId="4829" xr:uid="{00000000-0005-0000-0000-0000771A0000}"/>
    <cellStyle name="Normal 5 3 5 2 7 2" xfId="13258" xr:uid="{1246AE15-9D99-4F43-ABE7-EDE593B1BBA4}"/>
    <cellStyle name="Normal 5 3 5 2 8" xfId="9040" xr:uid="{E5503EE7-A182-4321-BE35-1DB23B1B80FF}"/>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72DB9B12-3922-44E0-A73F-AA4AC33C2AA5}"/>
    <cellStyle name="Normal 5 3 5 3 2 3" xfId="11597" xr:uid="{7CA1B8A5-41C9-48B5-BD7E-1F8D74398633}"/>
    <cellStyle name="Normal 5 3 5 3 3" xfId="5241" xr:uid="{00000000-0005-0000-0000-00007B1A0000}"/>
    <cellStyle name="Normal 5 3 5 3 3 2" xfId="13670" xr:uid="{3B5E825A-0CE2-4E44-B053-F5031E2C4BC9}"/>
    <cellStyle name="Normal 5 3 5 3 4" xfId="9452" xr:uid="{F8C16F09-6CC9-4A2F-83F4-DF0A35431ABF}"/>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95ACB09A-62D3-437E-9B15-540457D2646C}"/>
    <cellStyle name="Normal 5 3 5 4 2 3" xfId="12010" xr:uid="{97E2D808-2894-469B-BEC2-B8CE7F750C3D}"/>
    <cellStyle name="Normal 5 3 5 4 3" xfId="5654" xr:uid="{00000000-0005-0000-0000-00007F1A0000}"/>
    <cellStyle name="Normal 5 3 5 4 3 2" xfId="14083" xr:uid="{1FFF1090-E4BD-484B-9503-520A790F186A}"/>
    <cellStyle name="Normal 5 3 5 4 4" xfId="9865" xr:uid="{46934CBA-C7BC-4123-8C0F-F2EF5E7B6ACE}"/>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DC5731AE-4951-4439-9FE5-87F263BAFE24}"/>
    <cellStyle name="Normal 5 3 5 5 2 3" xfId="12423" xr:uid="{CA5224E5-42C9-4200-A843-1546C1152C49}"/>
    <cellStyle name="Normal 5 3 5 5 3" xfId="6067" xr:uid="{00000000-0005-0000-0000-0000831A0000}"/>
    <cellStyle name="Normal 5 3 5 5 3 2" xfId="14496" xr:uid="{B58D98B7-8260-478F-83EA-B5FC2CE5A6A7}"/>
    <cellStyle name="Normal 5 3 5 5 4" xfId="10278" xr:uid="{BE0A8BA1-F806-44EC-BE31-755D00D0660F}"/>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BE1B9550-1B6E-4A96-BBEF-84A2C160E165}"/>
    <cellStyle name="Normal 5 3 5 6 2 3" xfId="12836" xr:uid="{8A2B8517-4275-403D-B8ED-C3A4CA64FBA5}"/>
    <cellStyle name="Normal 5 3 5 6 3" xfId="6480" xr:uid="{00000000-0005-0000-0000-0000871A0000}"/>
    <cellStyle name="Normal 5 3 5 6 3 2" xfId="14909" xr:uid="{6105C0CC-032C-4855-B58D-32E1E69186ED}"/>
    <cellStyle name="Normal 5 3 5 6 4" xfId="10691" xr:uid="{F599640F-F06E-4A6F-869E-B89A5EB44733}"/>
    <cellStyle name="Normal 5 3 5 7" xfId="2608" xr:uid="{00000000-0005-0000-0000-0000881A0000}"/>
    <cellStyle name="Normal 5 3 5 7 2" xfId="6893" xr:uid="{00000000-0005-0000-0000-0000891A0000}"/>
    <cellStyle name="Normal 5 3 5 7 2 2" xfId="15322" xr:uid="{A465E3CB-9128-4FE1-AC17-56BDF6F083FF}"/>
    <cellStyle name="Normal 5 3 5 7 3" xfId="11104" xr:uid="{BF624923-46A0-4E48-96BE-23CDA7CA624C}"/>
    <cellStyle name="Normal 5 3 5 8" xfId="4828" xr:uid="{00000000-0005-0000-0000-00008A1A0000}"/>
    <cellStyle name="Normal 5 3 5 8 2" xfId="13257" xr:uid="{2B2CB8F5-9B58-4A89-B6A5-CB6937E6E7DF}"/>
    <cellStyle name="Normal 5 3 5 9" xfId="9039" xr:uid="{39B79C42-9E8A-4820-8CDD-AAB62A98C144}"/>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C03819C9-7200-4BCE-95B2-4648784B18E9}"/>
    <cellStyle name="Normal 5 3 6 2 2 3" xfId="11599" xr:uid="{3A17CA85-19D1-4B35-938E-77EA935A5DA2}"/>
    <cellStyle name="Normal 5 3 6 2 3" xfId="5243" xr:uid="{00000000-0005-0000-0000-00008F1A0000}"/>
    <cellStyle name="Normal 5 3 6 2 3 2" xfId="13672" xr:uid="{55DBA948-3E9D-41E6-8BF8-F80032B3DBC8}"/>
    <cellStyle name="Normal 5 3 6 2 4" xfId="9454" xr:uid="{86D28020-D092-4B34-BEA0-1F76AB317EC5}"/>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90D66841-19FE-4C02-B606-80C53DB44D0D}"/>
    <cellStyle name="Normal 5 3 6 3 2 3" xfId="12012" xr:uid="{EA3B993A-802A-4E4E-B488-31FD35CF995B}"/>
    <cellStyle name="Normal 5 3 6 3 3" xfId="5656" xr:uid="{00000000-0005-0000-0000-0000931A0000}"/>
    <cellStyle name="Normal 5 3 6 3 3 2" xfId="14085" xr:uid="{BB71B0C8-7950-4D5B-B075-89E18D68F700}"/>
    <cellStyle name="Normal 5 3 6 3 4" xfId="9867" xr:uid="{5B928192-FB58-4792-A104-B1447486B95E}"/>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ABB210C1-A5C1-4ABA-99F4-23F59E24A134}"/>
    <cellStyle name="Normal 5 3 6 4 2 3" xfId="12425" xr:uid="{803EC8C3-FDAA-4685-AF17-A133245893B0}"/>
    <cellStyle name="Normal 5 3 6 4 3" xfId="6069" xr:uid="{00000000-0005-0000-0000-0000971A0000}"/>
    <cellStyle name="Normal 5 3 6 4 3 2" xfId="14498" xr:uid="{80023D5F-598B-4390-B7A3-0416BF924DEA}"/>
    <cellStyle name="Normal 5 3 6 4 4" xfId="10280" xr:uid="{C5834F5C-89ED-4FEC-8E62-88063A6F6C52}"/>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B8004DC0-1094-4AC1-8C5C-AFFECF5C9E21}"/>
    <cellStyle name="Normal 5 3 6 5 2 3" xfId="12838" xr:uid="{03A30DA7-05E0-4E1B-B570-44D2EE6002C9}"/>
    <cellStyle name="Normal 5 3 6 5 3" xfId="6482" xr:uid="{00000000-0005-0000-0000-00009B1A0000}"/>
    <cellStyle name="Normal 5 3 6 5 3 2" xfId="14911" xr:uid="{BAFE1994-2299-45C8-93DC-E7AFE3650610}"/>
    <cellStyle name="Normal 5 3 6 5 4" xfId="10693" xr:uid="{55CA0A2E-8094-4101-AF30-43A38E5BFAE9}"/>
    <cellStyle name="Normal 5 3 6 6" xfId="2610" xr:uid="{00000000-0005-0000-0000-00009C1A0000}"/>
    <cellStyle name="Normal 5 3 6 6 2" xfId="6895" xr:uid="{00000000-0005-0000-0000-00009D1A0000}"/>
    <cellStyle name="Normal 5 3 6 6 2 2" xfId="15324" xr:uid="{6E83A44C-EDCD-444C-9476-1B4902E53F5E}"/>
    <cellStyle name="Normal 5 3 6 6 3" xfId="11106" xr:uid="{D973AF44-4AF3-4AB7-ABD0-70630056CDAD}"/>
    <cellStyle name="Normal 5 3 6 7" xfId="4830" xr:uid="{00000000-0005-0000-0000-00009E1A0000}"/>
    <cellStyle name="Normal 5 3 6 7 2" xfId="13259" xr:uid="{3561F783-7477-4400-8F66-C9EB508BACAD}"/>
    <cellStyle name="Normal 5 3 6 8" xfId="9041" xr:uid="{5B7ECDF9-810C-4281-A775-44D8F68DD18D}"/>
    <cellStyle name="Normal 5 3 7" xfId="914" xr:uid="{00000000-0005-0000-0000-00009F1A0000}"/>
    <cellStyle name="Normal 5 3 7 2" xfId="3149" xr:uid="{00000000-0005-0000-0000-0000A01A0000}"/>
    <cellStyle name="Normal 5 3 7 2 2" xfId="7373" xr:uid="{00000000-0005-0000-0000-0000A11A0000}"/>
    <cellStyle name="Normal 5 3 7 2 2 2" xfId="15802" xr:uid="{D9B18DE5-6EB2-4B57-87A6-D862DC0B6F25}"/>
    <cellStyle name="Normal 5 3 7 2 3" xfId="11584" xr:uid="{64BA9586-F732-462B-93CF-E93D7C48B44A}"/>
    <cellStyle name="Normal 5 3 7 3" xfId="5228" xr:uid="{00000000-0005-0000-0000-0000A21A0000}"/>
    <cellStyle name="Normal 5 3 7 3 2" xfId="13657" xr:uid="{2B05E50D-8EA1-4B72-8499-BC11CE7E60EA}"/>
    <cellStyle name="Normal 5 3 7 4" xfId="9439" xr:uid="{7619FE16-B76E-4680-AD93-29D31DA7144E}"/>
    <cellStyle name="Normal 5 3 8" xfId="1332" xr:uid="{00000000-0005-0000-0000-0000A31A0000}"/>
    <cellStyle name="Normal 5 3 8 2" xfId="3562" xr:uid="{00000000-0005-0000-0000-0000A41A0000}"/>
    <cellStyle name="Normal 5 3 8 2 2" xfId="7786" xr:uid="{00000000-0005-0000-0000-0000A51A0000}"/>
    <cellStyle name="Normal 5 3 8 2 2 2" xfId="16215" xr:uid="{BA1D7BBE-F9E4-465B-A15E-90C20B0D5532}"/>
    <cellStyle name="Normal 5 3 8 2 3" xfId="11997" xr:uid="{893132CE-115B-4C7F-9825-DB1269207209}"/>
    <cellStyle name="Normal 5 3 8 3" xfId="5641" xr:uid="{00000000-0005-0000-0000-0000A61A0000}"/>
    <cellStyle name="Normal 5 3 8 3 2" xfId="14070" xr:uid="{E0251BCE-7594-4DF4-ADEF-50194E6B0649}"/>
    <cellStyle name="Normal 5 3 8 4" xfId="9852" xr:uid="{E30F6363-D528-48CB-BDB1-BAB0F62A212B}"/>
    <cellStyle name="Normal 5 3 9" xfId="1745" xr:uid="{00000000-0005-0000-0000-0000A71A0000}"/>
    <cellStyle name="Normal 5 3 9 2" xfId="3975" xr:uid="{00000000-0005-0000-0000-0000A81A0000}"/>
    <cellStyle name="Normal 5 3 9 2 2" xfId="8199" xr:uid="{00000000-0005-0000-0000-0000A91A0000}"/>
    <cellStyle name="Normal 5 3 9 2 2 2" xfId="16628" xr:uid="{CB664494-F486-4D83-813E-2D12BFB6321D}"/>
    <cellStyle name="Normal 5 3 9 2 3" xfId="12410" xr:uid="{F24FCFBB-49A8-431A-B297-1338514E8DC8}"/>
    <cellStyle name="Normal 5 3 9 3" xfId="6054" xr:uid="{00000000-0005-0000-0000-0000AA1A0000}"/>
    <cellStyle name="Normal 5 3 9 3 2" xfId="14483" xr:uid="{0E75D4A4-113E-4B3C-B647-A787636C5DEC}"/>
    <cellStyle name="Normal 5 3 9 4" xfId="10265" xr:uid="{ACF3F299-F18B-4374-8207-52B882B83767}"/>
    <cellStyle name="Normal 5 4" xfId="456" xr:uid="{00000000-0005-0000-0000-0000AB1A0000}"/>
    <cellStyle name="Normal 5 4 10" xfId="4831" xr:uid="{00000000-0005-0000-0000-0000AC1A0000}"/>
    <cellStyle name="Normal 5 4 10 2" xfId="13260" xr:uid="{E674BA14-1F9C-4CAA-A39B-9F4A9EBC4A37}"/>
    <cellStyle name="Normal 5 4 11" xfId="9042" xr:uid="{E47D2602-5487-4C5C-9481-33A41A902A1F}"/>
    <cellStyle name="Normal 5 4 2" xfId="457" xr:uid="{00000000-0005-0000-0000-0000AD1A0000}"/>
    <cellStyle name="Normal 5 4 2 10" xfId="9043" xr:uid="{D0DE4163-1DE8-466C-83B7-F75C69714392}"/>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F073D478-88B0-496C-8377-05452B40DFE6}"/>
    <cellStyle name="Normal 5 4 2 2 2 2 2 3" xfId="11603" xr:uid="{60609018-FA88-4D4B-8015-68CAB0DB6F57}"/>
    <cellStyle name="Normal 5 4 2 2 2 2 3" xfId="5247" xr:uid="{00000000-0005-0000-0000-0000B31A0000}"/>
    <cellStyle name="Normal 5 4 2 2 2 2 3 2" xfId="13676" xr:uid="{CB97E8E9-02EB-463F-A303-4510EBF0489B}"/>
    <cellStyle name="Normal 5 4 2 2 2 2 4" xfId="9458" xr:uid="{B5B48DED-3819-42A2-AF84-9AA0FDDA261C}"/>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B54B7DFA-4962-4F03-A553-86EB6F300C26}"/>
    <cellStyle name="Normal 5 4 2 2 2 3 2 3" xfId="12016" xr:uid="{FB54A724-A440-4B1D-8D04-97F89490DE75}"/>
    <cellStyle name="Normal 5 4 2 2 2 3 3" xfId="5660" xr:uid="{00000000-0005-0000-0000-0000B71A0000}"/>
    <cellStyle name="Normal 5 4 2 2 2 3 3 2" xfId="14089" xr:uid="{7A3EE520-2E77-4B9B-B2A3-5C7924558EDD}"/>
    <cellStyle name="Normal 5 4 2 2 2 3 4" xfId="9871" xr:uid="{3D5BDD35-9C2F-4C5C-A62B-DA6BA66712EC}"/>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2E51E7AE-6826-4A7A-9767-B14DBF5CC5A7}"/>
    <cellStyle name="Normal 5 4 2 2 2 4 2 3" xfId="12429" xr:uid="{6B96EAE9-E7F4-4BB2-AE0B-25BFD8B29007}"/>
    <cellStyle name="Normal 5 4 2 2 2 4 3" xfId="6073" xr:uid="{00000000-0005-0000-0000-0000BB1A0000}"/>
    <cellStyle name="Normal 5 4 2 2 2 4 3 2" xfId="14502" xr:uid="{B4A7FBEB-DF2F-46FD-9DD9-180D29FF03A0}"/>
    <cellStyle name="Normal 5 4 2 2 2 4 4" xfId="10284" xr:uid="{34CF1BC6-C0F7-4CE0-AD30-6A78B2A61621}"/>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20757984-5905-4E11-87E9-90062AB5BDFA}"/>
    <cellStyle name="Normal 5 4 2 2 2 5 2 3" xfId="12842" xr:uid="{09660884-7198-4FA9-B69F-553336E0BF62}"/>
    <cellStyle name="Normal 5 4 2 2 2 5 3" xfId="6486" xr:uid="{00000000-0005-0000-0000-0000BF1A0000}"/>
    <cellStyle name="Normal 5 4 2 2 2 5 3 2" xfId="14915" xr:uid="{836DD1A5-04E0-41AB-8370-618438A0A113}"/>
    <cellStyle name="Normal 5 4 2 2 2 5 4" xfId="10697" xr:uid="{409005CB-91E4-43C1-BFBC-64B3798E69CA}"/>
    <cellStyle name="Normal 5 4 2 2 2 6" xfId="2614" xr:uid="{00000000-0005-0000-0000-0000C01A0000}"/>
    <cellStyle name="Normal 5 4 2 2 2 6 2" xfId="6899" xr:uid="{00000000-0005-0000-0000-0000C11A0000}"/>
    <cellStyle name="Normal 5 4 2 2 2 6 2 2" xfId="15328" xr:uid="{3B29A671-5F8A-4BC6-8DF7-935467A484AF}"/>
    <cellStyle name="Normal 5 4 2 2 2 6 3" xfId="11110" xr:uid="{2528CF6C-51BA-4326-97DF-4237D4ED1016}"/>
    <cellStyle name="Normal 5 4 2 2 2 7" xfId="4834" xr:uid="{00000000-0005-0000-0000-0000C21A0000}"/>
    <cellStyle name="Normal 5 4 2 2 2 7 2" xfId="13263" xr:uid="{4063BCFE-D043-4CED-9D03-A869B04CF37F}"/>
    <cellStyle name="Normal 5 4 2 2 2 8" xfId="9045" xr:uid="{9F6257A1-29CB-4C86-AFA9-335EDC39CE6D}"/>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0968D622-18B6-4A36-9ACF-A23E88BDBD38}"/>
    <cellStyle name="Normal 5 4 2 2 3 2 3" xfId="11602" xr:uid="{7110007C-FA38-441C-BEA0-D278E67B1EE5}"/>
    <cellStyle name="Normal 5 4 2 2 3 3" xfId="5246" xr:uid="{00000000-0005-0000-0000-0000C61A0000}"/>
    <cellStyle name="Normal 5 4 2 2 3 3 2" xfId="13675" xr:uid="{5490845C-4A90-4AE9-99B3-0A3D902A53A1}"/>
    <cellStyle name="Normal 5 4 2 2 3 4" xfId="9457" xr:uid="{0E0DBF0E-5B1F-4DF9-9A1A-52EDDF40222F}"/>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95E653CA-1E6E-444C-932F-0FFC9A53C1F2}"/>
    <cellStyle name="Normal 5 4 2 2 4 2 3" xfId="12015" xr:uid="{C3D326E5-52D7-421B-B703-9CAA40E8195E}"/>
    <cellStyle name="Normal 5 4 2 2 4 3" xfId="5659" xr:uid="{00000000-0005-0000-0000-0000CA1A0000}"/>
    <cellStyle name="Normal 5 4 2 2 4 3 2" xfId="14088" xr:uid="{DDDE2073-5C23-464A-8724-D7AE0F5401C1}"/>
    <cellStyle name="Normal 5 4 2 2 4 4" xfId="9870" xr:uid="{1909F716-F432-4B89-9E50-6ABCB96E8A15}"/>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4E1F5E5E-6EE5-4AC9-8AD8-014C52D295B9}"/>
    <cellStyle name="Normal 5 4 2 2 5 2 3" xfId="12428" xr:uid="{36F9BA32-B5A5-448D-8EC8-ED6F8AA5C510}"/>
    <cellStyle name="Normal 5 4 2 2 5 3" xfId="6072" xr:uid="{00000000-0005-0000-0000-0000CE1A0000}"/>
    <cellStyle name="Normal 5 4 2 2 5 3 2" xfId="14501" xr:uid="{D294152D-FEDD-4A8E-8B7D-77FEB399F36A}"/>
    <cellStyle name="Normal 5 4 2 2 5 4" xfId="10283" xr:uid="{E9B856AA-DD84-435C-8F2E-CF84AE3BB095}"/>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93DD9AFE-739B-4B89-A591-874DAB277ABA}"/>
    <cellStyle name="Normal 5 4 2 2 6 2 3" xfId="12841" xr:uid="{8C5D2030-85AE-4BF2-A36B-C3C75A772958}"/>
    <cellStyle name="Normal 5 4 2 2 6 3" xfId="6485" xr:uid="{00000000-0005-0000-0000-0000D21A0000}"/>
    <cellStyle name="Normal 5 4 2 2 6 3 2" xfId="14914" xr:uid="{D1CD65DE-6A19-4C34-89A8-DFD8E4B881F9}"/>
    <cellStyle name="Normal 5 4 2 2 6 4" xfId="10696" xr:uid="{02949B9C-7360-457A-9508-D2EDA3EBA3B2}"/>
    <cellStyle name="Normal 5 4 2 2 7" xfId="2613" xr:uid="{00000000-0005-0000-0000-0000D31A0000}"/>
    <cellStyle name="Normal 5 4 2 2 7 2" xfId="6898" xr:uid="{00000000-0005-0000-0000-0000D41A0000}"/>
    <cellStyle name="Normal 5 4 2 2 7 2 2" xfId="15327" xr:uid="{F261D054-F65B-495B-BF3F-78B62A898593}"/>
    <cellStyle name="Normal 5 4 2 2 7 3" xfId="11109" xr:uid="{14F56FCD-7DCF-428A-8082-E1C862202AF0}"/>
    <cellStyle name="Normal 5 4 2 2 8" xfId="4833" xr:uid="{00000000-0005-0000-0000-0000D51A0000}"/>
    <cellStyle name="Normal 5 4 2 2 8 2" xfId="13262" xr:uid="{89EB0743-D89B-4B7E-B5BF-6759428A4E53}"/>
    <cellStyle name="Normal 5 4 2 2 9" xfId="9044" xr:uid="{A6E78C7C-074B-4FA8-99FF-391F8C093738}"/>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E9B39FB4-943A-4C41-A1AD-74DD170FFC13}"/>
    <cellStyle name="Normal 5 4 2 3 2 2 3" xfId="11604" xr:uid="{8E736FF4-F5D1-4648-89D0-5872749D9E9F}"/>
    <cellStyle name="Normal 5 4 2 3 2 3" xfId="5248" xr:uid="{00000000-0005-0000-0000-0000DA1A0000}"/>
    <cellStyle name="Normal 5 4 2 3 2 3 2" xfId="13677" xr:uid="{F71406B8-A237-443D-9764-D85770FA874D}"/>
    <cellStyle name="Normal 5 4 2 3 2 4" xfId="9459" xr:uid="{0FA04050-FE03-481B-95AF-7ECF909F7FE1}"/>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E0601DA3-9069-434E-8B7E-890A267F2DB8}"/>
    <cellStyle name="Normal 5 4 2 3 3 2 3" xfId="12017" xr:uid="{2AA6614C-4E08-4F4E-BC31-EDC3AD6FA678}"/>
    <cellStyle name="Normal 5 4 2 3 3 3" xfId="5661" xr:uid="{00000000-0005-0000-0000-0000DE1A0000}"/>
    <cellStyle name="Normal 5 4 2 3 3 3 2" xfId="14090" xr:uid="{7E5AC86F-DFE0-43B8-BAC6-054A6DAB7B92}"/>
    <cellStyle name="Normal 5 4 2 3 3 4" xfId="9872" xr:uid="{9CDC8FC4-2EB5-4CA2-AF46-C01C4FB09AAC}"/>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D5B64BF4-D317-49EF-8AA7-E3C27DF4C70C}"/>
    <cellStyle name="Normal 5 4 2 3 4 2 3" xfId="12430" xr:uid="{015580DD-CA2A-4DB9-8B77-E5F85AEAB9E3}"/>
    <cellStyle name="Normal 5 4 2 3 4 3" xfId="6074" xr:uid="{00000000-0005-0000-0000-0000E21A0000}"/>
    <cellStyle name="Normal 5 4 2 3 4 3 2" xfId="14503" xr:uid="{7B65C971-05F9-4CD6-86E0-BDC57122E216}"/>
    <cellStyle name="Normal 5 4 2 3 4 4" xfId="10285" xr:uid="{DC9D7FDB-2FD9-4E10-A898-A59BED2BA530}"/>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2017A16A-560A-4ED6-922D-3A95EE612860}"/>
    <cellStyle name="Normal 5 4 2 3 5 2 3" xfId="12843" xr:uid="{5F5DF9E5-F56B-4453-B08F-BE33A256903A}"/>
    <cellStyle name="Normal 5 4 2 3 5 3" xfId="6487" xr:uid="{00000000-0005-0000-0000-0000E61A0000}"/>
    <cellStyle name="Normal 5 4 2 3 5 3 2" xfId="14916" xr:uid="{A3CF9A6D-7B4E-4BC9-ACFE-AD4F9E73860F}"/>
    <cellStyle name="Normal 5 4 2 3 5 4" xfId="10698" xr:uid="{4BC9A8A3-19A1-41EB-A76C-EA2A382C1582}"/>
    <cellStyle name="Normal 5 4 2 3 6" xfId="2615" xr:uid="{00000000-0005-0000-0000-0000E71A0000}"/>
    <cellStyle name="Normal 5 4 2 3 6 2" xfId="6900" xr:uid="{00000000-0005-0000-0000-0000E81A0000}"/>
    <cellStyle name="Normal 5 4 2 3 6 2 2" xfId="15329" xr:uid="{58AA6E38-5E1C-4CE0-82E7-FB1586B50DF2}"/>
    <cellStyle name="Normal 5 4 2 3 6 3" xfId="11111" xr:uid="{1B0E42A3-ECDA-42B1-B556-525C5B34DF12}"/>
    <cellStyle name="Normal 5 4 2 3 7" xfId="4835" xr:uid="{00000000-0005-0000-0000-0000E91A0000}"/>
    <cellStyle name="Normal 5 4 2 3 7 2" xfId="13264" xr:uid="{33FBCBA9-7E1A-494F-9385-E2D6CD02D19D}"/>
    <cellStyle name="Normal 5 4 2 3 8" xfId="9046" xr:uid="{C94B12C3-48D1-4E32-B950-5903F245BEEA}"/>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E38B7D90-780B-464F-AD9D-F9A80D76197B}"/>
    <cellStyle name="Normal 5 4 2 4 2 3" xfId="11601" xr:uid="{06E7F19E-09B2-4DC2-A5AF-411A5C51E5EE}"/>
    <cellStyle name="Normal 5 4 2 4 3" xfId="5245" xr:uid="{00000000-0005-0000-0000-0000ED1A0000}"/>
    <cellStyle name="Normal 5 4 2 4 3 2" xfId="13674" xr:uid="{D84B0158-B7CD-49F5-9F7D-2531C848C430}"/>
    <cellStyle name="Normal 5 4 2 4 4" xfId="9456" xr:uid="{A8C7DF73-70DA-4D09-9E8E-C095B69BA18E}"/>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1CCB13F2-5438-4DD0-BC65-657A85397381}"/>
    <cellStyle name="Normal 5 4 2 5 2 3" xfId="12014" xr:uid="{AB1733C8-0858-4055-9B94-28CD0D60804D}"/>
    <cellStyle name="Normal 5 4 2 5 3" xfId="5658" xr:uid="{00000000-0005-0000-0000-0000F11A0000}"/>
    <cellStyle name="Normal 5 4 2 5 3 2" xfId="14087" xr:uid="{5FBE53A3-75FD-4CCC-98F0-B1B33BF545FA}"/>
    <cellStyle name="Normal 5 4 2 5 4" xfId="9869" xr:uid="{1887E11E-FF0D-4763-A7CA-9D50F81D9E11}"/>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069A1EF4-5D79-4FC9-88A1-C4FE695D243F}"/>
    <cellStyle name="Normal 5 4 2 6 2 3" xfId="12427" xr:uid="{3241B892-9BF6-4283-80BA-61D78940C8FD}"/>
    <cellStyle name="Normal 5 4 2 6 3" xfId="6071" xr:uid="{00000000-0005-0000-0000-0000F51A0000}"/>
    <cellStyle name="Normal 5 4 2 6 3 2" xfId="14500" xr:uid="{5AB74C21-E8AA-4277-9A4F-673253C477CD}"/>
    <cellStyle name="Normal 5 4 2 6 4" xfId="10282" xr:uid="{1F95522C-4A3A-45B3-946A-BAD2C4A8DDF4}"/>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E21526E1-780F-45FB-859E-C02825618857}"/>
    <cellStyle name="Normal 5 4 2 7 2 3" xfId="12840" xr:uid="{48D9CCFB-7577-4D6A-A2E3-0B737EA74308}"/>
    <cellStyle name="Normal 5 4 2 7 3" xfId="6484" xr:uid="{00000000-0005-0000-0000-0000F91A0000}"/>
    <cellStyle name="Normal 5 4 2 7 3 2" xfId="14913" xr:uid="{C5905E1A-F731-42F5-BE9D-8DC68058143F}"/>
    <cellStyle name="Normal 5 4 2 7 4" xfId="10695" xr:uid="{FF1DE318-6DD7-431E-95D2-717973075912}"/>
    <cellStyle name="Normal 5 4 2 8" xfId="2612" xr:uid="{00000000-0005-0000-0000-0000FA1A0000}"/>
    <cellStyle name="Normal 5 4 2 8 2" xfId="6897" xr:uid="{00000000-0005-0000-0000-0000FB1A0000}"/>
    <cellStyle name="Normal 5 4 2 8 2 2" xfId="15326" xr:uid="{2B85CA0B-74B4-42A0-AD2A-E4187F9C401F}"/>
    <cellStyle name="Normal 5 4 2 8 3" xfId="11108" xr:uid="{B0D6FCAD-73D1-4464-BF98-DEBAB8C8846A}"/>
    <cellStyle name="Normal 5 4 2 9" xfId="4832" xr:uid="{00000000-0005-0000-0000-0000FC1A0000}"/>
    <cellStyle name="Normal 5 4 2 9 2" xfId="13261" xr:uid="{342347EC-A0A5-49F0-9217-A77625F21A1C}"/>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DEC2DA05-ACBA-4633-B58F-84F53371CFFE}"/>
    <cellStyle name="Normal 5 4 3 2 2 2 3" xfId="11606" xr:uid="{20BA10A2-18A7-4867-8028-B36A7160F214}"/>
    <cellStyle name="Normal 5 4 3 2 2 3" xfId="5250" xr:uid="{00000000-0005-0000-0000-0000021B0000}"/>
    <cellStyle name="Normal 5 4 3 2 2 3 2" xfId="13679" xr:uid="{23AECEC2-9EB5-49AE-8F87-718A54475FAE}"/>
    <cellStyle name="Normal 5 4 3 2 2 4" xfId="9461" xr:uid="{EE2CD2FD-31CA-480B-A35C-7E19C3D7B13D}"/>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8C67AEBC-3364-4336-97C3-B734A81CBD64}"/>
    <cellStyle name="Normal 5 4 3 2 3 2 3" xfId="12019" xr:uid="{6744B6D6-1726-48C3-A16F-4F7BBA6B593F}"/>
    <cellStyle name="Normal 5 4 3 2 3 3" xfId="5663" xr:uid="{00000000-0005-0000-0000-0000061B0000}"/>
    <cellStyle name="Normal 5 4 3 2 3 3 2" xfId="14092" xr:uid="{47073904-51AB-46D1-A2C8-CAA40C566CE4}"/>
    <cellStyle name="Normal 5 4 3 2 3 4" xfId="9874" xr:uid="{3D86273B-6A2C-4BB3-8959-56B6F0EE9BA7}"/>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014D9D85-4BA7-4FAD-8F2B-8F00D51697CD}"/>
    <cellStyle name="Normal 5 4 3 2 4 2 3" xfId="12432" xr:uid="{C5739A67-F00B-4040-A40A-876B6F8203A7}"/>
    <cellStyle name="Normal 5 4 3 2 4 3" xfId="6076" xr:uid="{00000000-0005-0000-0000-00000A1B0000}"/>
    <cellStyle name="Normal 5 4 3 2 4 3 2" xfId="14505" xr:uid="{6BA26C43-FFB7-4003-83AA-D77CE86E8E4C}"/>
    <cellStyle name="Normal 5 4 3 2 4 4" xfId="10287" xr:uid="{C65E4091-2952-4E2C-BA68-8915BDD742CE}"/>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218D7B1D-C96F-4244-93BD-34A7E8AA6045}"/>
    <cellStyle name="Normal 5 4 3 2 5 2 3" xfId="12845" xr:uid="{E2EC864B-CE9C-457B-9699-2AB37BFB3C58}"/>
    <cellStyle name="Normal 5 4 3 2 5 3" xfId="6489" xr:uid="{00000000-0005-0000-0000-00000E1B0000}"/>
    <cellStyle name="Normal 5 4 3 2 5 3 2" xfId="14918" xr:uid="{20DCC90A-73FA-41EF-9511-22AA337935EA}"/>
    <cellStyle name="Normal 5 4 3 2 5 4" xfId="10700" xr:uid="{0E8EE342-4AA6-44BC-9C41-E3BEED14DDD5}"/>
    <cellStyle name="Normal 5 4 3 2 6" xfId="2617" xr:uid="{00000000-0005-0000-0000-00000F1B0000}"/>
    <cellStyle name="Normal 5 4 3 2 6 2" xfId="6902" xr:uid="{00000000-0005-0000-0000-0000101B0000}"/>
    <cellStyle name="Normal 5 4 3 2 6 2 2" xfId="15331" xr:uid="{8924887B-DAEE-4EB6-8319-829AE265B891}"/>
    <cellStyle name="Normal 5 4 3 2 6 3" xfId="11113" xr:uid="{64336DDE-DDF2-4DD0-92B7-2568FAD9A15D}"/>
    <cellStyle name="Normal 5 4 3 2 7" xfId="4837" xr:uid="{00000000-0005-0000-0000-0000111B0000}"/>
    <cellStyle name="Normal 5 4 3 2 7 2" xfId="13266" xr:uid="{36509C35-30BB-4B6F-AB6D-150EB0EA5979}"/>
    <cellStyle name="Normal 5 4 3 2 8" xfId="9048" xr:uid="{269BCB1F-966F-4FCD-8F36-A97BAE06FB8D}"/>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904DC791-2120-43BF-94D1-2E0E861A962A}"/>
    <cellStyle name="Normal 5 4 3 3 2 3" xfId="11605" xr:uid="{89084ACA-8D8D-42B9-A2F9-7AFFD4345451}"/>
    <cellStyle name="Normal 5 4 3 3 3" xfId="5249" xr:uid="{00000000-0005-0000-0000-0000151B0000}"/>
    <cellStyle name="Normal 5 4 3 3 3 2" xfId="13678" xr:uid="{0EC31A16-558F-417F-BC87-F286F97E0ED3}"/>
    <cellStyle name="Normal 5 4 3 3 4" xfId="9460" xr:uid="{515BBBA7-637D-4D31-B1A7-AE2B94EBF836}"/>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BEAA8121-52E4-4827-97C7-F6D1B9692BF4}"/>
    <cellStyle name="Normal 5 4 3 4 2 3" xfId="12018" xr:uid="{5A0CEDA9-1823-4EA7-BF79-D38FB410DDAA}"/>
    <cellStyle name="Normal 5 4 3 4 3" xfId="5662" xr:uid="{00000000-0005-0000-0000-0000191B0000}"/>
    <cellStyle name="Normal 5 4 3 4 3 2" xfId="14091" xr:uid="{6FA360F7-4B61-4FE2-8710-B84144EC47E9}"/>
    <cellStyle name="Normal 5 4 3 4 4" xfId="9873" xr:uid="{7872AB1C-EC7A-4205-8AF9-46E497F6FD85}"/>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183CDE14-90BF-4581-8FF4-9708CF07ACA5}"/>
    <cellStyle name="Normal 5 4 3 5 2 3" xfId="12431" xr:uid="{4EABFE13-4AF7-4A98-B639-C6B39598579E}"/>
    <cellStyle name="Normal 5 4 3 5 3" xfId="6075" xr:uid="{00000000-0005-0000-0000-00001D1B0000}"/>
    <cellStyle name="Normal 5 4 3 5 3 2" xfId="14504" xr:uid="{2362E94E-CBF0-40AB-A894-1AE2F218E835}"/>
    <cellStyle name="Normal 5 4 3 5 4" xfId="10286" xr:uid="{9763ECEB-39B1-4F91-8D12-0FB9E53923EF}"/>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3105A93C-0213-4448-9B0D-CF6B427E2343}"/>
    <cellStyle name="Normal 5 4 3 6 2 3" xfId="12844" xr:uid="{29DE4F24-B43C-4296-A816-50337F42158F}"/>
    <cellStyle name="Normal 5 4 3 6 3" xfId="6488" xr:uid="{00000000-0005-0000-0000-0000211B0000}"/>
    <cellStyle name="Normal 5 4 3 6 3 2" xfId="14917" xr:uid="{57749A2F-5406-4EB8-8AB4-7E045AEF7B3D}"/>
    <cellStyle name="Normal 5 4 3 6 4" xfId="10699" xr:uid="{67229987-42D8-48CB-ADE2-471861092CE6}"/>
    <cellStyle name="Normal 5 4 3 7" xfId="2616" xr:uid="{00000000-0005-0000-0000-0000221B0000}"/>
    <cellStyle name="Normal 5 4 3 7 2" xfId="6901" xr:uid="{00000000-0005-0000-0000-0000231B0000}"/>
    <cellStyle name="Normal 5 4 3 7 2 2" xfId="15330" xr:uid="{C5FCD7FC-D8D9-4CD1-BFFB-42B82A91841D}"/>
    <cellStyle name="Normal 5 4 3 7 3" xfId="11112" xr:uid="{0AA350FB-5D66-48B4-B392-51B3CB96AEAC}"/>
    <cellStyle name="Normal 5 4 3 8" xfId="4836" xr:uid="{00000000-0005-0000-0000-0000241B0000}"/>
    <cellStyle name="Normal 5 4 3 8 2" xfId="13265" xr:uid="{3569026C-CE47-4CB7-8011-07C78A693906}"/>
    <cellStyle name="Normal 5 4 3 9" xfId="9047" xr:uid="{D164641B-C682-4CDB-B32E-CC972A37ECDB}"/>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DC265509-C2A2-4E0F-A63B-767A18582A12}"/>
    <cellStyle name="Normal 5 4 4 2 2 3" xfId="11607" xr:uid="{327FF374-72C9-428A-9B36-65D094D88C51}"/>
    <cellStyle name="Normal 5 4 4 2 3" xfId="5251" xr:uid="{00000000-0005-0000-0000-0000291B0000}"/>
    <cellStyle name="Normal 5 4 4 2 3 2" xfId="13680" xr:uid="{0CC6D62A-31AB-4710-96B4-C408FAF12C76}"/>
    <cellStyle name="Normal 5 4 4 2 4" xfId="9462" xr:uid="{49956AA1-BE24-4D18-B16D-76C56C4C781D}"/>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72529314-C80B-4834-BAB8-74FE51D12410}"/>
    <cellStyle name="Normal 5 4 4 3 2 3" xfId="12020" xr:uid="{AA804668-601D-431F-9113-1F7229CA218F}"/>
    <cellStyle name="Normal 5 4 4 3 3" xfId="5664" xr:uid="{00000000-0005-0000-0000-00002D1B0000}"/>
    <cellStyle name="Normal 5 4 4 3 3 2" xfId="14093" xr:uid="{ADA1C8AB-851F-406D-94C6-A6D835E30A14}"/>
    <cellStyle name="Normal 5 4 4 3 4" xfId="9875" xr:uid="{F1A7631C-0168-42A1-993E-BE6075BADE3A}"/>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D300DB81-E8BC-496B-B776-F8A6479A7B48}"/>
    <cellStyle name="Normal 5 4 4 4 2 3" xfId="12433" xr:uid="{FDA65882-5F20-4F5F-B6CE-F47DDBEC4BBC}"/>
    <cellStyle name="Normal 5 4 4 4 3" xfId="6077" xr:uid="{00000000-0005-0000-0000-0000311B0000}"/>
    <cellStyle name="Normal 5 4 4 4 3 2" xfId="14506" xr:uid="{7C0D4F2D-3E2D-42A3-9A92-50B78D6D4B33}"/>
    <cellStyle name="Normal 5 4 4 4 4" xfId="10288" xr:uid="{7C3C572A-157D-417E-9B04-1C97E98535E0}"/>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D9A73FD0-C93B-47A6-8511-A008EC7CE610}"/>
    <cellStyle name="Normal 5 4 4 5 2 3" xfId="12846" xr:uid="{7AD629E7-BE6C-4C4B-ACB0-7E52D8680F6B}"/>
    <cellStyle name="Normal 5 4 4 5 3" xfId="6490" xr:uid="{00000000-0005-0000-0000-0000351B0000}"/>
    <cellStyle name="Normal 5 4 4 5 3 2" xfId="14919" xr:uid="{EE057B95-2AFE-440B-AC60-04D679F47FBA}"/>
    <cellStyle name="Normal 5 4 4 5 4" xfId="10701" xr:uid="{329538CA-2E42-4A01-95C3-A76909F6D0BD}"/>
    <cellStyle name="Normal 5 4 4 6" xfId="2618" xr:uid="{00000000-0005-0000-0000-0000361B0000}"/>
    <cellStyle name="Normal 5 4 4 6 2" xfId="6903" xr:uid="{00000000-0005-0000-0000-0000371B0000}"/>
    <cellStyle name="Normal 5 4 4 6 2 2" xfId="15332" xr:uid="{C185C38B-4C92-40D1-85A0-318727E80869}"/>
    <cellStyle name="Normal 5 4 4 6 3" xfId="11114" xr:uid="{1A15DB0D-C9CE-48E2-8407-66CBE14EB4B4}"/>
    <cellStyle name="Normal 5 4 4 7" xfId="4838" xr:uid="{00000000-0005-0000-0000-0000381B0000}"/>
    <cellStyle name="Normal 5 4 4 7 2" xfId="13267" xr:uid="{B3172675-8E26-4905-B11D-2FE7F3E7CE40}"/>
    <cellStyle name="Normal 5 4 4 8" xfId="9049" xr:uid="{F6D01ACE-B25A-4113-AA66-D5DA9F9C0B1A}"/>
    <cellStyle name="Normal 5 4 5" xfId="931" xr:uid="{00000000-0005-0000-0000-0000391B0000}"/>
    <cellStyle name="Normal 5 4 5 2" xfId="3165" xr:uid="{00000000-0005-0000-0000-00003A1B0000}"/>
    <cellStyle name="Normal 5 4 5 2 2" xfId="7389" xr:uid="{00000000-0005-0000-0000-00003B1B0000}"/>
    <cellStyle name="Normal 5 4 5 2 2 2" xfId="15818" xr:uid="{74B22990-4C34-4E8A-8A86-B52A6E3C5396}"/>
    <cellStyle name="Normal 5 4 5 2 3" xfId="11600" xr:uid="{7AC993E2-654D-4D7A-9AC8-8FDF55891E9B}"/>
    <cellStyle name="Normal 5 4 5 3" xfId="5244" xr:uid="{00000000-0005-0000-0000-00003C1B0000}"/>
    <cellStyle name="Normal 5 4 5 3 2" xfId="13673" xr:uid="{46B23501-D246-4581-B8B5-33F962CC609D}"/>
    <cellStyle name="Normal 5 4 5 4" xfId="9455" xr:uid="{B2B1F00B-3F97-449C-943D-F4360621C228}"/>
    <cellStyle name="Normal 5 4 6" xfId="1348" xr:uid="{00000000-0005-0000-0000-00003D1B0000}"/>
    <cellStyle name="Normal 5 4 6 2" xfId="3578" xr:uid="{00000000-0005-0000-0000-00003E1B0000}"/>
    <cellStyle name="Normal 5 4 6 2 2" xfId="7802" xr:uid="{00000000-0005-0000-0000-00003F1B0000}"/>
    <cellStyle name="Normal 5 4 6 2 2 2" xfId="16231" xr:uid="{31EC1FFA-DF61-47AB-873A-6ECD3D5ED9D6}"/>
    <cellStyle name="Normal 5 4 6 2 3" xfId="12013" xr:uid="{CEE4F482-87F6-4651-A191-DA55BDFA0E1C}"/>
    <cellStyle name="Normal 5 4 6 3" xfId="5657" xr:uid="{00000000-0005-0000-0000-0000401B0000}"/>
    <cellStyle name="Normal 5 4 6 3 2" xfId="14086" xr:uid="{2CAEC1B6-E27B-4E93-BA50-C53E34489E8E}"/>
    <cellStyle name="Normal 5 4 6 4" xfId="9868" xr:uid="{7534D639-DAF1-43BB-8030-247D3BB9DBF7}"/>
    <cellStyle name="Normal 5 4 7" xfId="1761" xr:uid="{00000000-0005-0000-0000-0000411B0000}"/>
    <cellStyle name="Normal 5 4 7 2" xfId="3991" xr:uid="{00000000-0005-0000-0000-0000421B0000}"/>
    <cellStyle name="Normal 5 4 7 2 2" xfId="8215" xr:uid="{00000000-0005-0000-0000-0000431B0000}"/>
    <cellStyle name="Normal 5 4 7 2 2 2" xfId="16644" xr:uid="{D77A34F1-6017-4653-B23D-C1D99C2C5550}"/>
    <cellStyle name="Normal 5 4 7 2 3" xfId="12426" xr:uid="{862E114E-1668-490B-A3BC-6793A03EA8D7}"/>
    <cellStyle name="Normal 5 4 7 3" xfId="6070" xr:uid="{00000000-0005-0000-0000-0000441B0000}"/>
    <cellStyle name="Normal 5 4 7 3 2" xfId="14499" xr:uid="{15D3FBED-5A8F-4B14-8ADA-E905E9CA276E}"/>
    <cellStyle name="Normal 5 4 7 4" xfId="10281" xr:uid="{1CF5458A-EB8B-42CC-ACD7-F29FF92E0E21}"/>
    <cellStyle name="Normal 5 4 8" xfId="2175" xr:uid="{00000000-0005-0000-0000-0000451B0000}"/>
    <cellStyle name="Normal 5 4 8 2" xfId="4404" xr:uid="{00000000-0005-0000-0000-0000461B0000}"/>
    <cellStyle name="Normal 5 4 8 2 2" xfId="8628" xr:uid="{00000000-0005-0000-0000-0000471B0000}"/>
    <cellStyle name="Normal 5 4 8 2 2 2" xfId="17057" xr:uid="{F308D91C-7689-40A3-BBC2-D577577A83FD}"/>
    <cellStyle name="Normal 5 4 8 2 3" xfId="12839" xr:uid="{DFECCA14-839D-4CB3-9847-64934218F8BB}"/>
    <cellStyle name="Normal 5 4 8 3" xfId="6483" xr:uid="{00000000-0005-0000-0000-0000481B0000}"/>
    <cellStyle name="Normal 5 4 8 3 2" xfId="14912" xr:uid="{7A64E74D-07AE-4B20-AFCD-EF870D50364D}"/>
    <cellStyle name="Normal 5 4 8 4" xfId="10694" xr:uid="{75CF717C-9D8A-4ED8-859E-CFA95D857FDB}"/>
    <cellStyle name="Normal 5 4 9" xfId="2611" xr:uid="{00000000-0005-0000-0000-0000491B0000}"/>
    <cellStyle name="Normal 5 4 9 2" xfId="6896" xr:uid="{00000000-0005-0000-0000-00004A1B0000}"/>
    <cellStyle name="Normal 5 4 9 2 2" xfId="15325" xr:uid="{E0203D15-D912-4E78-A37D-F1B9AB8187B8}"/>
    <cellStyle name="Normal 5 4 9 3" xfId="11107" xr:uid="{B84018E2-EC1B-4DC5-BA23-0B1A2B5BFC54}"/>
    <cellStyle name="Normal 5 5" xfId="464" xr:uid="{00000000-0005-0000-0000-00004B1B0000}"/>
    <cellStyle name="Normal 5 5 10" xfId="9050" xr:uid="{D8901B45-3491-452C-A803-35A5108483B3}"/>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ED233C38-D2EB-4DCA-8523-2DBC3F2CEADD}"/>
    <cellStyle name="Normal 5 5 2 2 2 2 3" xfId="11610" xr:uid="{8BFCD9A0-3EB2-4A7C-B528-47EB905BAF22}"/>
    <cellStyle name="Normal 5 5 2 2 2 3" xfId="5254" xr:uid="{00000000-0005-0000-0000-0000511B0000}"/>
    <cellStyle name="Normal 5 5 2 2 2 3 2" xfId="13683" xr:uid="{69BC481B-2DF4-4C6A-81C9-35D0F2C2F366}"/>
    <cellStyle name="Normal 5 5 2 2 2 4" xfId="9465" xr:uid="{62BA4ECD-39FB-437C-B2E7-E8095E8CBF72}"/>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E9A60C11-3FF4-4EFA-8833-F0D2B187FF7C}"/>
    <cellStyle name="Normal 5 5 2 2 3 2 3" xfId="12023" xr:uid="{8A61B749-F4BD-4E9F-9CAE-AAC61021F62C}"/>
    <cellStyle name="Normal 5 5 2 2 3 3" xfId="5667" xr:uid="{00000000-0005-0000-0000-0000551B0000}"/>
    <cellStyle name="Normal 5 5 2 2 3 3 2" xfId="14096" xr:uid="{4CA8BF3E-A2AC-4855-B4F2-6E1630B693E0}"/>
    <cellStyle name="Normal 5 5 2 2 3 4" xfId="9878" xr:uid="{62CF9293-C4F7-4984-8556-4234BDE9301E}"/>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A83BE814-57D0-4FDB-A3D9-FEE5C2CE314F}"/>
    <cellStyle name="Normal 5 5 2 2 4 2 3" xfId="12436" xr:uid="{298B7DA3-30D0-489F-9072-CE53CF9F596E}"/>
    <cellStyle name="Normal 5 5 2 2 4 3" xfId="6080" xr:uid="{00000000-0005-0000-0000-0000591B0000}"/>
    <cellStyle name="Normal 5 5 2 2 4 3 2" xfId="14509" xr:uid="{F8BF8B90-2ADF-4E5E-ACA9-46568CA13592}"/>
    <cellStyle name="Normal 5 5 2 2 4 4" xfId="10291" xr:uid="{8EDA8F42-B06A-474D-9D1A-EA01D5594201}"/>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3CAA4125-5AFC-4047-A2FF-8022891AC041}"/>
    <cellStyle name="Normal 5 5 2 2 5 2 3" xfId="12849" xr:uid="{88831F90-49B4-4E79-888E-0EB72CDBB4A5}"/>
    <cellStyle name="Normal 5 5 2 2 5 3" xfId="6493" xr:uid="{00000000-0005-0000-0000-00005D1B0000}"/>
    <cellStyle name="Normal 5 5 2 2 5 3 2" xfId="14922" xr:uid="{CEC628AF-DFF3-42B3-BA4C-F88690A72F57}"/>
    <cellStyle name="Normal 5 5 2 2 5 4" xfId="10704" xr:uid="{2AAE39D5-CC2C-43E1-9DA4-68ED1D5507E0}"/>
    <cellStyle name="Normal 5 5 2 2 6" xfId="2621" xr:uid="{00000000-0005-0000-0000-00005E1B0000}"/>
    <cellStyle name="Normal 5 5 2 2 6 2" xfId="6906" xr:uid="{00000000-0005-0000-0000-00005F1B0000}"/>
    <cellStyle name="Normal 5 5 2 2 6 2 2" xfId="15335" xr:uid="{272C29B6-EBD4-4B97-88B8-9C3E86A4B343}"/>
    <cellStyle name="Normal 5 5 2 2 6 3" xfId="11117" xr:uid="{2A54E035-135F-46BE-AC37-C7D85C0151D5}"/>
    <cellStyle name="Normal 5 5 2 2 7" xfId="4841" xr:uid="{00000000-0005-0000-0000-0000601B0000}"/>
    <cellStyle name="Normal 5 5 2 2 7 2" xfId="13270" xr:uid="{0E8705E3-3645-453F-8785-278568F12F6B}"/>
    <cellStyle name="Normal 5 5 2 2 8" xfId="9052" xr:uid="{C6F516BF-9440-4996-9E93-1A70DA93BB45}"/>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ABEFA098-6168-45CB-A3E5-91B230D87F17}"/>
    <cellStyle name="Normal 5 5 2 3 2 3" xfId="11609" xr:uid="{0F8D9DF1-5632-4676-A697-8720F3DC72EE}"/>
    <cellStyle name="Normal 5 5 2 3 3" xfId="5253" xr:uid="{00000000-0005-0000-0000-0000641B0000}"/>
    <cellStyle name="Normal 5 5 2 3 3 2" xfId="13682" xr:uid="{B3DFF06E-D53E-4CA6-8E9B-D8B600FC90AA}"/>
    <cellStyle name="Normal 5 5 2 3 4" xfId="9464" xr:uid="{00A424F5-0EB5-42C4-8DB9-5DF07D9A93B7}"/>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B5E91825-BC73-4C53-959C-B5D071C69796}"/>
    <cellStyle name="Normal 5 5 2 4 2 3" xfId="12022" xr:uid="{B84EBD78-77C5-4320-A79E-4B465F12FB91}"/>
    <cellStyle name="Normal 5 5 2 4 3" xfId="5666" xr:uid="{00000000-0005-0000-0000-0000681B0000}"/>
    <cellStyle name="Normal 5 5 2 4 3 2" xfId="14095" xr:uid="{30D02589-9432-4745-A0C0-E2AB7788120E}"/>
    <cellStyle name="Normal 5 5 2 4 4" xfId="9877" xr:uid="{31ED2E6E-2D0E-40E1-9E45-87A4C96727C3}"/>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D3789634-DE11-4A0D-B143-AA1EE809751D}"/>
    <cellStyle name="Normal 5 5 2 5 2 3" xfId="12435" xr:uid="{4227DC58-B797-452D-9528-6A5D05AA9390}"/>
    <cellStyle name="Normal 5 5 2 5 3" xfId="6079" xr:uid="{00000000-0005-0000-0000-00006C1B0000}"/>
    <cellStyle name="Normal 5 5 2 5 3 2" xfId="14508" xr:uid="{4D80BA9C-ECF3-4A79-904F-DC4ED5B25322}"/>
    <cellStyle name="Normal 5 5 2 5 4" xfId="10290" xr:uid="{5315F3C1-937F-45D3-BFE4-6F4D0333774E}"/>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81445559-12C4-40E7-B1F1-0EA1325A5389}"/>
    <cellStyle name="Normal 5 5 2 6 2 3" xfId="12848" xr:uid="{DB3B6540-4B92-4A10-A3A0-4DEE97CBCDED}"/>
    <cellStyle name="Normal 5 5 2 6 3" xfId="6492" xr:uid="{00000000-0005-0000-0000-0000701B0000}"/>
    <cellStyle name="Normal 5 5 2 6 3 2" xfId="14921" xr:uid="{C5528C61-8CED-466C-9BC1-6BBF4C06D502}"/>
    <cellStyle name="Normal 5 5 2 6 4" xfId="10703" xr:uid="{05521F78-CF2E-4CDD-AA31-D0A3C847EB39}"/>
    <cellStyle name="Normal 5 5 2 7" xfId="2620" xr:uid="{00000000-0005-0000-0000-0000711B0000}"/>
    <cellStyle name="Normal 5 5 2 7 2" xfId="6905" xr:uid="{00000000-0005-0000-0000-0000721B0000}"/>
    <cellStyle name="Normal 5 5 2 7 2 2" xfId="15334" xr:uid="{762DE5FB-1D6E-4FE0-96FD-243EFE952492}"/>
    <cellStyle name="Normal 5 5 2 7 3" xfId="11116" xr:uid="{47780CFE-43EE-4909-99D7-96B73E84EEBE}"/>
    <cellStyle name="Normal 5 5 2 8" xfId="4840" xr:uid="{00000000-0005-0000-0000-0000731B0000}"/>
    <cellStyle name="Normal 5 5 2 8 2" xfId="13269" xr:uid="{E9AAB5D1-DC8C-4C22-B398-4F43BC438195}"/>
    <cellStyle name="Normal 5 5 2 9" xfId="9051" xr:uid="{A9E34F56-DD88-4E83-8D0C-6B114AC283D4}"/>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A5CBAA7B-6B3E-46A6-ACC1-1EC82832E89F}"/>
    <cellStyle name="Normal 5 5 3 2 2 3" xfId="11611" xr:uid="{78673B31-83EC-4436-BB5E-8AD70B472014}"/>
    <cellStyle name="Normal 5 5 3 2 3" xfId="5255" xr:uid="{00000000-0005-0000-0000-0000781B0000}"/>
    <cellStyle name="Normal 5 5 3 2 3 2" xfId="13684" xr:uid="{781CB7F5-7D5B-4016-A4D0-086F4EDB2346}"/>
    <cellStyle name="Normal 5 5 3 2 4" xfId="9466" xr:uid="{D7E9B8FA-252E-47DC-98E2-AA6C9799CF18}"/>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8213552D-9116-4122-9074-7172F3ACBCB8}"/>
    <cellStyle name="Normal 5 5 3 3 2 3" xfId="12024" xr:uid="{ABB094CB-4404-4027-BDED-DCFAFCAC8CAC}"/>
    <cellStyle name="Normal 5 5 3 3 3" xfId="5668" xr:uid="{00000000-0005-0000-0000-00007C1B0000}"/>
    <cellStyle name="Normal 5 5 3 3 3 2" xfId="14097" xr:uid="{3C13FCC3-710B-4C91-A4CD-F9D28C69BD72}"/>
    <cellStyle name="Normal 5 5 3 3 4" xfId="9879" xr:uid="{7EDF0F65-6BF7-45C2-A0EE-E465E78E9312}"/>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B18C89BB-A0C6-4093-94F9-16E9A9E0FE88}"/>
    <cellStyle name="Normal 5 5 3 4 2 3" xfId="12437" xr:uid="{77BC29C6-1009-446A-9C6E-F234A5DFB7F4}"/>
    <cellStyle name="Normal 5 5 3 4 3" xfId="6081" xr:uid="{00000000-0005-0000-0000-0000801B0000}"/>
    <cellStyle name="Normal 5 5 3 4 3 2" xfId="14510" xr:uid="{D8BE615D-21CD-4277-800C-6079AA366364}"/>
    <cellStyle name="Normal 5 5 3 4 4" xfId="10292" xr:uid="{C94EC632-2153-46B9-BAE6-F4AC115338DF}"/>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881F0819-B2F7-4275-80B5-68CDD621036F}"/>
    <cellStyle name="Normal 5 5 3 5 2 3" xfId="12850" xr:uid="{41F39F2F-EA0A-4BD1-9860-FA99ECD45937}"/>
    <cellStyle name="Normal 5 5 3 5 3" xfId="6494" xr:uid="{00000000-0005-0000-0000-0000841B0000}"/>
    <cellStyle name="Normal 5 5 3 5 3 2" xfId="14923" xr:uid="{BFEA044F-B90C-41B0-95D0-0E067C8E6BAF}"/>
    <cellStyle name="Normal 5 5 3 5 4" xfId="10705" xr:uid="{200A327A-6C53-452B-9685-8C70C431E3CA}"/>
    <cellStyle name="Normal 5 5 3 6" xfId="2622" xr:uid="{00000000-0005-0000-0000-0000851B0000}"/>
    <cellStyle name="Normal 5 5 3 6 2" xfId="6907" xr:uid="{00000000-0005-0000-0000-0000861B0000}"/>
    <cellStyle name="Normal 5 5 3 6 2 2" xfId="15336" xr:uid="{9828E7D6-FC5E-4A97-87AC-D337951FAE30}"/>
    <cellStyle name="Normal 5 5 3 6 3" xfId="11118" xr:uid="{656492E6-4599-4633-A623-C42586AC73BE}"/>
    <cellStyle name="Normal 5 5 3 7" xfId="4842" xr:uid="{00000000-0005-0000-0000-0000871B0000}"/>
    <cellStyle name="Normal 5 5 3 7 2" xfId="13271" xr:uid="{6841D806-0339-48CC-9277-DB932E437630}"/>
    <cellStyle name="Normal 5 5 3 8" xfId="9053" xr:uid="{DC4305F7-4CC1-4A67-B29A-8FE53F78BFAD}"/>
    <cellStyle name="Normal 5 5 4" xfId="939" xr:uid="{00000000-0005-0000-0000-0000881B0000}"/>
    <cellStyle name="Normal 5 5 4 2" xfId="3173" xr:uid="{00000000-0005-0000-0000-0000891B0000}"/>
    <cellStyle name="Normal 5 5 4 2 2" xfId="7397" xr:uid="{00000000-0005-0000-0000-00008A1B0000}"/>
    <cellStyle name="Normal 5 5 4 2 2 2" xfId="15826" xr:uid="{CDA49CC2-D063-4517-98B9-75C4AC79C1FE}"/>
    <cellStyle name="Normal 5 5 4 2 3" xfId="11608" xr:uid="{87C6D7B3-297F-4975-AE0E-CFD711AC2C0E}"/>
    <cellStyle name="Normal 5 5 4 3" xfId="5252" xr:uid="{00000000-0005-0000-0000-00008B1B0000}"/>
    <cellStyle name="Normal 5 5 4 3 2" xfId="13681" xr:uid="{B5BFCF4E-9440-4BAD-97C6-63F65BB9CD6F}"/>
    <cellStyle name="Normal 5 5 4 4" xfId="9463" xr:uid="{B1AC320C-EECC-4677-B836-11E03EA92870}"/>
    <cellStyle name="Normal 5 5 5" xfId="1356" xr:uid="{00000000-0005-0000-0000-00008C1B0000}"/>
    <cellStyle name="Normal 5 5 5 2" xfId="3586" xr:uid="{00000000-0005-0000-0000-00008D1B0000}"/>
    <cellStyle name="Normal 5 5 5 2 2" xfId="7810" xr:uid="{00000000-0005-0000-0000-00008E1B0000}"/>
    <cellStyle name="Normal 5 5 5 2 2 2" xfId="16239" xr:uid="{FA81D54C-3023-4DEE-BD33-3E3C1B38D24E}"/>
    <cellStyle name="Normal 5 5 5 2 3" xfId="12021" xr:uid="{D3D3DC86-CD65-465C-BEB1-5019A217F1E1}"/>
    <cellStyle name="Normal 5 5 5 3" xfId="5665" xr:uid="{00000000-0005-0000-0000-00008F1B0000}"/>
    <cellStyle name="Normal 5 5 5 3 2" xfId="14094" xr:uid="{1CBBCE5C-FFBF-41AD-9D56-AF2C30E286FC}"/>
    <cellStyle name="Normal 5 5 5 4" xfId="9876" xr:uid="{1252EE8E-6F7F-4C8F-A877-D748629FAE79}"/>
    <cellStyle name="Normal 5 5 6" xfId="1769" xr:uid="{00000000-0005-0000-0000-0000901B0000}"/>
    <cellStyle name="Normal 5 5 6 2" xfId="3999" xr:uid="{00000000-0005-0000-0000-0000911B0000}"/>
    <cellStyle name="Normal 5 5 6 2 2" xfId="8223" xr:uid="{00000000-0005-0000-0000-0000921B0000}"/>
    <cellStyle name="Normal 5 5 6 2 2 2" xfId="16652" xr:uid="{3C4CA95B-DD75-49E7-8B06-3D5DCBFA85AF}"/>
    <cellStyle name="Normal 5 5 6 2 3" xfId="12434" xr:uid="{946923FF-92EB-4120-9016-E04F96E05715}"/>
    <cellStyle name="Normal 5 5 6 3" xfId="6078" xr:uid="{00000000-0005-0000-0000-0000931B0000}"/>
    <cellStyle name="Normal 5 5 6 3 2" xfId="14507" xr:uid="{391E7A65-2335-4323-A2C8-64FDD7CE3A04}"/>
    <cellStyle name="Normal 5 5 6 4" xfId="10289" xr:uid="{47BE8C1D-012D-412C-8599-FCB44D8EAA74}"/>
    <cellStyle name="Normal 5 5 7" xfId="2183" xr:uid="{00000000-0005-0000-0000-0000941B0000}"/>
    <cellStyle name="Normal 5 5 7 2" xfId="4412" xr:uid="{00000000-0005-0000-0000-0000951B0000}"/>
    <cellStyle name="Normal 5 5 7 2 2" xfId="8636" xr:uid="{00000000-0005-0000-0000-0000961B0000}"/>
    <cellStyle name="Normal 5 5 7 2 2 2" xfId="17065" xr:uid="{CCEA8982-6D31-453A-9F4A-FFB54ED43F3B}"/>
    <cellStyle name="Normal 5 5 7 2 3" xfId="12847" xr:uid="{1D31A767-EC2A-4CF8-83DE-A06FC66FEEF4}"/>
    <cellStyle name="Normal 5 5 7 3" xfId="6491" xr:uid="{00000000-0005-0000-0000-0000971B0000}"/>
    <cellStyle name="Normal 5 5 7 3 2" xfId="14920" xr:uid="{1406935F-DC96-4B49-966F-76ED0FCB5CC4}"/>
    <cellStyle name="Normal 5 5 7 4" xfId="10702" xr:uid="{F43BDB24-2776-403F-BF4E-30966E4FC52C}"/>
    <cellStyle name="Normal 5 5 8" xfId="2619" xr:uid="{00000000-0005-0000-0000-0000981B0000}"/>
    <cellStyle name="Normal 5 5 8 2" xfId="6904" xr:uid="{00000000-0005-0000-0000-0000991B0000}"/>
    <cellStyle name="Normal 5 5 8 2 2" xfId="15333" xr:uid="{B7CCC7BE-8905-4E7D-9529-EAF41CF126BE}"/>
    <cellStyle name="Normal 5 5 8 3" xfId="11115" xr:uid="{B87B0493-30A3-49D4-92F1-ADB0ED6BC9B0}"/>
    <cellStyle name="Normal 5 5 9" xfId="4839" xr:uid="{00000000-0005-0000-0000-00009A1B0000}"/>
    <cellStyle name="Normal 5 5 9 2" xfId="13268" xr:uid="{86093241-9529-41A9-BCC0-5260FB576DB3}"/>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F5509B1D-129D-49F4-B54D-24FA78A92A8E}"/>
    <cellStyle name="Normal 5 6 2 2 2 3" xfId="11613" xr:uid="{B4E2120D-D9A6-463F-BAC0-61BBD13BE068}"/>
    <cellStyle name="Normal 5 6 2 2 3" xfId="5257" xr:uid="{00000000-0005-0000-0000-0000A01B0000}"/>
    <cellStyle name="Normal 5 6 2 2 3 2" xfId="13686" xr:uid="{D18CC9F6-219E-49D1-B7B7-58FE71BDF74A}"/>
    <cellStyle name="Normal 5 6 2 2 4" xfId="9468" xr:uid="{4B2CB831-8ED9-432A-932F-4A6C8324EE30}"/>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E4CBA9AD-DC00-4206-B3AA-A463B5320C74}"/>
    <cellStyle name="Normal 5 6 2 3 2 3" xfId="12026" xr:uid="{1C2B9C50-480F-4046-ADEF-8D7930505519}"/>
    <cellStyle name="Normal 5 6 2 3 3" xfId="5670" xr:uid="{00000000-0005-0000-0000-0000A41B0000}"/>
    <cellStyle name="Normal 5 6 2 3 3 2" xfId="14099" xr:uid="{504F8ECC-46DB-49AB-96DB-65A231EF60EF}"/>
    <cellStyle name="Normal 5 6 2 3 4" xfId="9881" xr:uid="{BA036569-CED9-47AB-95C9-F0C7D77536A8}"/>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F37B655F-49D2-4F2B-9DBA-177F06D885AE}"/>
    <cellStyle name="Normal 5 6 2 4 2 3" xfId="12439" xr:uid="{391DF8F1-35A9-4250-8F16-E17C119DD1D5}"/>
    <cellStyle name="Normal 5 6 2 4 3" xfId="6083" xr:uid="{00000000-0005-0000-0000-0000A81B0000}"/>
    <cellStyle name="Normal 5 6 2 4 3 2" xfId="14512" xr:uid="{BDB3F3ED-AB34-4ABC-BB87-581EB3B46AA4}"/>
    <cellStyle name="Normal 5 6 2 4 4" xfId="10294" xr:uid="{FBD694B7-598A-467C-B388-8D9576201A70}"/>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74FA78F1-1E37-4904-A1F2-379359D8FC2F}"/>
    <cellStyle name="Normal 5 6 2 5 2 3" xfId="12852" xr:uid="{2DF7CC7B-A394-4E27-A62C-927F40E14E41}"/>
    <cellStyle name="Normal 5 6 2 5 3" xfId="6496" xr:uid="{00000000-0005-0000-0000-0000AC1B0000}"/>
    <cellStyle name="Normal 5 6 2 5 3 2" xfId="14925" xr:uid="{7ED8A722-81BB-4C26-9130-882ECD620B21}"/>
    <cellStyle name="Normal 5 6 2 5 4" xfId="10707" xr:uid="{7DA32944-6ABC-4C47-88F5-635F70BB2266}"/>
    <cellStyle name="Normal 5 6 2 6" xfId="2624" xr:uid="{00000000-0005-0000-0000-0000AD1B0000}"/>
    <cellStyle name="Normal 5 6 2 6 2" xfId="6909" xr:uid="{00000000-0005-0000-0000-0000AE1B0000}"/>
    <cellStyle name="Normal 5 6 2 6 2 2" xfId="15338" xr:uid="{B98E867A-5A77-4439-BC2B-CAB5F6BC36A3}"/>
    <cellStyle name="Normal 5 6 2 6 3" xfId="11120" xr:uid="{B8D0AA81-ACDD-4650-B375-D4AA06D8C2C5}"/>
    <cellStyle name="Normal 5 6 2 7" xfId="4844" xr:uid="{00000000-0005-0000-0000-0000AF1B0000}"/>
    <cellStyle name="Normal 5 6 2 7 2" xfId="13273" xr:uid="{F7976469-3E56-46F0-B988-C0F8DC598E56}"/>
    <cellStyle name="Normal 5 6 2 8" xfId="9055" xr:uid="{93EAE80A-1A31-4E17-9CCB-3511D98313BE}"/>
    <cellStyle name="Normal 5 6 3" xfId="943" xr:uid="{00000000-0005-0000-0000-0000B01B0000}"/>
    <cellStyle name="Normal 5 6 3 2" xfId="3177" xr:uid="{00000000-0005-0000-0000-0000B11B0000}"/>
    <cellStyle name="Normal 5 6 3 2 2" xfId="7401" xr:uid="{00000000-0005-0000-0000-0000B21B0000}"/>
    <cellStyle name="Normal 5 6 3 2 2 2" xfId="15830" xr:uid="{C8FA63B2-EC67-4442-9727-C978C9F9AD3D}"/>
    <cellStyle name="Normal 5 6 3 2 3" xfId="11612" xr:uid="{1091B77A-65C4-4B23-988B-F9A30564BB07}"/>
    <cellStyle name="Normal 5 6 3 3" xfId="5256" xr:uid="{00000000-0005-0000-0000-0000B31B0000}"/>
    <cellStyle name="Normal 5 6 3 3 2" xfId="13685" xr:uid="{AC34E794-89EE-4254-92C3-ADDA8D16D6FD}"/>
    <cellStyle name="Normal 5 6 3 4" xfId="9467" xr:uid="{26AFFD13-EB59-4C25-8302-683228C2C953}"/>
    <cellStyle name="Normal 5 6 4" xfId="1360" xr:uid="{00000000-0005-0000-0000-0000B41B0000}"/>
    <cellStyle name="Normal 5 6 4 2" xfId="3590" xr:uid="{00000000-0005-0000-0000-0000B51B0000}"/>
    <cellStyle name="Normal 5 6 4 2 2" xfId="7814" xr:uid="{00000000-0005-0000-0000-0000B61B0000}"/>
    <cellStyle name="Normal 5 6 4 2 2 2" xfId="16243" xr:uid="{731E9BDD-A60D-42FB-BE4E-D0C446BA26D8}"/>
    <cellStyle name="Normal 5 6 4 2 3" xfId="12025" xr:uid="{9FA04A8D-C175-4301-B986-5A142917CDED}"/>
    <cellStyle name="Normal 5 6 4 3" xfId="5669" xr:uid="{00000000-0005-0000-0000-0000B71B0000}"/>
    <cellStyle name="Normal 5 6 4 3 2" xfId="14098" xr:uid="{667CC8BB-9AD1-43C8-A908-643DA0F58B84}"/>
    <cellStyle name="Normal 5 6 4 4" xfId="9880" xr:uid="{25E93DA3-99D7-4E63-B425-0E7C9FE64410}"/>
    <cellStyle name="Normal 5 6 5" xfId="1773" xr:uid="{00000000-0005-0000-0000-0000B81B0000}"/>
    <cellStyle name="Normal 5 6 5 2" xfId="4003" xr:uid="{00000000-0005-0000-0000-0000B91B0000}"/>
    <cellStyle name="Normal 5 6 5 2 2" xfId="8227" xr:uid="{00000000-0005-0000-0000-0000BA1B0000}"/>
    <cellStyle name="Normal 5 6 5 2 2 2" xfId="16656" xr:uid="{F2F9FBBA-2C40-450D-8567-108EFD9457EE}"/>
    <cellStyle name="Normal 5 6 5 2 3" xfId="12438" xr:uid="{1E82AB82-C359-40C2-ADC4-4D95298340BE}"/>
    <cellStyle name="Normal 5 6 5 3" xfId="6082" xr:uid="{00000000-0005-0000-0000-0000BB1B0000}"/>
    <cellStyle name="Normal 5 6 5 3 2" xfId="14511" xr:uid="{A1221D1C-AE6C-49E7-ACA9-0E3097CA9599}"/>
    <cellStyle name="Normal 5 6 5 4" xfId="10293" xr:uid="{C3244083-E334-4B84-A98F-319109A30603}"/>
    <cellStyle name="Normal 5 6 6" xfId="2187" xr:uid="{00000000-0005-0000-0000-0000BC1B0000}"/>
    <cellStyle name="Normal 5 6 6 2" xfId="4416" xr:uid="{00000000-0005-0000-0000-0000BD1B0000}"/>
    <cellStyle name="Normal 5 6 6 2 2" xfId="8640" xr:uid="{00000000-0005-0000-0000-0000BE1B0000}"/>
    <cellStyle name="Normal 5 6 6 2 2 2" xfId="17069" xr:uid="{FBA8429F-C1D7-450B-8872-35A2B2644332}"/>
    <cellStyle name="Normal 5 6 6 2 3" xfId="12851" xr:uid="{13F9DFD6-4994-40AF-A8F7-B2FC65E0F792}"/>
    <cellStyle name="Normal 5 6 6 3" xfId="6495" xr:uid="{00000000-0005-0000-0000-0000BF1B0000}"/>
    <cellStyle name="Normal 5 6 6 3 2" xfId="14924" xr:uid="{AD031396-CAB6-450D-A907-AA52661C4BF9}"/>
    <cellStyle name="Normal 5 6 6 4" xfId="10706" xr:uid="{5A7FA02C-87D0-40B9-94EF-701171E9D4DB}"/>
    <cellStyle name="Normal 5 6 7" xfId="2623" xr:uid="{00000000-0005-0000-0000-0000C01B0000}"/>
    <cellStyle name="Normal 5 6 7 2" xfId="6908" xr:uid="{00000000-0005-0000-0000-0000C11B0000}"/>
    <cellStyle name="Normal 5 6 7 2 2" xfId="15337" xr:uid="{B725BF0E-DF20-400B-AEEC-3477C03D1E3B}"/>
    <cellStyle name="Normal 5 6 7 3" xfId="11119" xr:uid="{64BEC373-41CF-4DAE-A3C9-88417F2BAC11}"/>
    <cellStyle name="Normal 5 6 8" xfId="4843" xr:uid="{00000000-0005-0000-0000-0000C21B0000}"/>
    <cellStyle name="Normal 5 6 8 2" xfId="13272" xr:uid="{AF92BBBB-718E-4A20-856E-60028FC0C58C}"/>
    <cellStyle name="Normal 5 6 9" xfId="9054" xr:uid="{CE183987-2E3F-4989-A903-0E6491145668}"/>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FB3ABBB9-6D5D-4C51-90A8-71DE8ECE30E7}"/>
    <cellStyle name="Normal 5 7 2 2 3" xfId="11614" xr:uid="{2D479577-69E6-4224-8800-AB83039D4BA1}"/>
    <cellStyle name="Normal 5 7 2 3" xfId="5258" xr:uid="{00000000-0005-0000-0000-0000C71B0000}"/>
    <cellStyle name="Normal 5 7 2 3 2" xfId="13687" xr:uid="{9AF61401-FCE6-4E2C-A397-4A89BE8862C0}"/>
    <cellStyle name="Normal 5 7 2 4" xfId="9469" xr:uid="{F826AA1F-8D63-4B43-BAC9-F605B7A3A7CB}"/>
    <cellStyle name="Normal 5 7 3" xfId="1362" xr:uid="{00000000-0005-0000-0000-0000C81B0000}"/>
    <cellStyle name="Normal 5 7 3 2" xfId="3592" xr:uid="{00000000-0005-0000-0000-0000C91B0000}"/>
    <cellStyle name="Normal 5 7 3 2 2" xfId="7816" xr:uid="{00000000-0005-0000-0000-0000CA1B0000}"/>
    <cellStyle name="Normal 5 7 3 2 2 2" xfId="16245" xr:uid="{D91ED9D4-D62D-4FB5-A304-E24F93E80759}"/>
    <cellStyle name="Normal 5 7 3 2 3" xfId="12027" xr:uid="{4FB080D0-864C-47D7-8EB4-77AB074AD474}"/>
    <cellStyle name="Normal 5 7 3 3" xfId="5671" xr:uid="{00000000-0005-0000-0000-0000CB1B0000}"/>
    <cellStyle name="Normal 5 7 3 3 2" xfId="14100" xr:uid="{B8E7B68B-D030-4858-9DCA-3F4ACFCA18B2}"/>
    <cellStyle name="Normal 5 7 3 4" xfId="9882" xr:uid="{43CBB55C-0F4B-4330-BCC0-85DEC87424B7}"/>
    <cellStyle name="Normal 5 7 4" xfId="1775" xr:uid="{00000000-0005-0000-0000-0000CC1B0000}"/>
    <cellStyle name="Normal 5 7 4 2" xfId="4005" xr:uid="{00000000-0005-0000-0000-0000CD1B0000}"/>
    <cellStyle name="Normal 5 7 4 2 2" xfId="8229" xr:uid="{00000000-0005-0000-0000-0000CE1B0000}"/>
    <cellStyle name="Normal 5 7 4 2 2 2" xfId="16658" xr:uid="{B48C9044-B51F-44C2-9C2C-9CD64C6D1047}"/>
    <cellStyle name="Normal 5 7 4 2 3" xfId="12440" xr:uid="{D5FEFC26-2A3A-4B21-A720-CB5AB7A75386}"/>
    <cellStyle name="Normal 5 7 4 3" xfId="6084" xr:uid="{00000000-0005-0000-0000-0000CF1B0000}"/>
    <cellStyle name="Normal 5 7 4 3 2" xfId="14513" xr:uid="{25021402-ADBC-4479-B643-B3CF3C0EB8EF}"/>
    <cellStyle name="Normal 5 7 4 4" xfId="10295" xr:uid="{A5B0BB6D-791A-4A16-A2D7-E0277F279E1D}"/>
    <cellStyle name="Normal 5 7 5" xfId="2189" xr:uid="{00000000-0005-0000-0000-0000D01B0000}"/>
    <cellStyle name="Normal 5 7 5 2" xfId="4418" xr:uid="{00000000-0005-0000-0000-0000D11B0000}"/>
    <cellStyle name="Normal 5 7 5 2 2" xfId="8642" xr:uid="{00000000-0005-0000-0000-0000D21B0000}"/>
    <cellStyle name="Normal 5 7 5 2 2 2" xfId="17071" xr:uid="{E3BCA971-F8AB-47E9-AB39-2DC9D36A2FE5}"/>
    <cellStyle name="Normal 5 7 5 2 3" xfId="12853" xr:uid="{EE3427A9-6587-4A52-80E4-77D8387E99F5}"/>
    <cellStyle name="Normal 5 7 5 3" xfId="6497" xr:uid="{00000000-0005-0000-0000-0000D31B0000}"/>
    <cellStyle name="Normal 5 7 5 3 2" xfId="14926" xr:uid="{45F363E0-43C2-402C-B99F-1554880489E3}"/>
    <cellStyle name="Normal 5 7 5 4" xfId="10708" xr:uid="{DDF1BA27-50F0-4065-ABA1-AE08B5170F5A}"/>
    <cellStyle name="Normal 5 7 6" xfId="2625" xr:uid="{00000000-0005-0000-0000-0000D41B0000}"/>
    <cellStyle name="Normal 5 7 6 2" xfId="6910" xr:uid="{00000000-0005-0000-0000-0000D51B0000}"/>
    <cellStyle name="Normal 5 7 6 2 2" xfId="15339" xr:uid="{3E4173C1-ADFF-4B1D-B00C-7D7FC5FF44AC}"/>
    <cellStyle name="Normal 5 7 6 3" xfId="11121" xr:uid="{A1B7D2B5-3649-4978-BEFE-39AF4DC5359B}"/>
    <cellStyle name="Normal 5 7 7" xfId="4845" xr:uid="{00000000-0005-0000-0000-0000D61B0000}"/>
    <cellStyle name="Normal 5 7 7 2" xfId="13274" xr:uid="{FD487CD6-D25F-483D-929B-D16496410C71}"/>
    <cellStyle name="Normal 5 7 8" xfId="9056" xr:uid="{E19BD127-0583-4E35-9C3D-63CF928B7740}"/>
    <cellStyle name="Normal 5 8" xfId="881" xr:uid="{00000000-0005-0000-0000-0000D71B0000}"/>
    <cellStyle name="Normal 5 8 2" xfId="3116" xr:uid="{00000000-0005-0000-0000-0000D81B0000}"/>
    <cellStyle name="Normal 5 8 2 2" xfId="7340" xr:uid="{00000000-0005-0000-0000-0000D91B0000}"/>
    <cellStyle name="Normal 5 8 2 2 2" xfId="15769" xr:uid="{97791B36-C8A7-4E56-BA04-69E6433E194A}"/>
    <cellStyle name="Normal 5 8 2 3" xfId="11551" xr:uid="{EA55BCCE-CA41-42CF-AEB5-0781A2DA2BF4}"/>
    <cellStyle name="Normal 5 8 3" xfId="5195" xr:uid="{00000000-0005-0000-0000-0000DA1B0000}"/>
    <cellStyle name="Normal 5 8 3 2" xfId="13624" xr:uid="{176F56DF-4D05-4EF3-9F22-DFFDE256C5C5}"/>
    <cellStyle name="Normal 5 8 4" xfId="9406" xr:uid="{58AEC724-3A09-4122-928D-172BA00F7CD1}"/>
    <cellStyle name="Normal 5 9" xfId="1299" xr:uid="{00000000-0005-0000-0000-0000DB1B0000}"/>
    <cellStyle name="Normal 5 9 2" xfId="3529" xr:uid="{00000000-0005-0000-0000-0000DC1B0000}"/>
    <cellStyle name="Normal 5 9 2 2" xfId="7753" xr:uid="{00000000-0005-0000-0000-0000DD1B0000}"/>
    <cellStyle name="Normal 5 9 2 2 2" xfId="16182" xr:uid="{CB097B6D-B267-4544-B451-751A65E4A24E}"/>
    <cellStyle name="Normal 5 9 2 3" xfId="11964" xr:uid="{D35C77F6-C5A7-4E8B-A50E-B30C0C79817A}"/>
    <cellStyle name="Normal 5 9 3" xfId="5608" xr:uid="{00000000-0005-0000-0000-0000DE1B0000}"/>
    <cellStyle name="Normal 5 9 3 2" xfId="14037" xr:uid="{A2AC9159-66A5-4260-9CA1-8DD3B4F5E97E}"/>
    <cellStyle name="Normal 5 9 4" xfId="9819" xr:uid="{95C9A32F-066F-4A2C-ACE7-6C2B194E08F8}"/>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F930040D-3198-41EF-ADA5-E3DB3796AF58}"/>
    <cellStyle name="Normal 8 10 2 3" xfId="12854" xr:uid="{47950305-ADD0-4C28-B02E-7603303C670E}"/>
    <cellStyle name="Normal 8 10 3" xfId="6498" xr:uid="{00000000-0005-0000-0000-0000EA1B0000}"/>
    <cellStyle name="Normal 8 10 3 2" xfId="14927" xr:uid="{DAC79AD6-EE0B-4543-83E1-DF239698ABE8}"/>
    <cellStyle name="Normal 8 10 4" xfId="10709" xr:uid="{0B221DCC-045E-48E1-A8C3-FB3483C9E520}"/>
    <cellStyle name="Normal 8 11" xfId="2626" xr:uid="{00000000-0005-0000-0000-0000EB1B0000}"/>
    <cellStyle name="Normal 8 11 2" xfId="6911" xr:uid="{00000000-0005-0000-0000-0000EC1B0000}"/>
    <cellStyle name="Normal 8 11 2 2" xfId="15340" xr:uid="{0701304A-EB81-4FEF-A1A0-495E42706A5F}"/>
    <cellStyle name="Normal 8 11 3" xfId="11122" xr:uid="{5E5E2B9F-FECA-4D48-8751-5F173299AD59}"/>
    <cellStyle name="Normal 8 12" xfId="4846" xr:uid="{00000000-0005-0000-0000-0000ED1B0000}"/>
    <cellStyle name="Normal 8 12 2" xfId="13275" xr:uid="{A7A4D3E2-2045-47FD-9700-0A051B7E9D39}"/>
    <cellStyle name="Normal 8 13" xfId="9057" xr:uid="{F43008A5-367D-4F42-8289-80015F789B74}"/>
    <cellStyle name="Normal 8 2" xfId="479" xr:uid="{00000000-0005-0000-0000-0000EE1B0000}"/>
    <cellStyle name="Normal 8 2 10" xfId="2627" xr:uid="{00000000-0005-0000-0000-0000EF1B0000}"/>
    <cellStyle name="Normal 8 2 10 2" xfId="6912" xr:uid="{00000000-0005-0000-0000-0000F01B0000}"/>
    <cellStyle name="Normal 8 2 10 2 2" xfId="15341" xr:uid="{4E52ACAC-1FDB-4747-B29B-B2F3E10B712D}"/>
    <cellStyle name="Normal 8 2 10 3" xfId="11123" xr:uid="{3A2F024A-EAB4-4AE4-B8AD-EFB55BE0402E}"/>
    <cellStyle name="Normal 8 2 11" xfId="4847" xr:uid="{00000000-0005-0000-0000-0000F11B0000}"/>
    <cellStyle name="Normal 8 2 11 2" xfId="13276" xr:uid="{55016708-9F30-4C5B-A9C1-3140AAE882FD}"/>
    <cellStyle name="Normal 8 2 12" xfId="9058" xr:uid="{5C640E76-C880-4938-8EF5-5852413546BF}"/>
    <cellStyle name="Normal 8 2 2" xfId="480" xr:uid="{00000000-0005-0000-0000-0000F21B0000}"/>
    <cellStyle name="Normal 8 2 2 10" xfId="4848" xr:uid="{00000000-0005-0000-0000-0000F31B0000}"/>
    <cellStyle name="Normal 8 2 2 10 2" xfId="13277" xr:uid="{C3EF9131-0EA7-4CFD-B96C-D7EC8EC33CDB}"/>
    <cellStyle name="Normal 8 2 2 11" xfId="9059" xr:uid="{4D912694-D651-46F9-A39B-D0099DBD120D}"/>
    <cellStyle name="Normal 8 2 2 2" xfId="481" xr:uid="{00000000-0005-0000-0000-0000F41B0000}"/>
    <cellStyle name="Normal 8 2 2 2 10" xfId="9060" xr:uid="{9047D403-2910-47FC-83E0-5BA40E988129}"/>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542E642D-72DC-49A5-98E9-3ABC8547F5BE}"/>
    <cellStyle name="Normal 8 2 2 2 2 2 2 2 3" xfId="11620" xr:uid="{878D47A8-F206-4D44-ACEF-2B7C2D498F25}"/>
    <cellStyle name="Normal 8 2 2 2 2 2 2 3" xfId="5264" xr:uid="{00000000-0005-0000-0000-0000FA1B0000}"/>
    <cellStyle name="Normal 8 2 2 2 2 2 2 3 2" xfId="13693" xr:uid="{33F96924-25E2-41BB-8EB2-66615A07E3A8}"/>
    <cellStyle name="Normal 8 2 2 2 2 2 2 4" xfId="9475" xr:uid="{CCDB2839-E0C1-424D-AEC6-7213B18257BE}"/>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11BAB383-221C-49C4-B87B-A7DA560F7E14}"/>
    <cellStyle name="Normal 8 2 2 2 2 2 3 2 3" xfId="12033" xr:uid="{CEA691FD-FE33-44B5-9BD3-EEEA3227CD8D}"/>
    <cellStyle name="Normal 8 2 2 2 2 2 3 3" xfId="5677" xr:uid="{00000000-0005-0000-0000-0000FE1B0000}"/>
    <cellStyle name="Normal 8 2 2 2 2 2 3 3 2" xfId="14106" xr:uid="{311576E4-0158-4D32-9790-33C2B8FF7C0D}"/>
    <cellStyle name="Normal 8 2 2 2 2 2 3 4" xfId="9888" xr:uid="{6281D54D-B435-44E6-A414-A7F0D6D24B2F}"/>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C4AE6345-2AA0-4F61-82B8-3B28BF5C3ED3}"/>
    <cellStyle name="Normal 8 2 2 2 2 2 4 2 3" xfId="12446" xr:uid="{5C9F33A7-27C2-430F-ADAF-2D6CAD4B2CAA}"/>
    <cellStyle name="Normal 8 2 2 2 2 2 4 3" xfId="6090" xr:uid="{00000000-0005-0000-0000-0000021C0000}"/>
    <cellStyle name="Normal 8 2 2 2 2 2 4 3 2" xfId="14519" xr:uid="{B2CCAA08-6F30-4804-978D-089B795BC0EC}"/>
    <cellStyle name="Normal 8 2 2 2 2 2 4 4" xfId="10301" xr:uid="{48FC9D06-27A2-4D1C-9C00-69CCD99CB416}"/>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62D8048C-ADE5-4F2C-857E-F45058D7EC40}"/>
    <cellStyle name="Normal 8 2 2 2 2 2 5 2 3" xfId="12859" xr:uid="{A4AB616A-EA57-4971-A676-F7D786F66A89}"/>
    <cellStyle name="Normal 8 2 2 2 2 2 5 3" xfId="6503" xr:uid="{00000000-0005-0000-0000-0000061C0000}"/>
    <cellStyle name="Normal 8 2 2 2 2 2 5 3 2" xfId="14932" xr:uid="{5B4D27E3-18EC-4EB0-A738-3EE0D3D154D1}"/>
    <cellStyle name="Normal 8 2 2 2 2 2 5 4" xfId="10714" xr:uid="{91FD6119-3FA0-4319-ACE8-711B0F644986}"/>
    <cellStyle name="Normal 8 2 2 2 2 2 6" xfId="2631" xr:uid="{00000000-0005-0000-0000-0000071C0000}"/>
    <cellStyle name="Normal 8 2 2 2 2 2 6 2" xfId="6916" xr:uid="{00000000-0005-0000-0000-0000081C0000}"/>
    <cellStyle name="Normal 8 2 2 2 2 2 6 2 2" xfId="15345" xr:uid="{A422A50D-3722-46BD-8B92-E46D0AD184BC}"/>
    <cellStyle name="Normal 8 2 2 2 2 2 6 3" xfId="11127" xr:uid="{896D96EF-4D01-4487-A665-CFF8C050D04F}"/>
    <cellStyle name="Normal 8 2 2 2 2 2 7" xfId="4851" xr:uid="{00000000-0005-0000-0000-0000091C0000}"/>
    <cellStyle name="Normal 8 2 2 2 2 2 7 2" xfId="13280" xr:uid="{A5EFDD1E-0E8A-474D-8291-2758BAFFF0D7}"/>
    <cellStyle name="Normal 8 2 2 2 2 2 8" xfId="9062" xr:uid="{8BBCD61E-0AC0-4A0A-BAAE-51C7C6AE23C8}"/>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621155AF-8405-4282-AAF2-19B86D21D8EA}"/>
    <cellStyle name="Normal 8 2 2 2 2 3 2 3" xfId="11619" xr:uid="{88637353-E8A9-41A5-8757-AA5A9FF961B6}"/>
    <cellStyle name="Normal 8 2 2 2 2 3 3" xfId="5263" xr:uid="{00000000-0005-0000-0000-00000D1C0000}"/>
    <cellStyle name="Normal 8 2 2 2 2 3 3 2" xfId="13692" xr:uid="{32F73275-11EB-4124-B838-2B3AAFDF741E}"/>
    <cellStyle name="Normal 8 2 2 2 2 3 4" xfId="9474" xr:uid="{F8546EB5-CCAA-4217-A2B5-57566CF5B04F}"/>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F68783FD-1951-4335-84BA-0961EB43BF49}"/>
    <cellStyle name="Normal 8 2 2 2 2 4 2 3" xfId="12032" xr:uid="{236091F8-9120-402D-9886-618B543CDF32}"/>
    <cellStyle name="Normal 8 2 2 2 2 4 3" xfId="5676" xr:uid="{00000000-0005-0000-0000-0000111C0000}"/>
    <cellStyle name="Normal 8 2 2 2 2 4 3 2" xfId="14105" xr:uid="{02A688B7-8DEE-41F4-A492-61FA1C4FD264}"/>
    <cellStyle name="Normal 8 2 2 2 2 4 4" xfId="9887" xr:uid="{8DA96D6F-9555-44CB-8707-11695FE8D843}"/>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DBBA2DDD-E303-4165-8E90-9EAF8D81D76D}"/>
    <cellStyle name="Normal 8 2 2 2 2 5 2 3" xfId="12445" xr:uid="{7CBD4DFB-9F71-4098-A038-22669E95108A}"/>
    <cellStyle name="Normal 8 2 2 2 2 5 3" xfId="6089" xr:uid="{00000000-0005-0000-0000-0000151C0000}"/>
    <cellStyle name="Normal 8 2 2 2 2 5 3 2" xfId="14518" xr:uid="{31244AD4-F44B-4252-B768-01EECD05577D}"/>
    <cellStyle name="Normal 8 2 2 2 2 5 4" xfId="10300" xr:uid="{4229C3F2-2A5B-4BE1-9EBF-62DB5C74C33B}"/>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C2B4CC59-B1B7-467C-B2A4-C41C3A295624}"/>
    <cellStyle name="Normal 8 2 2 2 2 6 2 3" xfId="12858" xr:uid="{081208CF-9B0A-4B26-B8AD-D2FE776A13BA}"/>
    <cellStyle name="Normal 8 2 2 2 2 6 3" xfId="6502" xr:uid="{00000000-0005-0000-0000-0000191C0000}"/>
    <cellStyle name="Normal 8 2 2 2 2 6 3 2" xfId="14931" xr:uid="{4A963640-F5B5-4AE3-B3B3-5431FDC5453F}"/>
    <cellStyle name="Normal 8 2 2 2 2 6 4" xfId="10713" xr:uid="{AB6A2892-8FB0-4D6D-882C-01E0D4C78E23}"/>
    <cellStyle name="Normal 8 2 2 2 2 7" xfId="2630" xr:uid="{00000000-0005-0000-0000-00001A1C0000}"/>
    <cellStyle name="Normal 8 2 2 2 2 7 2" xfId="6915" xr:uid="{00000000-0005-0000-0000-00001B1C0000}"/>
    <cellStyle name="Normal 8 2 2 2 2 7 2 2" xfId="15344" xr:uid="{F1FA57FB-5B8D-4AD9-B030-08332AD1466E}"/>
    <cellStyle name="Normal 8 2 2 2 2 7 3" xfId="11126" xr:uid="{1DEE01CB-BDB5-479D-A7F2-F8802794DD46}"/>
    <cellStyle name="Normal 8 2 2 2 2 8" xfId="4850" xr:uid="{00000000-0005-0000-0000-00001C1C0000}"/>
    <cellStyle name="Normal 8 2 2 2 2 8 2" xfId="13279" xr:uid="{12E040DD-1FF4-40C9-8EB1-7A64DE600DDE}"/>
    <cellStyle name="Normal 8 2 2 2 2 9" xfId="9061" xr:uid="{EECDD0DA-9433-4DA6-98E6-C3D7D898438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A6A633AF-1896-439D-BABA-40A443560061}"/>
    <cellStyle name="Normal 8 2 2 2 3 2 2 3" xfId="11621" xr:uid="{3A990291-0BB6-408B-8128-16CF0A20803A}"/>
    <cellStyle name="Normal 8 2 2 2 3 2 3" xfId="5265" xr:uid="{00000000-0005-0000-0000-0000211C0000}"/>
    <cellStyle name="Normal 8 2 2 2 3 2 3 2" xfId="13694" xr:uid="{93856A7D-F7B5-4405-9174-4922E4C0F3D6}"/>
    <cellStyle name="Normal 8 2 2 2 3 2 4" xfId="9476" xr:uid="{1850BFBD-B67C-4F98-886F-AE9C360C9304}"/>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6C1D8C35-1638-49D9-9495-8DC501159AB8}"/>
    <cellStyle name="Normal 8 2 2 2 3 3 2 3" xfId="12034" xr:uid="{C258F71F-652A-41B9-8A1C-9C2B3A4E0596}"/>
    <cellStyle name="Normal 8 2 2 2 3 3 3" xfId="5678" xr:uid="{00000000-0005-0000-0000-0000251C0000}"/>
    <cellStyle name="Normal 8 2 2 2 3 3 3 2" xfId="14107" xr:uid="{A5187596-CB03-424E-BE4C-7CA0200D1F0F}"/>
    <cellStyle name="Normal 8 2 2 2 3 3 4" xfId="9889" xr:uid="{DE8A9824-35EF-4939-93A7-BCD63A52219B}"/>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EC3C2013-2BDA-4CE3-AF1D-4BF80E92B104}"/>
    <cellStyle name="Normal 8 2 2 2 3 4 2 3" xfId="12447" xr:uid="{CD80B194-8F4D-4BC5-B55E-9C3685F52574}"/>
    <cellStyle name="Normal 8 2 2 2 3 4 3" xfId="6091" xr:uid="{00000000-0005-0000-0000-0000291C0000}"/>
    <cellStyle name="Normal 8 2 2 2 3 4 3 2" xfId="14520" xr:uid="{C1977079-B8D9-43BB-9A91-F887D69535ED}"/>
    <cellStyle name="Normal 8 2 2 2 3 4 4" xfId="10302" xr:uid="{085F4D19-D0D1-4C20-AA3C-0705223D0FF1}"/>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A66DF84E-1D60-4E77-8020-B48BB7B58FDA}"/>
    <cellStyle name="Normal 8 2 2 2 3 5 2 3" xfId="12860" xr:uid="{B9762CCD-08EB-4A1B-9F6B-504ABBECA1D2}"/>
    <cellStyle name="Normal 8 2 2 2 3 5 3" xfId="6504" xr:uid="{00000000-0005-0000-0000-00002D1C0000}"/>
    <cellStyle name="Normal 8 2 2 2 3 5 3 2" xfId="14933" xr:uid="{179BAF4B-F998-4B86-B0AA-0A923A149520}"/>
    <cellStyle name="Normal 8 2 2 2 3 5 4" xfId="10715" xr:uid="{9EAE59F8-81E3-4247-A7B8-3761C9CE5853}"/>
    <cellStyle name="Normal 8 2 2 2 3 6" xfId="2632" xr:uid="{00000000-0005-0000-0000-00002E1C0000}"/>
    <cellStyle name="Normal 8 2 2 2 3 6 2" xfId="6917" xr:uid="{00000000-0005-0000-0000-00002F1C0000}"/>
    <cellStyle name="Normal 8 2 2 2 3 6 2 2" xfId="15346" xr:uid="{113F1C15-3D83-4F97-9085-ECFA776D2456}"/>
    <cellStyle name="Normal 8 2 2 2 3 6 3" xfId="11128" xr:uid="{D885E4B9-1AFF-4451-BCE4-A820A2FFE3B4}"/>
    <cellStyle name="Normal 8 2 2 2 3 7" xfId="4852" xr:uid="{00000000-0005-0000-0000-0000301C0000}"/>
    <cellStyle name="Normal 8 2 2 2 3 7 2" xfId="13281" xr:uid="{62530985-E61A-44E9-BB7D-1CBA65E5A6EA}"/>
    <cellStyle name="Normal 8 2 2 2 3 8" xfId="9063" xr:uid="{F775C206-0BED-4A90-A837-74DAF1C9293C}"/>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1D2C99C0-8ED0-4142-829C-9E8EF8CCDF89}"/>
    <cellStyle name="Normal 8 2 2 2 4 2 3" xfId="11618" xr:uid="{FC1F0B92-2B88-4148-834A-36C61B794C52}"/>
    <cellStyle name="Normal 8 2 2 2 4 3" xfId="5262" xr:uid="{00000000-0005-0000-0000-0000341C0000}"/>
    <cellStyle name="Normal 8 2 2 2 4 3 2" xfId="13691" xr:uid="{436D80E4-47EE-40D4-9D39-98383747CB8D}"/>
    <cellStyle name="Normal 8 2 2 2 4 4" xfId="9473" xr:uid="{DBE203D1-0F2B-4692-B253-BBB0DE40BF5A}"/>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FFDC8949-03B9-4CC1-9B93-18942BE5F970}"/>
    <cellStyle name="Normal 8 2 2 2 5 2 3" xfId="12031" xr:uid="{64DA2BF6-832F-4CDD-8A57-F4B051F54B21}"/>
    <cellStyle name="Normal 8 2 2 2 5 3" xfId="5675" xr:uid="{00000000-0005-0000-0000-0000381C0000}"/>
    <cellStyle name="Normal 8 2 2 2 5 3 2" xfId="14104" xr:uid="{BE7D2621-0660-4D71-A8EE-CBF6B0768C4C}"/>
    <cellStyle name="Normal 8 2 2 2 5 4" xfId="9886" xr:uid="{E6EDEB6E-F86E-4AB4-BFA0-7708B98C2B61}"/>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563B7588-C554-4169-AA46-B61DCC345868}"/>
    <cellStyle name="Normal 8 2 2 2 6 2 3" xfId="12444" xr:uid="{17C8A423-0290-439C-861D-6D47F98BAE62}"/>
    <cellStyle name="Normal 8 2 2 2 6 3" xfId="6088" xr:uid="{00000000-0005-0000-0000-00003C1C0000}"/>
    <cellStyle name="Normal 8 2 2 2 6 3 2" xfId="14517" xr:uid="{33D145FF-EBE6-40DF-BA9C-AA85B0B70B54}"/>
    <cellStyle name="Normal 8 2 2 2 6 4" xfId="10299" xr:uid="{DA05E319-EC54-4370-B588-44D97A52AA42}"/>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E060CE18-41BA-4116-90B2-1152277AC019}"/>
    <cellStyle name="Normal 8 2 2 2 7 2 3" xfId="12857" xr:uid="{F8505C55-4A78-46C6-96E4-CE73DD823E61}"/>
    <cellStyle name="Normal 8 2 2 2 7 3" xfId="6501" xr:uid="{00000000-0005-0000-0000-0000401C0000}"/>
    <cellStyle name="Normal 8 2 2 2 7 3 2" xfId="14930" xr:uid="{6A04F67C-0EC5-45EE-8346-3759B9D09F0A}"/>
    <cellStyle name="Normal 8 2 2 2 7 4" xfId="10712" xr:uid="{862BDD38-FCC8-494D-B7BA-53BA7A30CE3F}"/>
    <cellStyle name="Normal 8 2 2 2 8" xfId="2629" xr:uid="{00000000-0005-0000-0000-0000411C0000}"/>
    <cellStyle name="Normal 8 2 2 2 8 2" xfId="6914" xr:uid="{00000000-0005-0000-0000-0000421C0000}"/>
    <cellStyle name="Normal 8 2 2 2 8 2 2" xfId="15343" xr:uid="{12D91001-78C8-4A45-88C1-1A8716F79780}"/>
    <cellStyle name="Normal 8 2 2 2 8 3" xfId="11125" xr:uid="{E613A06D-2494-4599-91A2-76776C6C03C5}"/>
    <cellStyle name="Normal 8 2 2 2 9" xfId="4849" xr:uid="{00000000-0005-0000-0000-0000431C0000}"/>
    <cellStyle name="Normal 8 2 2 2 9 2" xfId="13278" xr:uid="{BDB4B68B-632B-4380-8096-EFACDCD37542}"/>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A1C0EDE8-4B84-4F7D-A71A-055BEBA5AA9C}"/>
    <cellStyle name="Normal 8 2 2 3 2 2 2 3" xfId="11623" xr:uid="{379CAE7C-BC7C-4E06-BF31-78D9BFCEB7B8}"/>
    <cellStyle name="Normal 8 2 2 3 2 2 3" xfId="5267" xr:uid="{00000000-0005-0000-0000-0000491C0000}"/>
    <cellStyle name="Normal 8 2 2 3 2 2 3 2" xfId="13696" xr:uid="{EACB4BFB-C6A1-4962-830C-81674EDB679F}"/>
    <cellStyle name="Normal 8 2 2 3 2 2 4" xfId="9478" xr:uid="{A1B10305-A0D2-4E9F-A123-A86C24649DEC}"/>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546F9287-96C0-4812-913E-7591EAFC92C9}"/>
    <cellStyle name="Normal 8 2 2 3 2 3 2 3" xfId="12036" xr:uid="{A394AB7F-3E98-420F-B0BC-0499F5666DA6}"/>
    <cellStyle name="Normal 8 2 2 3 2 3 3" xfId="5680" xr:uid="{00000000-0005-0000-0000-00004D1C0000}"/>
    <cellStyle name="Normal 8 2 2 3 2 3 3 2" xfId="14109" xr:uid="{07560FE1-BD64-472B-B877-278F4BAB56E7}"/>
    <cellStyle name="Normal 8 2 2 3 2 3 4" xfId="9891" xr:uid="{01506F74-EE92-45D5-9B9D-E5927CF78B2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4AFB990F-CDCE-4D80-9F00-B5E961605A83}"/>
    <cellStyle name="Normal 8 2 2 3 2 4 2 3" xfId="12449" xr:uid="{41D3C1B3-CA5A-43EE-A82A-D7A2AC275190}"/>
    <cellStyle name="Normal 8 2 2 3 2 4 3" xfId="6093" xr:uid="{00000000-0005-0000-0000-0000511C0000}"/>
    <cellStyle name="Normal 8 2 2 3 2 4 3 2" xfId="14522" xr:uid="{B5994AA5-9D20-4C7C-BC4C-6B3E300AB750}"/>
    <cellStyle name="Normal 8 2 2 3 2 4 4" xfId="10304" xr:uid="{DACF9CC2-CBFF-4E9E-A46C-BC6684BB348F}"/>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A2318B90-5F1C-4871-AF4B-4F6F298B990A}"/>
    <cellStyle name="Normal 8 2 2 3 2 5 2 3" xfId="12862" xr:uid="{E0D1927D-BE2F-4524-8F48-624AC6124806}"/>
    <cellStyle name="Normal 8 2 2 3 2 5 3" xfId="6506" xr:uid="{00000000-0005-0000-0000-0000551C0000}"/>
    <cellStyle name="Normal 8 2 2 3 2 5 3 2" xfId="14935" xr:uid="{60D66AA1-7C36-4F08-99EA-3FBAC47A5845}"/>
    <cellStyle name="Normal 8 2 2 3 2 5 4" xfId="10717" xr:uid="{1CE3C85D-4C3E-4CEE-B49A-23C7B1E2D6E9}"/>
    <cellStyle name="Normal 8 2 2 3 2 6" xfId="2634" xr:uid="{00000000-0005-0000-0000-0000561C0000}"/>
    <cellStyle name="Normal 8 2 2 3 2 6 2" xfId="6919" xr:uid="{00000000-0005-0000-0000-0000571C0000}"/>
    <cellStyle name="Normal 8 2 2 3 2 6 2 2" xfId="15348" xr:uid="{323B5F0B-3677-4ED1-B2EF-E4A67F7B3AA9}"/>
    <cellStyle name="Normal 8 2 2 3 2 6 3" xfId="11130" xr:uid="{B7CA33B6-1ACE-4235-AD09-5D922C1D4B56}"/>
    <cellStyle name="Normal 8 2 2 3 2 7" xfId="4854" xr:uid="{00000000-0005-0000-0000-0000581C0000}"/>
    <cellStyle name="Normal 8 2 2 3 2 7 2" xfId="13283" xr:uid="{E8FB297A-2D3F-4665-8895-065212C919AB}"/>
    <cellStyle name="Normal 8 2 2 3 2 8" xfId="9065" xr:uid="{DEC3B567-4248-4456-B013-335EBF4F494B}"/>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236ADE8C-EB48-47AE-8161-83B0BE932400}"/>
    <cellStyle name="Normal 8 2 2 3 3 2 3" xfId="11622" xr:uid="{920CA6F6-4E0B-45FC-86C6-910795E169E8}"/>
    <cellStyle name="Normal 8 2 2 3 3 3" xfId="5266" xr:uid="{00000000-0005-0000-0000-00005C1C0000}"/>
    <cellStyle name="Normal 8 2 2 3 3 3 2" xfId="13695" xr:uid="{20CDE5BB-5976-4357-A1E2-78A527D6779D}"/>
    <cellStyle name="Normal 8 2 2 3 3 4" xfId="9477" xr:uid="{901E8367-808A-4C03-AA69-959A929D71A3}"/>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C72E4938-6BA5-43AC-8D9F-632D63A8676E}"/>
    <cellStyle name="Normal 8 2 2 3 4 2 3" xfId="12035" xr:uid="{33E1D034-D0F0-4B75-A3E7-E66D4EF178A4}"/>
    <cellStyle name="Normal 8 2 2 3 4 3" xfId="5679" xr:uid="{00000000-0005-0000-0000-0000601C0000}"/>
    <cellStyle name="Normal 8 2 2 3 4 3 2" xfId="14108" xr:uid="{2A49505D-5D0C-4393-953F-3AD1E327B8B4}"/>
    <cellStyle name="Normal 8 2 2 3 4 4" xfId="9890" xr:uid="{22BFEB0F-ACBF-4F1E-B4E8-760AE2EF020C}"/>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13B48AA3-2CE8-4597-A4BE-9727623127D4}"/>
    <cellStyle name="Normal 8 2 2 3 5 2 3" xfId="12448" xr:uid="{234B7B9E-2518-4855-8932-C9D9E7F4F674}"/>
    <cellStyle name="Normal 8 2 2 3 5 3" xfId="6092" xr:uid="{00000000-0005-0000-0000-0000641C0000}"/>
    <cellStyle name="Normal 8 2 2 3 5 3 2" xfId="14521" xr:uid="{27718968-9D85-4EF9-BAAF-C77D3A41F678}"/>
    <cellStyle name="Normal 8 2 2 3 5 4" xfId="10303" xr:uid="{4FF9BEBC-D580-4BC6-937A-162A3F322683}"/>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72F5C2D2-D87D-40BD-92DC-0E57EDA44875}"/>
    <cellStyle name="Normal 8 2 2 3 6 2 3" xfId="12861" xr:uid="{CE7AA39D-8ADE-4539-8075-CC4819EF079C}"/>
    <cellStyle name="Normal 8 2 2 3 6 3" xfId="6505" xr:uid="{00000000-0005-0000-0000-0000681C0000}"/>
    <cellStyle name="Normal 8 2 2 3 6 3 2" xfId="14934" xr:uid="{B00A51E3-9D78-4DC1-899A-D35D35655263}"/>
    <cellStyle name="Normal 8 2 2 3 6 4" xfId="10716" xr:uid="{3D90AAB1-16F0-45A3-AA8B-4BB1DFBA7054}"/>
    <cellStyle name="Normal 8 2 2 3 7" xfId="2633" xr:uid="{00000000-0005-0000-0000-0000691C0000}"/>
    <cellStyle name="Normal 8 2 2 3 7 2" xfId="6918" xr:uid="{00000000-0005-0000-0000-00006A1C0000}"/>
    <cellStyle name="Normal 8 2 2 3 7 2 2" xfId="15347" xr:uid="{02A440D9-165C-4E78-B632-2EE55591D5E8}"/>
    <cellStyle name="Normal 8 2 2 3 7 3" xfId="11129" xr:uid="{7CC5F3D9-DA8E-4DFF-898C-5925E9BACC4E}"/>
    <cellStyle name="Normal 8 2 2 3 8" xfId="4853" xr:uid="{00000000-0005-0000-0000-00006B1C0000}"/>
    <cellStyle name="Normal 8 2 2 3 8 2" xfId="13282" xr:uid="{71D6B1DE-E3EB-4454-AC93-8892F645046C}"/>
    <cellStyle name="Normal 8 2 2 3 9" xfId="9064" xr:uid="{84F257FD-2A6A-462B-B97C-A801AA3CA8FE}"/>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0C384E1F-6CE7-455D-B88D-39C2472BD764}"/>
    <cellStyle name="Normal 8 2 2 4 2 2 3" xfId="11624" xr:uid="{6102710B-0D0A-4556-8A93-AFDDF4B6A0BF}"/>
    <cellStyle name="Normal 8 2 2 4 2 3" xfId="5268" xr:uid="{00000000-0005-0000-0000-0000701C0000}"/>
    <cellStyle name="Normal 8 2 2 4 2 3 2" xfId="13697" xr:uid="{649C047C-5A8C-4226-AFDB-FC52B3C8E145}"/>
    <cellStyle name="Normal 8 2 2 4 2 4" xfId="9479" xr:uid="{E47C8075-C971-4750-84CF-5F66DB8FB18B}"/>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8E701B04-9BC4-4B13-B493-65340355A162}"/>
    <cellStyle name="Normal 8 2 2 4 3 2 3" xfId="12037" xr:uid="{3F8E6D28-0B7E-42E4-8936-37BBFD7D1F9C}"/>
    <cellStyle name="Normal 8 2 2 4 3 3" xfId="5681" xr:uid="{00000000-0005-0000-0000-0000741C0000}"/>
    <cellStyle name="Normal 8 2 2 4 3 3 2" xfId="14110" xr:uid="{9457E782-0D1A-4E40-A3DA-67C0B7B1F480}"/>
    <cellStyle name="Normal 8 2 2 4 3 4" xfId="9892" xr:uid="{52C313CD-4C96-4FB0-83E4-C6FB9BE74C02}"/>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EDBCE306-905C-4F07-BACC-71051C1FD650}"/>
    <cellStyle name="Normal 8 2 2 4 4 2 3" xfId="12450" xr:uid="{E777D807-E487-4215-9F6E-B8EAC0115F5C}"/>
    <cellStyle name="Normal 8 2 2 4 4 3" xfId="6094" xr:uid="{00000000-0005-0000-0000-0000781C0000}"/>
    <cellStyle name="Normal 8 2 2 4 4 3 2" xfId="14523" xr:uid="{AB6134C9-EB4B-4289-9C31-83C2F4A8CF81}"/>
    <cellStyle name="Normal 8 2 2 4 4 4" xfId="10305" xr:uid="{182E6145-3A44-4575-8F2F-7647BD41DD2A}"/>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1BCDB995-4CA2-499A-BA99-40B16AE83411}"/>
    <cellStyle name="Normal 8 2 2 4 5 2 3" xfId="12863" xr:uid="{E9BED270-9BCB-480C-845B-8C166A466496}"/>
    <cellStyle name="Normal 8 2 2 4 5 3" xfId="6507" xr:uid="{00000000-0005-0000-0000-00007C1C0000}"/>
    <cellStyle name="Normal 8 2 2 4 5 3 2" xfId="14936" xr:uid="{4641DD78-BA06-4CA4-8175-6D439646A278}"/>
    <cellStyle name="Normal 8 2 2 4 5 4" xfId="10718" xr:uid="{20EFB454-347C-4970-B6C7-6170B4B34C79}"/>
    <cellStyle name="Normal 8 2 2 4 6" xfId="2635" xr:uid="{00000000-0005-0000-0000-00007D1C0000}"/>
    <cellStyle name="Normal 8 2 2 4 6 2" xfId="6920" xr:uid="{00000000-0005-0000-0000-00007E1C0000}"/>
    <cellStyle name="Normal 8 2 2 4 6 2 2" xfId="15349" xr:uid="{7A6767D6-0BD0-4386-9767-9BDB52BC36FA}"/>
    <cellStyle name="Normal 8 2 2 4 6 3" xfId="11131" xr:uid="{9A7DA663-D110-45CD-9605-6729E0D3F436}"/>
    <cellStyle name="Normal 8 2 2 4 7" xfId="4855" xr:uid="{00000000-0005-0000-0000-00007F1C0000}"/>
    <cellStyle name="Normal 8 2 2 4 7 2" xfId="13284" xr:uid="{F1833837-25E7-4BF8-8CA2-759A92247A77}"/>
    <cellStyle name="Normal 8 2 2 4 8" xfId="9066" xr:uid="{494A1471-0ED9-4A5A-B647-EA10D22D60A0}"/>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854E7AA4-7F82-44A5-868F-343DB5E1AB40}"/>
    <cellStyle name="Normal 8 2 2 5 2 3" xfId="11617" xr:uid="{9F2EBBC2-3D49-47DB-8358-90DA4AAC1CA5}"/>
    <cellStyle name="Normal 8 2 2 5 3" xfId="5261" xr:uid="{00000000-0005-0000-0000-0000831C0000}"/>
    <cellStyle name="Normal 8 2 2 5 3 2" xfId="13690" xr:uid="{7C931808-7F43-4E20-AB53-546498D2D377}"/>
    <cellStyle name="Normal 8 2 2 5 4" xfId="9472" xr:uid="{66926621-6478-4A32-9393-FC519A695F6B}"/>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23E08E9E-9D30-4C0A-82A9-A84DF52DA9D8}"/>
    <cellStyle name="Normal 8 2 2 6 2 3" xfId="12030" xr:uid="{77679DF7-A48A-4F4C-B4B1-1C518E771DF0}"/>
    <cellStyle name="Normal 8 2 2 6 3" xfId="5674" xr:uid="{00000000-0005-0000-0000-0000871C0000}"/>
    <cellStyle name="Normal 8 2 2 6 3 2" xfId="14103" xr:uid="{EA5180EF-11C5-4976-A08C-E836B205A5DB}"/>
    <cellStyle name="Normal 8 2 2 6 4" xfId="9885" xr:uid="{693227A8-ED3D-4A4B-A8E3-21DE58564998}"/>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E1BC58A7-FE5E-4199-8EC4-35BCB8FF711D}"/>
    <cellStyle name="Normal 8 2 2 7 2 3" xfId="12443" xr:uid="{07893F09-AF62-45C1-8BF3-4E0FE4867722}"/>
    <cellStyle name="Normal 8 2 2 7 3" xfId="6087" xr:uid="{00000000-0005-0000-0000-00008B1C0000}"/>
    <cellStyle name="Normal 8 2 2 7 3 2" xfId="14516" xr:uid="{3C83A1CC-77CC-4A0F-805E-7CE360324842}"/>
    <cellStyle name="Normal 8 2 2 7 4" xfId="10298" xr:uid="{85CE6A62-4819-4606-9DD4-0060670218AF}"/>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2EE40013-8B69-4CD0-A284-B34138C04C1A}"/>
    <cellStyle name="Normal 8 2 2 8 2 3" xfId="12856" xr:uid="{1822D3F6-B0F6-4AA4-B0B5-B652BA0A2DFD}"/>
    <cellStyle name="Normal 8 2 2 8 3" xfId="6500" xr:uid="{00000000-0005-0000-0000-00008F1C0000}"/>
    <cellStyle name="Normal 8 2 2 8 3 2" xfId="14929" xr:uid="{819A5152-1659-49B4-B4B1-8BE3A73AFEFF}"/>
    <cellStyle name="Normal 8 2 2 8 4" xfId="10711" xr:uid="{78E3C68D-A528-4D50-8032-67CFF190DBC8}"/>
    <cellStyle name="Normal 8 2 2 9" xfId="2628" xr:uid="{00000000-0005-0000-0000-0000901C0000}"/>
    <cellStyle name="Normal 8 2 2 9 2" xfId="6913" xr:uid="{00000000-0005-0000-0000-0000911C0000}"/>
    <cellStyle name="Normal 8 2 2 9 2 2" xfId="15342" xr:uid="{59202C58-2D9A-400E-A1E3-C3FEAF23A089}"/>
    <cellStyle name="Normal 8 2 2 9 3" xfId="11124" xr:uid="{C732D2B6-8970-4955-BA69-1A51BB3FDB8B}"/>
    <cellStyle name="Normal 8 2 3" xfId="488" xr:uid="{00000000-0005-0000-0000-0000921C0000}"/>
    <cellStyle name="Normal 8 2 3 10" xfId="9067" xr:uid="{142109AB-9F3D-4AF0-B2F6-17741EAA80D6}"/>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B962F134-6726-4130-8B2E-BCC9B7ED49C3}"/>
    <cellStyle name="Normal 8 2 3 2 2 2 2 3" xfId="11627" xr:uid="{65062BF0-59D7-4D89-BB99-10A6017EE1DE}"/>
    <cellStyle name="Normal 8 2 3 2 2 2 3" xfId="5271" xr:uid="{00000000-0005-0000-0000-0000981C0000}"/>
    <cellStyle name="Normal 8 2 3 2 2 2 3 2" xfId="13700" xr:uid="{0A0A2D8B-7871-4949-9312-C12617A6B488}"/>
    <cellStyle name="Normal 8 2 3 2 2 2 4" xfId="9482" xr:uid="{E187140F-74CC-4F47-AE26-FD8105491D5E}"/>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E349605B-0D86-4581-A08B-FA41BF9118A3}"/>
    <cellStyle name="Normal 8 2 3 2 2 3 2 3" xfId="12040" xr:uid="{C023F51D-CC42-4F3B-B1FB-244827C284A9}"/>
    <cellStyle name="Normal 8 2 3 2 2 3 3" xfId="5684" xr:uid="{00000000-0005-0000-0000-00009C1C0000}"/>
    <cellStyle name="Normal 8 2 3 2 2 3 3 2" xfId="14113" xr:uid="{61968290-A4D9-422D-ADA6-9196D3399F8F}"/>
    <cellStyle name="Normal 8 2 3 2 2 3 4" xfId="9895" xr:uid="{006D77F1-6675-415C-8170-A59FC4134929}"/>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7588CE1E-AA03-4C5D-ADA3-96A6BF24EDF9}"/>
    <cellStyle name="Normal 8 2 3 2 2 4 2 3" xfId="12453" xr:uid="{D0B2DE55-4EC7-4A4B-A2E2-CB01F7EF6FD6}"/>
    <cellStyle name="Normal 8 2 3 2 2 4 3" xfId="6097" xr:uid="{00000000-0005-0000-0000-0000A01C0000}"/>
    <cellStyle name="Normal 8 2 3 2 2 4 3 2" xfId="14526" xr:uid="{DE7E4604-85F7-47BB-9816-CFA771FD5EC2}"/>
    <cellStyle name="Normal 8 2 3 2 2 4 4" xfId="10308" xr:uid="{CBF06674-6B72-44D7-98FA-ED74D24131F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E9E19525-3ABE-49EA-B377-799D3C585781}"/>
    <cellStyle name="Normal 8 2 3 2 2 5 2 3" xfId="12866" xr:uid="{F8B24EBE-7885-4CA2-ADB5-75DEF064CC09}"/>
    <cellStyle name="Normal 8 2 3 2 2 5 3" xfId="6510" xr:uid="{00000000-0005-0000-0000-0000A41C0000}"/>
    <cellStyle name="Normal 8 2 3 2 2 5 3 2" xfId="14939" xr:uid="{8CC07F95-315A-4EE2-91C5-88806EA8F0A2}"/>
    <cellStyle name="Normal 8 2 3 2 2 5 4" xfId="10721" xr:uid="{492B87C8-F379-49D3-AB1C-F0F3C32E7801}"/>
    <cellStyle name="Normal 8 2 3 2 2 6" xfId="2638" xr:uid="{00000000-0005-0000-0000-0000A51C0000}"/>
    <cellStyle name="Normal 8 2 3 2 2 6 2" xfId="6923" xr:uid="{00000000-0005-0000-0000-0000A61C0000}"/>
    <cellStyle name="Normal 8 2 3 2 2 6 2 2" xfId="15352" xr:uid="{030812CA-F347-43DD-BC0E-32CD07E3F97A}"/>
    <cellStyle name="Normal 8 2 3 2 2 6 3" xfId="11134" xr:uid="{7C372630-49FC-47CC-863D-D9C619028F8B}"/>
    <cellStyle name="Normal 8 2 3 2 2 7" xfId="4858" xr:uid="{00000000-0005-0000-0000-0000A71C0000}"/>
    <cellStyle name="Normal 8 2 3 2 2 7 2" xfId="13287" xr:uid="{FD36740E-5D5C-4832-B797-282D4F8B4241}"/>
    <cellStyle name="Normal 8 2 3 2 2 8" xfId="9069" xr:uid="{DA1241D2-E4AE-4963-9A3D-0C0D43BA13D1}"/>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0088A0E2-8E7F-4B87-AB9E-A4D789DE452B}"/>
    <cellStyle name="Normal 8 2 3 2 3 2 3" xfId="11626" xr:uid="{4C25DE66-290B-4B81-B83E-B585F422CF74}"/>
    <cellStyle name="Normal 8 2 3 2 3 3" xfId="5270" xr:uid="{00000000-0005-0000-0000-0000AB1C0000}"/>
    <cellStyle name="Normal 8 2 3 2 3 3 2" xfId="13699" xr:uid="{29C9AD5C-CD1A-4DAC-832B-99B603A11910}"/>
    <cellStyle name="Normal 8 2 3 2 3 4" xfId="9481" xr:uid="{09AF8223-D748-4AD7-876C-97F54C89656A}"/>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569DADA1-21ED-46AD-AFE6-A4E84051BE23}"/>
    <cellStyle name="Normal 8 2 3 2 4 2 3" xfId="12039" xr:uid="{2993D458-85DC-4FE9-A6C3-913D230CC53B}"/>
    <cellStyle name="Normal 8 2 3 2 4 3" xfId="5683" xr:uid="{00000000-0005-0000-0000-0000AF1C0000}"/>
    <cellStyle name="Normal 8 2 3 2 4 3 2" xfId="14112" xr:uid="{F9CDCB1F-C912-4011-89FE-74CC154D7855}"/>
    <cellStyle name="Normal 8 2 3 2 4 4" xfId="9894" xr:uid="{C8F8D711-2DF1-494F-806D-709316973BCB}"/>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20DACAB1-0B73-45A9-9600-81399B8F2CB1}"/>
    <cellStyle name="Normal 8 2 3 2 5 2 3" xfId="12452" xr:uid="{93511CE5-EA48-4ACA-B810-7744849883E7}"/>
    <cellStyle name="Normal 8 2 3 2 5 3" xfId="6096" xr:uid="{00000000-0005-0000-0000-0000B31C0000}"/>
    <cellStyle name="Normal 8 2 3 2 5 3 2" xfId="14525" xr:uid="{5213BF98-DD69-4A20-ADE1-C6B9291C5EBD}"/>
    <cellStyle name="Normal 8 2 3 2 5 4" xfId="10307" xr:uid="{BE6D285F-D6C7-4C93-8CA8-607929D2C975}"/>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663ED790-5F1B-4507-95A7-6351D22E8563}"/>
    <cellStyle name="Normal 8 2 3 2 6 2 3" xfId="12865" xr:uid="{E823566A-BB2C-4B6C-A7BA-A2B6B12D85E6}"/>
    <cellStyle name="Normal 8 2 3 2 6 3" xfId="6509" xr:uid="{00000000-0005-0000-0000-0000B71C0000}"/>
    <cellStyle name="Normal 8 2 3 2 6 3 2" xfId="14938" xr:uid="{8A9BBF99-F794-43C0-BD5F-3B5EC9CF0F06}"/>
    <cellStyle name="Normal 8 2 3 2 6 4" xfId="10720" xr:uid="{7254236D-BE5C-4E27-B2D1-2A8240925884}"/>
    <cellStyle name="Normal 8 2 3 2 7" xfId="2637" xr:uid="{00000000-0005-0000-0000-0000B81C0000}"/>
    <cellStyle name="Normal 8 2 3 2 7 2" xfId="6922" xr:uid="{00000000-0005-0000-0000-0000B91C0000}"/>
    <cellStyle name="Normal 8 2 3 2 7 2 2" xfId="15351" xr:uid="{78889165-F5CA-4F1A-9115-C8733E64CD52}"/>
    <cellStyle name="Normal 8 2 3 2 7 3" xfId="11133" xr:uid="{1B37C4B8-E8B2-48B5-B623-71D6E940BD3C}"/>
    <cellStyle name="Normal 8 2 3 2 8" xfId="4857" xr:uid="{00000000-0005-0000-0000-0000BA1C0000}"/>
    <cellStyle name="Normal 8 2 3 2 8 2" xfId="13286" xr:uid="{31BE76FB-2766-4465-AED8-0E5BD05E018F}"/>
    <cellStyle name="Normal 8 2 3 2 9" xfId="9068" xr:uid="{16D682D2-F232-4C0A-B3AE-EE1566968143}"/>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60207E9C-89DD-4766-8288-7EF059D46A49}"/>
    <cellStyle name="Normal 8 2 3 3 2 2 3" xfId="11628" xr:uid="{C497CB1B-5CCF-44A3-B09C-9E6B01B2F3D2}"/>
    <cellStyle name="Normal 8 2 3 3 2 3" xfId="5272" xr:uid="{00000000-0005-0000-0000-0000BF1C0000}"/>
    <cellStyle name="Normal 8 2 3 3 2 3 2" xfId="13701" xr:uid="{1DD41D71-8B79-4BB6-AF92-4DFC12C00E35}"/>
    <cellStyle name="Normal 8 2 3 3 2 4" xfId="9483" xr:uid="{75C258EB-EF3E-467F-8B07-A9D41587659D}"/>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01F20577-A68E-46B6-BB9F-45AC4FA29525}"/>
    <cellStyle name="Normal 8 2 3 3 3 2 3" xfId="12041" xr:uid="{CC4C15C8-5968-4318-8DD4-97B7FBA15F31}"/>
    <cellStyle name="Normal 8 2 3 3 3 3" xfId="5685" xr:uid="{00000000-0005-0000-0000-0000C31C0000}"/>
    <cellStyle name="Normal 8 2 3 3 3 3 2" xfId="14114" xr:uid="{45848B7D-8AB7-43F2-8545-CCA2874E0751}"/>
    <cellStyle name="Normal 8 2 3 3 3 4" xfId="9896" xr:uid="{19094F4D-C014-443C-9593-0C895ED38014}"/>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D394FFE7-CFCA-4C76-8140-3D4FBFAD2119}"/>
    <cellStyle name="Normal 8 2 3 3 4 2 3" xfId="12454" xr:uid="{63D21C8D-6786-4E90-BA11-62F394E2B755}"/>
    <cellStyle name="Normal 8 2 3 3 4 3" xfId="6098" xr:uid="{00000000-0005-0000-0000-0000C71C0000}"/>
    <cellStyle name="Normal 8 2 3 3 4 3 2" xfId="14527" xr:uid="{BF016DFB-F286-4F04-B1E5-04AAE0BEF5C8}"/>
    <cellStyle name="Normal 8 2 3 3 4 4" xfId="10309" xr:uid="{5193021A-83FF-40B1-8AD5-E4960A937409}"/>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ADB26B3E-BD35-4ED3-A457-AFC26D5D734D}"/>
    <cellStyle name="Normal 8 2 3 3 5 2 3" xfId="12867" xr:uid="{B669ADED-E116-45FD-8E39-109B6DA52C3F}"/>
    <cellStyle name="Normal 8 2 3 3 5 3" xfId="6511" xr:uid="{00000000-0005-0000-0000-0000CB1C0000}"/>
    <cellStyle name="Normal 8 2 3 3 5 3 2" xfId="14940" xr:uid="{D4F8CA02-FDFD-4342-83C9-38CF773E2C6C}"/>
    <cellStyle name="Normal 8 2 3 3 5 4" xfId="10722" xr:uid="{780E9B5A-4ADA-4790-9A59-293DE885B752}"/>
    <cellStyle name="Normal 8 2 3 3 6" xfId="2639" xr:uid="{00000000-0005-0000-0000-0000CC1C0000}"/>
    <cellStyle name="Normal 8 2 3 3 6 2" xfId="6924" xr:uid="{00000000-0005-0000-0000-0000CD1C0000}"/>
    <cellStyle name="Normal 8 2 3 3 6 2 2" xfId="15353" xr:uid="{F0A58EAC-7ABE-4EA1-A6F2-9C94D2866E39}"/>
    <cellStyle name="Normal 8 2 3 3 6 3" xfId="11135" xr:uid="{8FA35D0A-EDA4-4831-898B-665A3E486CA9}"/>
    <cellStyle name="Normal 8 2 3 3 7" xfId="4859" xr:uid="{00000000-0005-0000-0000-0000CE1C0000}"/>
    <cellStyle name="Normal 8 2 3 3 7 2" xfId="13288" xr:uid="{B4798B59-C1C0-475A-8FC7-C656ED20EC90}"/>
    <cellStyle name="Normal 8 2 3 3 8" xfId="9070" xr:uid="{6C81E52E-1B83-45D6-AE92-E46C8C740564}"/>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E186C4A6-F054-42D8-962D-900D2750A6C4}"/>
    <cellStyle name="Normal 8 2 3 4 2 3" xfId="11625" xr:uid="{878525A4-3420-4750-B545-DB4870F2B22C}"/>
    <cellStyle name="Normal 8 2 3 4 3" xfId="5269" xr:uid="{00000000-0005-0000-0000-0000D21C0000}"/>
    <cellStyle name="Normal 8 2 3 4 3 2" xfId="13698" xr:uid="{BB9C0AE3-4F0B-4D23-9A75-22F736C4083F}"/>
    <cellStyle name="Normal 8 2 3 4 4" xfId="9480" xr:uid="{8886C47F-D69E-4EA7-B30D-C66D13732E67}"/>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70D162DE-98FA-477B-81ED-C72159CE3ACB}"/>
    <cellStyle name="Normal 8 2 3 5 2 3" xfId="12038" xr:uid="{03BF84D7-F96C-4F70-B489-657B3B597227}"/>
    <cellStyle name="Normal 8 2 3 5 3" xfId="5682" xr:uid="{00000000-0005-0000-0000-0000D61C0000}"/>
    <cellStyle name="Normal 8 2 3 5 3 2" xfId="14111" xr:uid="{2E34B252-5EA6-4D0B-B796-A345FFED9FF4}"/>
    <cellStyle name="Normal 8 2 3 5 4" xfId="9893" xr:uid="{E5A0FF6B-F447-4A65-A998-95690A318B14}"/>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13CE111D-ED04-4A1C-9FC9-CF52DF0C82AE}"/>
    <cellStyle name="Normal 8 2 3 6 2 3" xfId="12451" xr:uid="{E5AA1F6C-5261-42D2-9E2E-3EFCCAE8F8D1}"/>
    <cellStyle name="Normal 8 2 3 6 3" xfId="6095" xr:uid="{00000000-0005-0000-0000-0000DA1C0000}"/>
    <cellStyle name="Normal 8 2 3 6 3 2" xfId="14524" xr:uid="{1076C54A-72B3-4625-B9BB-4B117097217D}"/>
    <cellStyle name="Normal 8 2 3 6 4" xfId="10306" xr:uid="{ECF54F28-1F1F-4C0B-AF82-7FF348DB7B3F}"/>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887E1E13-B87E-41AC-BB06-1612EE81C311}"/>
    <cellStyle name="Normal 8 2 3 7 2 3" xfId="12864" xr:uid="{9A107C72-055D-4F4E-BB7C-BA02F430D5FC}"/>
    <cellStyle name="Normal 8 2 3 7 3" xfId="6508" xr:uid="{00000000-0005-0000-0000-0000DE1C0000}"/>
    <cellStyle name="Normal 8 2 3 7 3 2" xfId="14937" xr:uid="{F0DCE2F1-D1AC-47FB-ACD6-50ABB51E9CDF}"/>
    <cellStyle name="Normal 8 2 3 7 4" xfId="10719" xr:uid="{E4BB6F36-DCEA-4D3C-85DB-EA6826473AF7}"/>
    <cellStyle name="Normal 8 2 3 8" xfId="2636" xr:uid="{00000000-0005-0000-0000-0000DF1C0000}"/>
    <cellStyle name="Normal 8 2 3 8 2" xfId="6921" xr:uid="{00000000-0005-0000-0000-0000E01C0000}"/>
    <cellStyle name="Normal 8 2 3 8 2 2" xfId="15350" xr:uid="{D913B89F-D23B-4AF3-A2D6-CABA34F5C998}"/>
    <cellStyle name="Normal 8 2 3 8 3" xfId="11132" xr:uid="{16A59C30-4DEF-42B6-A91C-F8422D2D52F3}"/>
    <cellStyle name="Normal 8 2 3 9" xfId="4856" xr:uid="{00000000-0005-0000-0000-0000E11C0000}"/>
    <cellStyle name="Normal 8 2 3 9 2" xfId="13285" xr:uid="{89EB91D5-3E33-454C-BC0D-416CE4BE54DF}"/>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881F88AE-F1F3-4533-8CB3-B6305804347A}"/>
    <cellStyle name="Normal 8 2 4 2 2 2 3" xfId="11630" xr:uid="{4D45106A-A75F-493B-8F9D-3D6E2E747BF4}"/>
    <cellStyle name="Normal 8 2 4 2 2 3" xfId="5274" xr:uid="{00000000-0005-0000-0000-0000E71C0000}"/>
    <cellStyle name="Normal 8 2 4 2 2 3 2" xfId="13703" xr:uid="{E734F608-29A6-47B3-811B-276069E84DB8}"/>
    <cellStyle name="Normal 8 2 4 2 2 4" xfId="9485" xr:uid="{C43D2E02-CEAD-4D96-A692-ED08E2D092C0}"/>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0E09AA3E-D2F9-4FA1-9BF4-869F7DA97355}"/>
    <cellStyle name="Normal 8 2 4 2 3 2 3" xfId="12043" xr:uid="{572B25C1-2E57-42DD-B0C7-3B10926E82D3}"/>
    <cellStyle name="Normal 8 2 4 2 3 3" xfId="5687" xr:uid="{00000000-0005-0000-0000-0000EB1C0000}"/>
    <cellStyle name="Normal 8 2 4 2 3 3 2" xfId="14116" xr:uid="{FF0F96BE-5DD9-424F-BE85-52C77FAFDC49}"/>
    <cellStyle name="Normal 8 2 4 2 3 4" xfId="9898" xr:uid="{1201266C-FFE6-487C-83C3-D5CE3A9136A4}"/>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8372F5EF-B962-428C-AD20-09BC382F453D}"/>
    <cellStyle name="Normal 8 2 4 2 4 2 3" xfId="12456" xr:uid="{BDE6CE57-A67A-4897-AEA6-794C18D75579}"/>
    <cellStyle name="Normal 8 2 4 2 4 3" xfId="6100" xr:uid="{00000000-0005-0000-0000-0000EF1C0000}"/>
    <cellStyle name="Normal 8 2 4 2 4 3 2" xfId="14529" xr:uid="{99093648-B6E7-4344-BC18-DE8B81EA970A}"/>
    <cellStyle name="Normal 8 2 4 2 4 4" xfId="10311" xr:uid="{8E489285-91AE-49C7-8C07-343B1BF1EEDC}"/>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A7FE086A-A378-4384-81B8-0F9C83BB95C3}"/>
    <cellStyle name="Normal 8 2 4 2 5 2 3" xfId="12869" xr:uid="{8866122A-3411-4F99-8995-C9AB18382DF8}"/>
    <cellStyle name="Normal 8 2 4 2 5 3" xfId="6513" xr:uid="{00000000-0005-0000-0000-0000F31C0000}"/>
    <cellStyle name="Normal 8 2 4 2 5 3 2" xfId="14942" xr:uid="{3213A7B9-339C-4E01-AD38-DEA3AA9CB9BB}"/>
    <cellStyle name="Normal 8 2 4 2 5 4" xfId="10724" xr:uid="{8B75B8FC-F258-4F95-A468-5AA20181EA29}"/>
    <cellStyle name="Normal 8 2 4 2 6" xfId="2641" xr:uid="{00000000-0005-0000-0000-0000F41C0000}"/>
    <cellStyle name="Normal 8 2 4 2 6 2" xfId="6926" xr:uid="{00000000-0005-0000-0000-0000F51C0000}"/>
    <cellStyle name="Normal 8 2 4 2 6 2 2" xfId="15355" xr:uid="{9147806B-16EB-4337-B85D-2647D2E56BA0}"/>
    <cellStyle name="Normal 8 2 4 2 6 3" xfId="11137" xr:uid="{FDC7A0C4-5D46-42F2-A583-3EEA8CA011A6}"/>
    <cellStyle name="Normal 8 2 4 2 7" xfId="4861" xr:uid="{00000000-0005-0000-0000-0000F61C0000}"/>
    <cellStyle name="Normal 8 2 4 2 7 2" xfId="13290" xr:uid="{C9E08CB5-A4E9-4CF7-8A19-1084871AC195}"/>
    <cellStyle name="Normal 8 2 4 2 8" xfId="9072" xr:uid="{4A0A8296-FA13-4275-A54D-D688008AF527}"/>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93DD0922-CB60-48E1-8F03-66BBBAF82A3A}"/>
    <cellStyle name="Normal 8 2 4 3 2 3" xfId="11629" xr:uid="{B3F8E2F1-50F8-4614-91E5-0F2EB3CBF48D}"/>
    <cellStyle name="Normal 8 2 4 3 3" xfId="5273" xr:uid="{00000000-0005-0000-0000-0000FA1C0000}"/>
    <cellStyle name="Normal 8 2 4 3 3 2" xfId="13702" xr:uid="{D252005F-1791-4DA7-9BBD-6D0AE83A18D2}"/>
    <cellStyle name="Normal 8 2 4 3 4" xfId="9484" xr:uid="{87684AD9-E0CC-487B-87D1-C5F75A2DB8F9}"/>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AA6838BA-70E0-4BDA-90C5-07D02CEFD8BE}"/>
    <cellStyle name="Normal 8 2 4 4 2 3" xfId="12042" xr:uid="{B11CC0F0-6172-4DF3-88B0-008DF154C732}"/>
    <cellStyle name="Normal 8 2 4 4 3" xfId="5686" xr:uid="{00000000-0005-0000-0000-0000FE1C0000}"/>
    <cellStyle name="Normal 8 2 4 4 3 2" xfId="14115" xr:uid="{6168C59C-98EE-4F22-B46C-96F1FFEF4A4B}"/>
    <cellStyle name="Normal 8 2 4 4 4" xfId="9897" xr:uid="{BAD21F25-ED5B-4CD7-B554-147B028F8A1E}"/>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08714B51-9761-481D-82ED-5CE4A3368B31}"/>
    <cellStyle name="Normal 8 2 4 5 2 3" xfId="12455" xr:uid="{DB132EDE-5700-4688-AD0F-B52BAC0C69F3}"/>
    <cellStyle name="Normal 8 2 4 5 3" xfId="6099" xr:uid="{00000000-0005-0000-0000-0000021D0000}"/>
    <cellStyle name="Normal 8 2 4 5 3 2" xfId="14528" xr:uid="{834B3174-4A0F-411E-9D40-DF6C0A9D9DCC}"/>
    <cellStyle name="Normal 8 2 4 5 4" xfId="10310" xr:uid="{E86B2570-9688-45AD-A314-24DE10DC0F71}"/>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5A1C293A-0A5B-407F-AD01-C4875E8CE27C}"/>
    <cellStyle name="Normal 8 2 4 6 2 3" xfId="12868" xr:uid="{C8BF17D2-51A5-404B-8B59-693BB00C75E0}"/>
    <cellStyle name="Normal 8 2 4 6 3" xfId="6512" xr:uid="{00000000-0005-0000-0000-0000061D0000}"/>
    <cellStyle name="Normal 8 2 4 6 3 2" xfId="14941" xr:uid="{A4701228-C5C6-4852-A6AD-3D1D1DE4DE64}"/>
    <cellStyle name="Normal 8 2 4 6 4" xfId="10723" xr:uid="{037D5C29-EA6D-412C-996D-9B014CBF5C78}"/>
    <cellStyle name="Normal 8 2 4 7" xfId="2640" xr:uid="{00000000-0005-0000-0000-0000071D0000}"/>
    <cellStyle name="Normal 8 2 4 7 2" xfId="6925" xr:uid="{00000000-0005-0000-0000-0000081D0000}"/>
    <cellStyle name="Normal 8 2 4 7 2 2" xfId="15354" xr:uid="{E408BFA5-BE78-4E41-AF4A-2B6928E7B6B1}"/>
    <cellStyle name="Normal 8 2 4 7 3" xfId="11136" xr:uid="{DEA67915-5F94-42A1-B81C-5D9D3C642288}"/>
    <cellStyle name="Normal 8 2 4 8" xfId="4860" xr:uid="{00000000-0005-0000-0000-0000091D0000}"/>
    <cellStyle name="Normal 8 2 4 8 2" xfId="13289" xr:uid="{47A247CE-AD6B-431B-8B18-B87F3B864DB5}"/>
    <cellStyle name="Normal 8 2 4 9" xfId="9071" xr:uid="{42AC9277-6BA2-44EA-B9C4-B23C355C9C27}"/>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1FDA703C-3D3E-4B6A-8EBD-46D4BB728DC2}"/>
    <cellStyle name="Normal 8 2 5 2 2 3" xfId="11631" xr:uid="{5EDDABDA-B112-4350-A327-29576C7F6F61}"/>
    <cellStyle name="Normal 8 2 5 2 3" xfId="5275" xr:uid="{00000000-0005-0000-0000-00000E1D0000}"/>
    <cellStyle name="Normal 8 2 5 2 3 2" xfId="13704" xr:uid="{5A289920-6E86-4322-B2CC-AE0CA9581E07}"/>
    <cellStyle name="Normal 8 2 5 2 4" xfId="9486" xr:uid="{4EBA4AF4-E5CF-4ADB-9B30-6D6B36C6E39C}"/>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B2491C90-5A5F-426B-B6BF-D7431D5D346B}"/>
    <cellStyle name="Normal 8 2 5 3 2 3" xfId="12044" xr:uid="{B01DC9E6-BD28-4940-A7BC-D8B8288A5B6B}"/>
    <cellStyle name="Normal 8 2 5 3 3" xfId="5688" xr:uid="{00000000-0005-0000-0000-0000121D0000}"/>
    <cellStyle name="Normal 8 2 5 3 3 2" xfId="14117" xr:uid="{2CA4F532-FFA6-4A8F-BEAC-1F5F6958AD86}"/>
    <cellStyle name="Normal 8 2 5 3 4" xfId="9899" xr:uid="{F78228D1-EFC0-41B3-B3B7-097013117DBB}"/>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2603DF83-20EE-46AC-AB56-5AB258B49601}"/>
    <cellStyle name="Normal 8 2 5 4 2 3" xfId="12457" xr:uid="{C290B35F-CB3E-452A-86F6-54D9F679F1A6}"/>
    <cellStyle name="Normal 8 2 5 4 3" xfId="6101" xr:uid="{00000000-0005-0000-0000-0000161D0000}"/>
    <cellStyle name="Normal 8 2 5 4 3 2" xfId="14530" xr:uid="{5694DFC5-4DA9-4D66-B0E2-B3C23E70AEBA}"/>
    <cellStyle name="Normal 8 2 5 4 4" xfId="10312" xr:uid="{32E696DB-DDF0-480D-BE5F-67377CE969B7}"/>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469B03D5-30D7-4E5E-A754-87C9FB74FDE0}"/>
    <cellStyle name="Normal 8 2 5 5 2 3" xfId="12870" xr:uid="{94323D7F-8857-4D34-9D83-5CBDC0C4BC2F}"/>
    <cellStyle name="Normal 8 2 5 5 3" xfId="6514" xr:uid="{00000000-0005-0000-0000-00001A1D0000}"/>
    <cellStyle name="Normal 8 2 5 5 3 2" xfId="14943" xr:uid="{0BE03F53-1FBB-4A59-8FAC-258FCCB2CFE4}"/>
    <cellStyle name="Normal 8 2 5 5 4" xfId="10725" xr:uid="{5ABB29EF-4F0B-4B6A-9330-06EFD7A9ECBD}"/>
    <cellStyle name="Normal 8 2 5 6" xfId="2642" xr:uid="{00000000-0005-0000-0000-00001B1D0000}"/>
    <cellStyle name="Normal 8 2 5 6 2" xfId="6927" xr:uid="{00000000-0005-0000-0000-00001C1D0000}"/>
    <cellStyle name="Normal 8 2 5 6 2 2" xfId="15356" xr:uid="{DA779760-C630-4836-A735-EB07C39AC996}"/>
    <cellStyle name="Normal 8 2 5 6 3" xfId="11138" xr:uid="{D5F51EBA-83E5-4A3F-A78E-77E870A7B452}"/>
    <cellStyle name="Normal 8 2 5 7" xfId="4862" xr:uid="{00000000-0005-0000-0000-00001D1D0000}"/>
    <cellStyle name="Normal 8 2 5 7 2" xfId="13291" xr:uid="{19B80C79-E92D-4354-B86A-707EED28A563}"/>
    <cellStyle name="Normal 8 2 5 8" xfId="9073" xr:uid="{9289DC26-8883-42F3-B2D0-BB3AC0201549}"/>
    <cellStyle name="Normal 8 2 6" xfId="947" xr:uid="{00000000-0005-0000-0000-00001E1D0000}"/>
    <cellStyle name="Normal 8 2 6 2" xfId="3181" xr:uid="{00000000-0005-0000-0000-00001F1D0000}"/>
    <cellStyle name="Normal 8 2 6 2 2" xfId="7405" xr:uid="{00000000-0005-0000-0000-0000201D0000}"/>
    <cellStyle name="Normal 8 2 6 2 2 2" xfId="15834" xr:uid="{3B50E29F-53D9-4DF0-952B-2AEE2CDFB127}"/>
    <cellStyle name="Normal 8 2 6 2 3" xfId="11616" xr:uid="{F5D0306A-74A1-45CE-A213-E847E7D0E491}"/>
    <cellStyle name="Normal 8 2 6 3" xfId="5260" xr:uid="{00000000-0005-0000-0000-0000211D0000}"/>
    <cellStyle name="Normal 8 2 6 3 2" xfId="13689" xr:uid="{764A6B9C-0A9C-44C0-94C7-EBC1A8EF5DF7}"/>
    <cellStyle name="Normal 8 2 6 4" xfId="9471" xr:uid="{DE522043-A5F3-4441-8FE4-E6EBE2C2F536}"/>
    <cellStyle name="Normal 8 2 7" xfId="1364" xr:uid="{00000000-0005-0000-0000-0000221D0000}"/>
    <cellStyle name="Normal 8 2 7 2" xfId="3594" xr:uid="{00000000-0005-0000-0000-0000231D0000}"/>
    <cellStyle name="Normal 8 2 7 2 2" xfId="7818" xr:uid="{00000000-0005-0000-0000-0000241D0000}"/>
    <cellStyle name="Normal 8 2 7 2 2 2" xfId="16247" xr:uid="{EF219B31-2E18-4EA4-AED6-18D5202666A6}"/>
    <cellStyle name="Normal 8 2 7 2 3" xfId="12029" xr:uid="{3BC52098-F694-4DC8-8E3F-1B19716A7895}"/>
    <cellStyle name="Normal 8 2 7 3" xfId="5673" xr:uid="{00000000-0005-0000-0000-0000251D0000}"/>
    <cellStyle name="Normal 8 2 7 3 2" xfId="14102" xr:uid="{035BD671-4563-4CB7-9BE3-E72F76016FB7}"/>
    <cellStyle name="Normal 8 2 7 4" xfId="9884" xr:uid="{37404799-539C-4000-8D15-336C90A02DCE}"/>
    <cellStyle name="Normal 8 2 8" xfId="1777" xr:uid="{00000000-0005-0000-0000-0000261D0000}"/>
    <cellStyle name="Normal 8 2 8 2" xfId="4007" xr:uid="{00000000-0005-0000-0000-0000271D0000}"/>
    <cellStyle name="Normal 8 2 8 2 2" xfId="8231" xr:uid="{00000000-0005-0000-0000-0000281D0000}"/>
    <cellStyle name="Normal 8 2 8 2 2 2" xfId="16660" xr:uid="{EB7A1222-AE66-4451-B514-AF790B431C75}"/>
    <cellStyle name="Normal 8 2 8 2 3" xfId="12442" xr:uid="{E0B2ADE1-75E6-4C71-B615-62557E7447EC}"/>
    <cellStyle name="Normal 8 2 8 3" xfId="6086" xr:uid="{00000000-0005-0000-0000-0000291D0000}"/>
    <cellStyle name="Normal 8 2 8 3 2" xfId="14515" xr:uid="{A68DB82A-EF9F-4FAF-9ED0-F498B863CFC2}"/>
    <cellStyle name="Normal 8 2 8 4" xfId="10297" xr:uid="{6E46E78C-9BED-44F6-8E4F-705A9A4BF3AC}"/>
    <cellStyle name="Normal 8 2 9" xfId="2191" xr:uid="{00000000-0005-0000-0000-00002A1D0000}"/>
    <cellStyle name="Normal 8 2 9 2" xfId="4420" xr:uid="{00000000-0005-0000-0000-00002B1D0000}"/>
    <cellStyle name="Normal 8 2 9 2 2" xfId="8644" xr:uid="{00000000-0005-0000-0000-00002C1D0000}"/>
    <cellStyle name="Normal 8 2 9 2 2 2" xfId="17073" xr:uid="{C0AD3B6D-9003-4FB7-A4D2-6509F0B42698}"/>
    <cellStyle name="Normal 8 2 9 2 3" xfId="12855" xr:uid="{7A3276E4-D61A-4ADF-8ACA-4EF3E1A1CE79}"/>
    <cellStyle name="Normal 8 2 9 3" xfId="6499" xr:uid="{00000000-0005-0000-0000-00002D1D0000}"/>
    <cellStyle name="Normal 8 2 9 3 2" xfId="14928" xr:uid="{D6100B55-F27B-4C0F-B170-53DA5F0A982B}"/>
    <cellStyle name="Normal 8 2 9 4" xfId="10710" xr:uid="{48D49DD3-FDB7-4667-9125-839A6AD4AFEE}"/>
    <cellStyle name="Normal 8 3" xfId="495" xr:uid="{00000000-0005-0000-0000-00002E1D0000}"/>
    <cellStyle name="Normal 8 3 10" xfId="4863" xr:uid="{00000000-0005-0000-0000-00002F1D0000}"/>
    <cellStyle name="Normal 8 3 10 2" xfId="13292" xr:uid="{F57F851E-3533-4EFD-AD06-8839F5219F1D}"/>
    <cellStyle name="Normal 8 3 11" xfId="9074" xr:uid="{4A96D856-BCA6-41CF-98C5-6CF2AF032179}"/>
    <cellStyle name="Normal 8 3 2" xfId="496" xr:uid="{00000000-0005-0000-0000-0000301D0000}"/>
    <cellStyle name="Normal 8 3 2 10" xfId="9075" xr:uid="{C36D1F5A-B5E4-42B1-A196-D4A5C6E5C053}"/>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5DF1839F-0AA0-46F5-B3FA-7D20B2FD6A82}"/>
    <cellStyle name="Normal 8 3 2 2 2 2 2 3" xfId="11635" xr:uid="{DE38C9D5-A733-4418-A936-D41D32FA8838}"/>
    <cellStyle name="Normal 8 3 2 2 2 2 3" xfId="5279" xr:uid="{00000000-0005-0000-0000-0000361D0000}"/>
    <cellStyle name="Normal 8 3 2 2 2 2 3 2" xfId="13708" xr:uid="{C38C95B1-4462-4A13-ADAC-9E750019EA02}"/>
    <cellStyle name="Normal 8 3 2 2 2 2 4" xfId="9490" xr:uid="{043D5456-CE9C-4A0D-B6FE-A8D8997B7FDA}"/>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FCD686D8-E4AE-4322-816E-AF35AA5E713E}"/>
    <cellStyle name="Normal 8 3 2 2 2 3 2 3" xfId="12048" xr:uid="{CC0C02A3-3112-484C-A1AB-95177F0A3747}"/>
    <cellStyle name="Normal 8 3 2 2 2 3 3" xfId="5692" xr:uid="{00000000-0005-0000-0000-00003A1D0000}"/>
    <cellStyle name="Normal 8 3 2 2 2 3 3 2" xfId="14121" xr:uid="{5A3D007F-FEFE-4E22-B8B4-F1F3F80E7828}"/>
    <cellStyle name="Normal 8 3 2 2 2 3 4" xfId="9903" xr:uid="{B7A8AF30-12B2-4343-A099-27FADF1E3D44}"/>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E682BF5F-46AA-4AC0-85EE-A63882F5BC2B}"/>
    <cellStyle name="Normal 8 3 2 2 2 4 2 3" xfId="12461" xr:uid="{EE2B16D7-18C0-4D3A-A2AE-CBF63D5C5AF1}"/>
    <cellStyle name="Normal 8 3 2 2 2 4 3" xfId="6105" xr:uid="{00000000-0005-0000-0000-00003E1D0000}"/>
    <cellStyle name="Normal 8 3 2 2 2 4 3 2" xfId="14534" xr:uid="{4602F30B-1985-4CC1-998E-089063B56591}"/>
    <cellStyle name="Normal 8 3 2 2 2 4 4" xfId="10316" xr:uid="{D7D9E3CC-4C85-43B8-BCBE-9F27EF4BB59F}"/>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7D2D98CE-85EF-4056-8341-9BB3036144FA}"/>
    <cellStyle name="Normal 8 3 2 2 2 5 2 3" xfId="12874" xr:uid="{719E1B5C-972F-4343-8195-5F92115C0F11}"/>
    <cellStyle name="Normal 8 3 2 2 2 5 3" xfId="6518" xr:uid="{00000000-0005-0000-0000-0000421D0000}"/>
    <cellStyle name="Normal 8 3 2 2 2 5 3 2" xfId="14947" xr:uid="{1AEF6ED6-2C2D-4DA7-BA4D-1FB74D92C60E}"/>
    <cellStyle name="Normal 8 3 2 2 2 5 4" xfId="10729" xr:uid="{EC166EDB-6E5F-43E6-86BC-B304635FAA7D}"/>
    <cellStyle name="Normal 8 3 2 2 2 6" xfId="2646" xr:uid="{00000000-0005-0000-0000-0000431D0000}"/>
    <cellStyle name="Normal 8 3 2 2 2 6 2" xfId="6931" xr:uid="{00000000-0005-0000-0000-0000441D0000}"/>
    <cellStyle name="Normal 8 3 2 2 2 6 2 2" xfId="15360" xr:uid="{F28BCAF2-B17B-4FEF-8C09-15EF8D822B6A}"/>
    <cellStyle name="Normal 8 3 2 2 2 6 3" xfId="11142" xr:uid="{A7A42A28-9DDC-457A-AB7B-9B5CA3BEE95B}"/>
    <cellStyle name="Normal 8 3 2 2 2 7" xfId="4866" xr:uid="{00000000-0005-0000-0000-0000451D0000}"/>
    <cellStyle name="Normal 8 3 2 2 2 7 2" xfId="13295" xr:uid="{494E5E01-F722-4950-B6D3-516EE479FF3A}"/>
    <cellStyle name="Normal 8 3 2 2 2 8" xfId="9077" xr:uid="{220CA87C-22F6-416E-BC15-AC44E537E829}"/>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50A63BEB-98AE-4E33-AFCD-B3A2625B8E91}"/>
    <cellStyle name="Normal 8 3 2 2 3 2 3" xfId="11634" xr:uid="{88B6B3C2-03A0-457D-8ECE-6F46F5AD4011}"/>
    <cellStyle name="Normal 8 3 2 2 3 3" xfId="5278" xr:uid="{00000000-0005-0000-0000-0000491D0000}"/>
    <cellStyle name="Normal 8 3 2 2 3 3 2" xfId="13707" xr:uid="{3E064FAA-6C67-4297-9627-DDE23FBAFA88}"/>
    <cellStyle name="Normal 8 3 2 2 3 4" xfId="9489" xr:uid="{3B3F5BD4-8804-4BA8-9A73-A8352965592E}"/>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3C1A50EB-616D-4969-B1AB-A54C4F047B9C}"/>
    <cellStyle name="Normal 8 3 2 2 4 2 3" xfId="12047" xr:uid="{22048465-F0E6-4A17-B058-F860FB44535E}"/>
    <cellStyle name="Normal 8 3 2 2 4 3" xfId="5691" xr:uid="{00000000-0005-0000-0000-00004D1D0000}"/>
    <cellStyle name="Normal 8 3 2 2 4 3 2" xfId="14120" xr:uid="{B40740DA-6794-400A-9134-9C703068C087}"/>
    <cellStyle name="Normal 8 3 2 2 4 4" xfId="9902" xr:uid="{2632C44F-DD7A-45CD-ACC3-60D8D7A0887C}"/>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0BF0A27D-1848-4AF3-B8C8-F3AA8A726D67}"/>
    <cellStyle name="Normal 8 3 2 2 5 2 3" xfId="12460" xr:uid="{1C70F8EA-7AB0-4FBC-B571-A1AFAB95037C}"/>
    <cellStyle name="Normal 8 3 2 2 5 3" xfId="6104" xr:uid="{00000000-0005-0000-0000-0000511D0000}"/>
    <cellStyle name="Normal 8 3 2 2 5 3 2" xfId="14533" xr:uid="{04192BD9-6405-4CDB-9C50-D267CEC4C67D}"/>
    <cellStyle name="Normal 8 3 2 2 5 4" xfId="10315" xr:uid="{3B715CAC-F8CF-4BF0-BA77-DE78A8B8E935}"/>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87DAB294-86A4-4C22-BE85-9C4BAE24F349}"/>
    <cellStyle name="Normal 8 3 2 2 6 2 3" xfId="12873" xr:uid="{2C918F73-C953-40A0-A413-BE931ECF1236}"/>
    <cellStyle name="Normal 8 3 2 2 6 3" xfId="6517" xr:uid="{00000000-0005-0000-0000-0000551D0000}"/>
    <cellStyle name="Normal 8 3 2 2 6 3 2" xfId="14946" xr:uid="{09F994AC-46E9-4BD3-82C9-5A1B46919A47}"/>
    <cellStyle name="Normal 8 3 2 2 6 4" xfId="10728" xr:uid="{2E7DCB98-6571-4A24-A2A9-8FF56194D43D}"/>
    <cellStyle name="Normal 8 3 2 2 7" xfId="2645" xr:uid="{00000000-0005-0000-0000-0000561D0000}"/>
    <cellStyle name="Normal 8 3 2 2 7 2" xfId="6930" xr:uid="{00000000-0005-0000-0000-0000571D0000}"/>
    <cellStyle name="Normal 8 3 2 2 7 2 2" xfId="15359" xr:uid="{DEFD334A-12B3-4655-8746-6B8B35F34212}"/>
    <cellStyle name="Normal 8 3 2 2 7 3" xfId="11141" xr:uid="{74090650-E6B7-4082-BEA4-B53FFF7E3F92}"/>
    <cellStyle name="Normal 8 3 2 2 8" xfId="4865" xr:uid="{00000000-0005-0000-0000-0000581D0000}"/>
    <cellStyle name="Normal 8 3 2 2 8 2" xfId="13294" xr:uid="{9A28C858-D2BA-4624-9636-00640E6E8206}"/>
    <cellStyle name="Normal 8 3 2 2 9" xfId="9076" xr:uid="{FC3621DA-3DFC-4D58-A948-FA01A63346CF}"/>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5206D0F7-44B0-4C24-909F-1731FCA6B1FE}"/>
    <cellStyle name="Normal 8 3 2 3 2 2 3" xfId="11636" xr:uid="{79C9B9BC-FA01-4015-9231-1EE3B5F27B5B}"/>
    <cellStyle name="Normal 8 3 2 3 2 3" xfId="5280" xr:uid="{00000000-0005-0000-0000-00005D1D0000}"/>
    <cellStyle name="Normal 8 3 2 3 2 3 2" xfId="13709" xr:uid="{E437A74B-2E42-404E-8C3F-D6E371BCD2C5}"/>
    <cellStyle name="Normal 8 3 2 3 2 4" xfId="9491" xr:uid="{FC57DC68-B0AE-4A79-8EC7-907BEB7B6E4A}"/>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9F4843DE-59C8-4123-AA8C-6A55572D5711}"/>
    <cellStyle name="Normal 8 3 2 3 3 2 3" xfId="12049" xr:uid="{D4FD1475-140A-4AA3-96A7-AB85A0CFCE4B}"/>
    <cellStyle name="Normal 8 3 2 3 3 3" xfId="5693" xr:uid="{00000000-0005-0000-0000-0000611D0000}"/>
    <cellStyle name="Normal 8 3 2 3 3 3 2" xfId="14122" xr:uid="{6919580F-EBAC-4090-86FC-D57FD550B235}"/>
    <cellStyle name="Normal 8 3 2 3 3 4" xfId="9904" xr:uid="{F9D798D2-0022-42ED-9BD2-8CCA3A0F052A}"/>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48E1AEBD-F621-4C26-80F1-9B93683CCC4B}"/>
    <cellStyle name="Normal 8 3 2 3 4 2 3" xfId="12462" xr:uid="{4B114138-F253-4B74-814D-4256F01EC7DE}"/>
    <cellStyle name="Normal 8 3 2 3 4 3" xfId="6106" xr:uid="{00000000-0005-0000-0000-0000651D0000}"/>
    <cellStyle name="Normal 8 3 2 3 4 3 2" xfId="14535" xr:uid="{01EC5A16-6D8E-4328-826F-138D151F722A}"/>
    <cellStyle name="Normal 8 3 2 3 4 4" xfId="10317" xr:uid="{B98299B2-473A-4CF3-9886-2ADF525F6C36}"/>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482773B8-9F93-4E1D-B953-E48C79E7F632}"/>
    <cellStyle name="Normal 8 3 2 3 5 2 3" xfId="12875" xr:uid="{9B3693F3-6FDB-49F1-B128-53E4F0C6E911}"/>
    <cellStyle name="Normal 8 3 2 3 5 3" xfId="6519" xr:uid="{00000000-0005-0000-0000-0000691D0000}"/>
    <cellStyle name="Normal 8 3 2 3 5 3 2" xfId="14948" xr:uid="{1CE5B91E-C272-432D-8B18-81F1287DA395}"/>
    <cellStyle name="Normal 8 3 2 3 5 4" xfId="10730" xr:uid="{1544CCCA-4524-4B69-AB6F-9F7574122F3B}"/>
    <cellStyle name="Normal 8 3 2 3 6" xfId="2647" xr:uid="{00000000-0005-0000-0000-00006A1D0000}"/>
    <cellStyle name="Normal 8 3 2 3 6 2" xfId="6932" xr:uid="{00000000-0005-0000-0000-00006B1D0000}"/>
    <cellStyle name="Normal 8 3 2 3 6 2 2" xfId="15361" xr:uid="{26A62BD8-A5B3-40AC-BEC7-B501E89013A0}"/>
    <cellStyle name="Normal 8 3 2 3 6 3" xfId="11143" xr:uid="{52A57E67-8327-4120-A7C2-7E87A3100518}"/>
    <cellStyle name="Normal 8 3 2 3 7" xfId="4867" xr:uid="{00000000-0005-0000-0000-00006C1D0000}"/>
    <cellStyle name="Normal 8 3 2 3 7 2" xfId="13296" xr:uid="{4C48921F-5DEA-42FC-856D-700ECE49A097}"/>
    <cellStyle name="Normal 8 3 2 3 8" xfId="9078" xr:uid="{BE4B3BCD-4435-4EC2-882A-FF1AB9DE873A}"/>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085FB42D-4B82-4005-949E-3762703B74BA}"/>
    <cellStyle name="Normal 8 3 2 4 2 3" xfId="11633" xr:uid="{72E0DB8B-91B2-4E7E-9397-BAB4317B45AF}"/>
    <cellStyle name="Normal 8 3 2 4 3" xfId="5277" xr:uid="{00000000-0005-0000-0000-0000701D0000}"/>
    <cellStyle name="Normal 8 3 2 4 3 2" xfId="13706" xr:uid="{78013229-5135-48C5-8D96-54D28EDB3B01}"/>
    <cellStyle name="Normal 8 3 2 4 4" xfId="9488" xr:uid="{07DCE649-C908-478D-8C62-559031DFF8AE}"/>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4F3E37C0-44D6-4BB6-8646-DF87CE1BFC1A}"/>
    <cellStyle name="Normal 8 3 2 5 2 3" xfId="12046" xr:uid="{ED25CC02-A115-4724-AD7E-9462253FC9D3}"/>
    <cellStyle name="Normal 8 3 2 5 3" xfId="5690" xr:uid="{00000000-0005-0000-0000-0000741D0000}"/>
    <cellStyle name="Normal 8 3 2 5 3 2" xfId="14119" xr:uid="{B0A84682-8FD8-443A-8CE9-6ABA33B12BF9}"/>
    <cellStyle name="Normal 8 3 2 5 4" xfId="9901" xr:uid="{0962DEFC-FFB5-4A39-9501-7A4372CDBC37}"/>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AFD4E046-43C2-42FA-BF8E-6180D15E4EE5}"/>
    <cellStyle name="Normal 8 3 2 6 2 3" xfId="12459" xr:uid="{2B9C66E0-B768-46C3-A0B8-75B14AC452D0}"/>
    <cellStyle name="Normal 8 3 2 6 3" xfId="6103" xr:uid="{00000000-0005-0000-0000-0000781D0000}"/>
    <cellStyle name="Normal 8 3 2 6 3 2" xfId="14532" xr:uid="{99D7B666-6EEA-4FC5-ADB5-99FFA742129A}"/>
    <cellStyle name="Normal 8 3 2 6 4" xfId="10314" xr:uid="{B0716899-3F81-4020-AA8E-8CE82390F420}"/>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254E8CDE-A963-471A-974C-976D90B23628}"/>
    <cellStyle name="Normal 8 3 2 7 2 3" xfId="12872" xr:uid="{DC55F10E-8F6C-464B-91D9-1CFE8AA03F91}"/>
    <cellStyle name="Normal 8 3 2 7 3" xfId="6516" xr:uid="{00000000-0005-0000-0000-00007C1D0000}"/>
    <cellStyle name="Normal 8 3 2 7 3 2" xfId="14945" xr:uid="{5F277B5D-88D8-4941-99CD-E6D40464E0BF}"/>
    <cellStyle name="Normal 8 3 2 7 4" xfId="10727" xr:uid="{42EB3192-E442-4C4A-BD9F-BA65193540C5}"/>
    <cellStyle name="Normal 8 3 2 8" xfId="2644" xr:uid="{00000000-0005-0000-0000-00007D1D0000}"/>
    <cellStyle name="Normal 8 3 2 8 2" xfId="6929" xr:uid="{00000000-0005-0000-0000-00007E1D0000}"/>
    <cellStyle name="Normal 8 3 2 8 2 2" xfId="15358" xr:uid="{BF1F0446-098C-4D56-A260-3AE505F5FE0B}"/>
    <cellStyle name="Normal 8 3 2 8 3" xfId="11140" xr:uid="{397EE169-544C-45AD-97A4-EF5E77FCB46F}"/>
    <cellStyle name="Normal 8 3 2 9" xfId="4864" xr:uid="{00000000-0005-0000-0000-00007F1D0000}"/>
    <cellStyle name="Normal 8 3 2 9 2" xfId="13293" xr:uid="{4A88C864-529D-4783-A158-1B481636C262}"/>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90F2B906-29AB-4F38-85B3-EE5EF3DF0A35}"/>
    <cellStyle name="Normal 8 3 3 2 2 2 3" xfId="11638" xr:uid="{DF57D463-9FA2-4324-AE9C-818D2CCDCFC7}"/>
    <cellStyle name="Normal 8 3 3 2 2 3" xfId="5282" xr:uid="{00000000-0005-0000-0000-0000851D0000}"/>
    <cellStyle name="Normal 8 3 3 2 2 3 2" xfId="13711" xr:uid="{F1817475-1501-43D8-879D-0431C526E980}"/>
    <cellStyle name="Normal 8 3 3 2 2 4" xfId="9493" xr:uid="{24857212-896A-49E3-82FD-30D19FEF3EBD}"/>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F4F03525-5093-47D0-A95F-FBEFADC67013}"/>
    <cellStyle name="Normal 8 3 3 2 3 2 3" xfId="12051" xr:uid="{670E0D55-BCC0-4BDC-B26F-176F979FB72B}"/>
    <cellStyle name="Normal 8 3 3 2 3 3" xfId="5695" xr:uid="{00000000-0005-0000-0000-0000891D0000}"/>
    <cellStyle name="Normal 8 3 3 2 3 3 2" xfId="14124" xr:uid="{6D6498AF-17C2-49EA-9994-C1FA46F7F9FC}"/>
    <cellStyle name="Normal 8 3 3 2 3 4" xfId="9906" xr:uid="{DD263235-46CB-4E70-8902-34488F1C0F0D}"/>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288F6D93-8412-44AC-9B8F-4977802D5777}"/>
    <cellStyle name="Normal 8 3 3 2 4 2 3" xfId="12464" xr:uid="{3D6301AD-8141-49C5-98E6-ED76A8512E17}"/>
    <cellStyle name="Normal 8 3 3 2 4 3" xfId="6108" xr:uid="{00000000-0005-0000-0000-00008D1D0000}"/>
    <cellStyle name="Normal 8 3 3 2 4 3 2" xfId="14537" xr:uid="{77B5A9E3-5DFD-4669-B021-54381A39B3B1}"/>
    <cellStyle name="Normal 8 3 3 2 4 4" xfId="10319" xr:uid="{BACC1A15-EA9E-4C87-A58B-881950B9AE8C}"/>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76B79FB8-0230-4773-BA3B-6C9DA4AF2C8C}"/>
    <cellStyle name="Normal 8 3 3 2 5 2 3" xfId="12877" xr:uid="{0F8E67C8-D9DF-4B94-B226-4BF958B48A5A}"/>
    <cellStyle name="Normal 8 3 3 2 5 3" xfId="6521" xr:uid="{00000000-0005-0000-0000-0000911D0000}"/>
    <cellStyle name="Normal 8 3 3 2 5 3 2" xfId="14950" xr:uid="{1F2999AA-FA46-41CA-9EEB-A46278543213}"/>
    <cellStyle name="Normal 8 3 3 2 5 4" xfId="10732" xr:uid="{798A294B-4F08-4754-8404-A6140816D0DD}"/>
    <cellStyle name="Normal 8 3 3 2 6" xfId="2649" xr:uid="{00000000-0005-0000-0000-0000921D0000}"/>
    <cellStyle name="Normal 8 3 3 2 6 2" xfId="6934" xr:uid="{00000000-0005-0000-0000-0000931D0000}"/>
    <cellStyle name="Normal 8 3 3 2 6 2 2" xfId="15363" xr:uid="{9940B791-032D-4476-B00A-8D289008EB17}"/>
    <cellStyle name="Normal 8 3 3 2 6 3" xfId="11145" xr:uid="{8C2F02D7-5DFA-4280-8BB6-949C2052FA9A}"/>
    <cellStyle name="Normal 8 3 3 2 7" xfId="4869" xr:uid="{00000000-0005-0000-0000-0000941D0000}"/>
    <cellStyle name="Normal 8 3 3 2 7 2" xfId="13298" xr:uid="{38D34838-C701-4184-965F-ADE8F47F0698}"/>
    <cellStyle name="Normal 8 3 3 2 8" xfId="9080" xr:uid="{E9137B9F-A79A-4B21-BB7D-AA04E5213D2F}"/>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DB148778-B81B-4541-AC41-427F775759D2}"/>
    <cellStyle name="Normal 8 3 3 3 2 3" xfId="11637" xr:uid="{D5FFB499-6ABB-432E-A4C1-5CE84A8ABFF3}"/>
    <cellStyle name="Normal 8 3 3 3 3" xfId="5281" xr:uid="{00000000-0005-0000-0000-0000981D0000}"/>
    <cellStyle name="Normal 8 3 3 3 3 2" xfId="13710" xr:uid="{9CF1DA33-4BA2-40FB-AE3F-23C7207025F0}"/>
    <cellStyle name="Normal 8 3 3 3 4" xfId="9492" xr:uid="{6BF74F64-B5C5-443A-B146-BCE36B8E0C15}"/>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88AD5F33-914E-4E5B-83D6-0A08D427283A}"/>
    <cellStyle name="Normal 8 3 3 4 2 3" xfId="12050" xr:uid="{3CB4B3F3-FF97-427E-97F5-B6ED2CB57586}"/>
    <cellStyle name="Normal 8 3 3 4 3" xfId="5694" xr:uid="{00000000-0005-0000-0000-00009C1D0000}"/>
    <cellStyle name="Normal 8 3 3 4 3 2" xfId="14123" xr:uid="{1A30C905-8B7E-41F4-94C6-B5804660EC9F}"/>
    <cellStyle name="Normal 8 3 3 4 4" xfId="9905" xr:uid="{92BBA5AF-2A80-4773-9E7D-D18C5AA44004}"/>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948121D5-F1F2-4456-A387-B14A55DD9C92}"/>
    <cellStyle name="Normal 8 3 3 5 2 3" xfId="12463" xr:uid="{C2DE188F-05EA-45F0-96FF-2F446A1471CE}"/>
    <cellStyle name="Normal 8 3 3 5 3" xfId="6107" xr:uid="{00000000-0005-0000-0000-0000A01D0000}"/>
    <cellStyle name="Normal 8 3 3 5 3 2" xfId="14536" xr:uid="{C9920AFB-2126-4E6E-88C7-264789E0077D}"/>
    <cellStyle name="Normal 8 3 3 5 4" xfId="10318" xr:uid="{C68EBFE3-29B6-4D70-873E-4626C7A9FFE9}"/>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0678DC6A-3672-4430-B214-7B11F1254409}"/>
    <cellStyle name="Normal 8 3 3 6 2 3" xfId="12876" xr:uid="{DC074F91-1307-425E-8AD3-3D2343D251B9}"/>
    <cellStyle name="Normal 8 3 3 6 3" xfId="6520" xr:uid="{00000000-0005-0000-0000-0000A41D0000}"/>
    <cellStyle name="Normal 8 3 3 6 3 2" xfId="14949" xr:uid="{575B0C69-7B1D-4957-A603-79A304D1E4BA}"/>
    <cellStyle name="Normal 8 3 3 6 4" xfId="10731" xr:uid="{9458D895-1F23-4FF1-9848-4141BFF73A15}"/>
    <cellStyle name="Normal 8 3 3 7" xfId="2648" xr:uid="{00000000-0005-0000-0000-0000A51D0000}"/>
    <cellStyle name="Normal 8 3 3 7 2" xfId="6933" xr:uid="{00000000-0005-0000-0000-0000A61D0000}"/>
    <cellStyle name="Normal 8 3 3 7 2 2" xfId="15362" xr:uid="{9807E0F3-F699-4FD7-B0A0-01A8DFD3D544}"/>
    <cellStyle name="Normal 8 3 3 7 3" xfId="11144" xr:uid="{D424E50B-B8EF-4490-A96B-6634D94FC10B}"/>
    <cellStyle name="Normal 8 3 3 8" xfId="4868" xr:uid="{00000000-0005-0000-0000-0000A71D0000}"/>
    <cellStyle name="Normal 8 3 3 8 2" xfId="13297" xr:uid="{F9A1A683-3935-448C-92CB-FD2367E34533}"/>
    <cellStyle name="Normal 8 3 3 9" xfId="9079" xr:uid="{0DC7DF2E-2403-44C1-ABA2-510E0683E2D9}"/>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7FDF0400-9D41-4D8E-9B68-C058F2310D92}"/>
    <cellStyle name="Normal 8 3 4 2 2 3" xfId="11639" xr:uid="{97D118F8-23D2-4706-8CB8-982CF89B2C8E}"/>
    <cellStyle name="Normal 8 3 4 2 3" xfId="5283" xr:uid="{00000000-0005-0000-0000-0000AC1D0000}"/>
    <cellStyle name="Normal 8 3 4 2 3 2" xfId="13712" xr:uid="{87E1D515-EC0A-4DBF-ADE7-C9417DA6EF35}"/>
    <cellStyle name="Normal 8 3 4 2 4" xfId="9494" xr:uid="{BD24A20D-910F-4488-BA7A-CA39B361BCBE}"/>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7238BE60-C766-47D5-9298-ED55E86DB6D4}"/>
    <cellStyle name="Normal 8 3 4 3 2 3" xfId="12052" xr:uid="{A34A78CF-23C4-470F-AC06-37B74720CE6B}"/>
    <cellStyle name="Normal 8 3 4 3 3" xfId="5696" xr:uid="{00000000-0005-0000-0000-0000B01D0000}"/>
    <cellStyle name="Normal 8 3 4 3 3 2" xfId="14125" xr:uid="{6AD1F647-3DFB-4776-B752-850FDEA4E854}"/>
    <cellStyle name="Normal 8 3 4 3 4" xfId="9907" xr:uid="{1CFC0867-E1B6-42C4-9400-DDA83B9DF797}"/>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D41AAFA5-5FAB-482C-A046-E3C063E44B97}"/>
    <cellStyle name="Normal 8 3 4 4 2 3" xfId="12465" xr:uid="{0BB64990-C20A-4B03-A08A-6584CE738833}"/>
    <cellStyle name="Normal 8 3 4 4 3" xfId="6109" xr:uid="{00000000-0005-0000-0000-0000B41D0000}"/>
    <cellStyle name="Normal 8 3 4 4 3 2" xfId="14538" xr:uid="{DB535E67-5ECC-4FAC-A45B-E0D24497F231}"/>
    <cellStyle name="Normal 8 3 4 4 4" xfId="10320" xr:uid="{E7E21712-098A-4F54-A64D-F1433BCA4E82}"/>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55C06A8E-E752-4BB0-A4DE-105C8440C7B3}"/>
    <cellStyle name="Normal 8 3 4 5 2 3" xfId="12878" xr:uid="{67B89AA8-5E65-41E2-845B-8323FFFAEC0B}"/>
    <cellStyle name="Normal 8 3 4 5 3" xfId="6522" xr:uid="{00000000-0005-0000-0000-0000B81D0000}"/>
    <cellStyle name="Normal 8 3 4 5 3 2" xfId="14951" xr:uid="{F1397C0F-B991-4546-B5CE-42F6C5C46116}"/>
    <cellStyle name="Normal 8 3 4 5 4" xfId="10733" xr:uid="{6A041D94-2A6D-4121-9588-DFBA7C22D5F2}"/>
    <cellStyle name="Normal 8 3 4 6" xfId="2650" xr:uid="{00000000-0005-0000-0000-0000B91D0000}"/>
    <cellStyle name="Normal 8 3 4 6 2" xfId="6935" xr:uid="{00000000-0005-0000-0000-0000BA1D0000}"/>
    <cellStyle name="Normal 8 3 4 6 2 2" xfId="15364" xr:uid="{DCFB244F-605E-4108-ADBD-89AF8AAD5020}"/>
    <cellStyle name="Normal 8 3 4 6 3" xfId="11146" xr:uid="{7C2749AD-88EF-4C00-95CE-64EAA8281F92}"/>
    <cellStyle name="Normal 8 3 4 7" xfId="4870" xr:uid="{00000000-0005-0000-0000-0000BB1D0000}"/>
    <cellStyle name="Normal 8 3 4 7 2" xfId="13299" xr:uid="{B558F2D7-4067-4277-9FB9-9ADD0015A374}"/>
    <cellStyle name="Normal 8 3 4 8" xfId="9081" xr:uid="{A89C90F4-52CD-490B-BC79-9B2FFA3D25FF}"/>
    <cellStyle name="Normal 8 3 5" xfId="963" xr:uid="{00000000-0005-0000-0000-0000BC1D0000}"/>
    <cellStyle name="Normal 8 3 5 2" xfId="3197" xr:uid="{00000000-0005-0000-0000-0000BD1D0000}"/>
    <cellStyle name="Normal 8 3 5 2 2" xfId="7421" xr:uid="{00000000-0005-0000-0000-0000BE1D0000}"/>
    <cellStyle name="Normal 8 3 5 2 2 2" xfId="15850" xr:uid="{C7869391-1D60-469D-8E17-AE96692EA22F}"/>
    <cellStyle name="Normal 8 3 5 2 3" xfId="11632" xr:uid="{E75C83D1-0601-488E-8DC9-27D40C95C8F7}"/>
    <cellStyle name="Normal 8 3 5 3" xfId="5276" xr:uid="{00000000-0005-0000-0000-0000BF1D0000}"/>
    <cellStyle name="Normal 8 3 5 3 2" xfId="13705" xr:uid="{29D44803-623E-43FB-AF2C-5A24CAA2653A}"/>
    <cellStyle name="Normal 8 3 5 4" xfId="9487" xr:uid="{AD1AD3BB-8FE0-48A1-9C6F-12E7D52C54A6}"/>
    <cellStyle name="Normal 8 3 6" xfId="1380" xr:uid="{00000000-0005-0000-0000-0000C01D0000}"/>
    <cellStyle name="Normal 8 3 6 2" xfId="3610" xr:uid="{00000000-0005-0000-0000-0000C11D0000}"/>
    <cellStyle name="Normal 8 3 6 2 2" xfId="7834" xr:uid="{00000000-0005-0000-0000-0000C21D0000}"/>
    <cellStyle name="Normal 8 3 6 2 2 2" xfId="16263" xr:uid="{D99DF426-4C81-423B-87DF-9046D323524D}"/>
    <cellStyle name="Normal 8 3 6 2 3" xfId="12045" xr:uid="{E698A3D2-A2BA-4D04-B913-64F3E7BF8EDC}"/>
    <cellStyle name="Normal 8 3 6 3" xfId="5689" xr:uid="{00000000-0005-0000-0000-0000C31D0000}"/>
    <cellStyle name="Normal 8 3 6 3 2" xfId="14118" xr:uid="{280386EC-B0A8-4877-B037-B752DA6A7CCA}"/>
    <cellStyle name="Normal 8 3 6 4" xfId="9900" xr:uid="{D9CA0FAB-7ED4-4D99-8C23-696EFD5DD1AE}"/>
    <cellStyle name="Normal 8 3 7" xfId="1793" xr:uid="{00000000-0005-0000-0000-0000C41D0000}"/>
    <cellStyle name="Normal 8 3 7 2" xfId="4023" xr:uid="{00000000-0005-0000-0000-0000C51D0000}"/>
    <cellStyle name="Normal 8 3 7 2 2" xfId="8247" xr:uid="{00000000-0005-0000-0000-0000C61D0000}"/>
    <cellStyle name="Normal 8 3 7 2 2 2" xfId="16676" xr:uid="{373C33B7-6F54-43FE-895A-11B92E9E270E}"/>
    <cellStyle name="Normal 8 3 7 2 3" xfId="12458" xr:uid="{45A01C30-7D22-4E39-8E56-994BCA6F45C5}"/>
    <cellStyle name="Normal 8 3 7 3" xfId="6102" xr:uid="{00000000-0005-0000-0000-0000C71D0000}"/>
    <cellStyle name="Normal 8 3 7 3 2" xfId="14531" xr:uid="{C0865214-453E-4960-B62D-1DA61F259BCD}"/>
    <cellStyle name="Normal 8 3 7 4" xfId="10313" xr:uid="{03A01834-B485-467D-9438-701971B9292C}"/>
    <cellStyle name="Normal 8 3 8" xfId="2207" xr:uid="{00000000-0005-0000-0000-0000C81D0000}"/>
    <cellStyle name="Normal 8 3 8 2" xfId="4436" xr:uid="{00000000-0005-0000-0000-0000C91D0000}"/>
    <cellStyle name="Normal 8 3 8 2 2" xfId="8660" xr:uid="{00000000-0005-0000-0000-0000CA1D0000}"/>
    <cellStyle name="Normal 8 3 8 2 2 2" xfId="17089" xr:uid="{D39E7D65-3575-4164-8E1B-A0EEC68A6CAC}"/>
    <cellStyle name="Normal 8 3 8 2 3" xfId="12871" xr:uid="{2290F6FF-FBC5-48FA-B5CF-75BF6460BAE4}"/>
    <cellStyle name="Normal 8 3 8 3" xfId="6515" xr:uid="{00000000-0005-0000-0000-0000CB1D0000}"/>
    <cellStyle name="Normal 8 3 8 3 2" xfId="14944" xr:uid="{2189F651-367B-4541-A2A4-CEE5A8237BC1}"/>
    <cellStyle name="Normal 8 3 8 4" xfId="10726" xr:uid="{2F982D2B-33E1-4862-A3BB-D8F2F8493F60}"/>
    <cellStyle name="Normal 8 3 9" xfId="2643" xr:uid="{00000000-0005-0000-0000-0000CC1D0000}"/>
    <cellStyle name="Normal 8 3 9 2" xfId="6928" xr:uid="{00000000-0005-0000-0000-0000CD1D0000}"/>
    <cellStyle name="Normal 8 3 9 2 2" xfId="15357" xr:uid="{3B85A54D-4454-4A60-919A-5BFCFFF87E0C}"/>
    <cellStyle name="Normal 8 3 9 3" xfId="11139" xr:uid="{A13361ED-C607-4849-9C2E-6F16C23C694B}"/>
    <cellStyle name="Normal 8 4" xfId="503" xr:uid="{00000000-0005-0000-0000-0000CE1D0000}"/>
    <cellStyle name="Normal 8 4 10" xfId="9082" xr:uid="{D0CF97E8-E772-4F68-878E-000FBD275EC9}"/>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3AC39F14-E16C-4E36-8899-97914B78F3E2}"/>
    <cellStyle name="Normal 8 4 2 2 2 2 3" xfId="11642" xr:uid="{EE76A453-0CA4-414C-A3DA-FA37ADB77EED}"/>
    <cellStyle name="Normal 8 4 2 2 2 3" xfId="5286" xr:uid="{00000000-0005-0000-0000-0000D41D0000}"/>
    <cellStyle name="Normal 8 4 2 2 2 3 2" xfId="13715" xr:uid="{854111BF-926E-40AB-A577-ADD53C0FBF5F}"/>
    <cellStyle name="Normal 8 4 2 2 2 4" xfId="9497" xr:uid="{D8CDD39B-877C-4276-83F5-834C6819EB94}"/>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D905D194-530A-4083-B352-87A6B415ADE9}"/>
    <cellStyle name="Normal 8 4 2 2 3 2 3" xfId="12055" xr:uid="{103EB4FB-BB7B-4AA4-9696-DE6C7197F587}"/>
    <cellStyle name="Normal 8 4 2 2 3 3" xfId="5699" xr:uid="{00000000-0005-0000-0000-0000D81D0000}"/>
    <cellStyle name="Normal 8 4 2 2 3 3 2" xfId="14128" xr:uid="{2A6BF543-91F9-4F6E-8868-FA5D7731754D}"/>
    <cellStyle name="Normal 8 4 2 2 3 4" xfId="9910" xr:uid="{C114AA77-3F2C-4D37-85DD-006E30222DD4}"/>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9E5AEFA3-5995-47F1-AB67-81C8DDD63DF7}"/>
    <cellStyle name="Normal 8 4 2 2 4 2 3" xfId="12468" xr:uid="{D5AFCAE2-4839-4399-9511-AA87AA690C64}"/>
    <cellStyle name="Normal 8 4 2 2 4 3" xfId="6112" xr:uid="{00000000-0005-0000-0000-0000DC1D0000}"/>
    <cellStyle name="Normal 8 4 2 2 4 3 2" xfId="14541" xr:uid="{8409732B-0C8F-4880-BDA9-A0A042D90C4A}"/>
    <cellStyle name="Normal 8 4 2 2 4 4" xfId="10323" xr:uid="{6FCBD66D-2B77-4A80-A3FA-6630246F6E75}"/>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F8126C6E-ABF0-441C-A024-1EC785FD4E87}"/>
    <cellStyle name="Normal 8 4 2 2 5 2 3" xfId="12881" xr:uid="{5BDBBC5A-20DE-4715-9613-6F5F5AF3E1D8}"/>
    <cellStyle name="Normal 8 4 2 2 5 3" xfId="6525" xr:uid="{00000000-0005-0000-0000-0000E01D0000}"/>
    <cellStyle name="Normal 8 4 2 2 5 3 2" xfId="14954" xr:uid="{5E3F3E68-6E7A-415D-8762-CECA105C9DAE}"/>
    <cellStyle name="Normal 8 4 2 2 5 4" xfId="10736" xr:uid="{C886FEB2-198F-496F-861E-6DACADDF6BFA}"/>
    <cellStyle name="Normal 8 4 2 2 6" xfId="2653" xr:uid="{00000000-0005-0000-0000-0000E11D0000}"/>
    <cellStyle name="Normal 8 4 2 2 6 2" xfId="6938" xr:uid="{00000000-0005-0000-0000-0000E21D0000}"/>
    <cellStyle name="Normal 8 4 2 2 6 2 2" xfId="15367" xr:uid="{0302FC32-9848-44B0-9E9A-F969C56E5B6F}"/>
    <cellStyle name="Normal 8 4 2 2 6 3" xfId="11149" xr:uid="{C65494F9-E663-4143-9570-15EF7A62A557}"/>
    <cellStyle name="Normal 8 4 2 2 7" xfId="4873" xr:uid="{00000000-0005-0000-0000-0000E31D0000}"/>
    <cellStyle name="Normal 8 4 2 2 7 2" xfId="13302" xr:uid="{2AB19798-5E15-4E78-8DA8-6FD8E3FFDAD4}"/>
    <cellStyle name="Normal 8 4 2 2 8" xfId="9084" xr:uid="{9F625B64-3DCF-41A8-825A-88ECEEFDE412}"/>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835E51D1-6E32-4047-9B68-48DF06F93E2F}"/>
    <cellStyle name="Normal 8 4 2 3 2 3" xfId="11641" xr:uid="{9B1C0749-008E-4337-BAF3-7E205837E8B0}"/>
    <cellStyle name="Normal 8 4 2 3 3" xfId="5285" xr:uid="{00000000-0005-0000-0000-0000E71D0000}"/>
    <cellStyle name="Normal 8 4 2 3 3 2" xfId="13714" xr:uid="{DBE6BB7B-2AA9-408B-B3FF-9892B2A81891}"/>
    <cellStyle name="Normal 8 4 2 3 4" xfId="9496" xr:uid="{2C90AB95-5D22-4766-BFC4-4D9A19F0446A}"/>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E8191E1C-8A2C-4BCE-AE2C-75F560091ABB}"/>
    <cellStyle name="Normal 8 4 2 4 2 3" xfId="12054" xr:uid="{F46A3A0A-F06A-4512-9B63-DFA1CA8B8155}"/>
    <cellStyle name="Normal 8 4 2 4 3" xfId="5698" xr:uid="{00000000-0005-0000-0000-0000EB1D0000}"/>
    <cellStyle name="Normal 8 4 2 4 3 2" xfId="14127" xr:uid="{DF4266DB-73B7-4054-A8AA-2DB489682C50}"/>
    <cellStyle name="Normal 8 4 2 4 4" xfId="9909" xr:uid="{BED04758-18AD-49B9-9596-1B7470759739}"/>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1035B7EA-B33B-4B53-823E-8A8AC5A06F85}"/>
    <cellStyle name="Normal 8 4 2 5 2 3" xfId="12467" xr:uid="{636E1ADF-0BEC-4110-B61D-F551BD0F7F9B}"/>
    <cellStyle name="Normal 8 4 2 5 3" xfId="6111" xr:uid="{00000000-0005-0000-0000-0000EF1D0000}"/>
    <cellStyle name="Normal 8 4 2 5 3 2" xfId="14540" xr:uid="{5C528C6F-19E3-4708-9A81-CAA7DFDA47AF}"/>
    <cellStyle name="Normal 8 4 2 5 4" xfId="10322" xr:uid="{4EEEA4E0-83B4-43E3-AA60-39D3937A3F14}"/>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FDF2CDF2-6A13-4943-B931-8B5AB9C5374B}"/>
    <cellStyle name="Normal 8 4 2 6 2 3" xfId="12880" xr:uid="{680CA77B-B67F-4BB8-8FAA-DA008B226DF1}"/>
    <cellStyle name="Normal 8 4 2 6 3" xfId="6524" xr:uid="{00000000-0005-0000-0000-0000F31D0000}"/>
    <cellStyle name="Normal 8 4 2 6 3 2" xfId="14953" xr:uid="{31693812-28BD-42B1-8FE2-CCE446ADB209}"/>
    <cellStyle name="Normal 8 4 2 6 4" xfId="10735" xr:uid="{3EBF8308-B279-42D6-97E1-CFF2CB1C7D0D}"/>
    <cellStyle name="Normal 8 4 2 7" xfId="2652" xr:uid="{00000000-0005-0000-0000-0000F41D0000}"/>
    <cellStyle name="Normal 8 4 2 7 2" xfId="6937" xr:uid="{00000000-0005-0000-0000-0000F51D0000}"/>
    <cellStyle name="Normal 8 4 2 7 2 2" xfId="15366" xr:uid="{436C9DF1-7D76-4B48-9633-E56C9D8ED7DF}"/>
    <cellStyle name="Normal 8 4 2 7 3" xfId="11148" xr:uid="{C4FDBF62-5576-4346-98AC-1AA8B1CDA40F}"/>
    <cellStyle name="Normal 8 4 2 8" xfId="4872" xr:uid="{00000000-0005-0000-0000-0000F61D0000}"/>
    <cellStyle name="Normal 8 4 2 8 2" xfId="13301" xr:uid="{47E558FF-B5BA-46C1-9336-8CB47AD96B75}"/>
    <cellStyle name="Normal 8 4 2 9" xfId="9083" xr:uid="{B4B9FC74-989F-44C9-956D-70052853954C}"/>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34881918-7B35-44EA-8097-F2F008D8C5F7}"/>
    <cellStyle name="Normal 8 4 3 2 2 3" xfId="11643" xr:uid="{D0BB7FE7-EE8D-41CE-BC56-8752C1C61A58}"/>
    <cellStyle name="Normal 8 4 3 2 3" xfId="5287" xr:uid="{00000000-0005-0000-0000-0000FB1D0000}"/>
    <cellStyle name="Normal 8 4 3 2 3 2" xfId="13716" xr:uid="{5DA9804D-A6D6-4AF3-AAAE-87713E9E8856}"/>
    <cellStyle name="Normal 8 4 3 2 4" xfId="9498" xr:uid="{60ED8860-003F-4D20-8B4A-3FBFBF846B19}"/>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FB00C1A3-BBD7-408A-A4A4-9061CAD81F77}"/>
    <cellStyle name="Normal 8 4 3 3 2 3" xfId="12056" xr:uid="{BEFF691D-6EAB-42FB-AD91-8255A45CE596}"/>
    <cellStyle name="Normal 8 4 3 3 3" xfId="5700" xr:uid="{00000000-0005-0000-0000-0000FF1D0000}"/>
    <cellStyle name="Normal 8 4 3 3 3 2" xfId="14129" xr:uid="{E0C21CF0-6709-4A81-8402-0594774DB777}"/>
    <cellStyle name="Normal 8 4 3 3 4" xfId="9911" xr:uid="{207C451C-F167-448E-9883-0E3CC2B3D08B}"/>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A0394259-D9B3-442B-8829-E7E9795A18DE}"/>
    <cellStyle name="Normal 8 4 3 4 2 3" xfId="12469" xr:uid="{59EC564D-99B8-4FAB-9700-68DDB23634C0}"/>
    <cellStyle name="Normal 8 4 3 4 3" xfId="6113" xr:uid="{00000000-0005-0000-0000-0000031E0000}"/>
    <cellStyle name="Normal 8 4 3 4 3 2" xfId="14542" xr:uid="{4F334A2F-BCB5-437D-837F-5D676639F718}"/>
    <cellStyle name="Normal 8 4 3 4 4" xfId="10324" xr:uid="{4F3851C0-1FFD-4FF3-8447-A05B43A815AC}"/>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C2B1DAA8-73B0-471F-AE63-55B4344B766D}"/>
    <cellStyle name="Normal 8 4 3 5 2 3" xfId="12882" xr:uid="{5E3C9A0C-CE00-4FEF-B402-DCF4646A18E1}"/>
    <cellStyle name="Normal 8 4 3 5 3" xfId="6526" xr:uid="{00000000-0005-0000-0000-0000071E0000}"/>
    <cellStyle name="Normal 8 4 3 5 3 2" xfId="14955" xr:uid="{C8A2CDB6-F10A-44EE-AE71-1E95974AAF92}"/>
    <cellStyle name="Normal 8 4 3 5 4" xfId="10737" xr:uid="{B918716E-BB53-42D0-9A80-48CB998529C4}"/>
    <cellStyle name="Normal 8 4 3 6" xfId="2654" xr:uid="{00000000-0005-0000-0000-0000081E0000}"/>
    <cellStyle name="Normal 8 4 3 6 2" xfId="6939" xr:uid="{00000000-0005-0000-0000-0000091E0000}"/>
    <cellStyle name="Normal 8 4 3 6 2 2" xfId="15368" xr:uid="{899D75D4-A97B-4ED5-9507-A1D715DEEF0D}"/>
    <cellStyle name="Normal 8 4 3 6 3" xfId="11150" xr:uid="{43AA1E61-E7E4-44E5-88BA-60164EEA0CE7}"/>
    <cellStyle name="Normal 8 4 3 7" xfId="4874" xr:uid="{00000000-0005-0000-0000-00000A1E0000}"/>
    <cellStyle name="Normal 8 4 3 7 2" xfId="13303" xr:uid="{0CF2BF91-0A7B-42A8-B5FC-9A0E5FCE1367}"/>
    <cellStyle name="Normal 8 4 3 8" xfId="9085" xr:uid="{A636BB0D-785C-468C-92D4-B4E220F1DB07}"/>
    <cellStyle name="Normal 8 4 4" xfId="971" xr:uid="{00000000-0005-0000-0000-00000B1E0000}"/>
    <cellStyle name="Normal 8 4 4 2" xfId="3205" xr:uid="{00000000-0005-0000-0000-00000C1E0000}"/>
    <cellStyle name="Normal 8 4 4 2 2" xfId="7429" xr:uid="{00000000-0005-0000-0000-00000D1E0000}"/>
    <cellStyle name="Normal 8 4 4 2 2 2" xfId="15858" xr:uid="{266F939F-842F-4380-8E6E-51700E50FAEC}"/>
    <cellStyle name="Normal 8 4 4 2 3" xfId="11640" xr:uid="{74D03F3D-1183-4D06-8520-9667E48B833C}"/>
    <cellStyle name="Normal 8 4 4 3" xfId="5284" xr:uid="{00000000-0005-0000-0000-00000E1E0000}"/>
    <cellStyle name="Normal 8 4 4 3 2" xfId="13713" xr:uid="{2CEC4057-7B7C-4D26-845E-A8BAE661A27D}"/>
    <cellStyle name="Normal 8 4 4 4" xfId="9495" xr:uid="{F5D44774-1976-439F-B72F-8836094A179B}"/>
    <cellStyle name="Normal 8 4 5" xfId="1388" xr:uid="{00000000-0005-0000-0000-00000F1E0000}"/>
    <cellStyle name="Normal 8 4 5 2" xfId="3618" xr:uid="{00000000-0005-0000-0000-0000101E0000}"/>
    <cellStyle name="Normal 8 4 5 2 2" xfId="7842" xr:uid="{00000000-0005-0000-0000-0000111E0000}"/>
    <cellStyle name="Normal 8 4 5 2 2 2" xfId="16271" xr:uid="{7C7BC3F8-1867-4DB6-B308-0429A61B342E}"/>
    <cellStyle name="Normal 8 4 5 2 3" xfId="12053" xr:uid="{BB9399D4-2717-4782-BA8B-6AE767CB93A7}"/>
    <cellStyle name="Normal 8 4 5 3" xfId="5697" xr:uid="{00000000-0005-0000-0000-0000121E0000}"/>
    <cellStyle name="Normal 8 4 5 3 2" xfId="14126" xr:uid="{DFAE2697-67EC-49FA-B0DB-237772AE9A11}"/>
    <cellStyle name="Normal 8 4 5 4" xfId="9908" xr:uid="{CE2E7645-85D6-4AA5-99C7-440939248558}"/>
    <cellStyle name="Normal 8 4 6" xfId="1801" xr:uid="{00000000-0005-0000-0000-0000131E0000}"/>
    <cellStyle name="Normal 8 4 6 2" xfId="4031" xr:uid="{00000000-0005-0000-0000-0000141E0000}"/>
    <cellStyle name="Normal 8 4 6 2 2" xfId="8255" xr:uid="{00000000-0005-0000-0000-0000151E0000}"/>
    <cellStyle name="Normal 8 4 6 2 2 2" xfId="16684" xr:uid="{1E21426B-876B-4D88-92C3-E3442F61C50C}"/>
    <cellStyle name="Normal 8 4 6 2 3" xfId="12466" xr:uid="{2E041B7F-841F-467D-800C-A1F42B205D49}"/>
    <cellStyle name="Normal 8 4 6 3" xfId="6110" xr:uid="{00000000-0005-0000-0000-0000161E0000}"/>
    <cellStyle name="Normal 8 4 6 3 2" xfId="14539" xr:uid="{1DF83AF4-E98E-4AF7-860D-B28C1BE8245F}"/>
    <cellStyle name="Normal 8 4 6 4" xfId="10321" xr:uid="{0BCB86D6-C1EE-4CBA-9951-C61729CDB269}"/>
    <cellStyle name="Normal 8 4 7" xfId="2215" xr:uid="{00000000-0005-0000-0000-0000171E0000}"/>
    <cellStyle name="Normal 8 4 7 2" xfId="4444" xr:uid="{00000000-0005-0000-0000-0000181E0000}"/>
    <cellStyle name="Normal 8 4 7 2 2" xfId="8668" xr:uid="{00000000-0005-0000-0000-0000191E0000}"/>
    <cellStyle name="Normal 8 4 7 2 2 2" xfId="17097" xr:uid="{69FA5A05-3C69-413F-B2C0-E7F715E80D54}"/>
    <cellStyle name="Normal 8 4 7 2 3" xfId="12879" xr:uid="{9953EBBB-425C-428D-AF04-81C424448AFE}"/>
    <cellStyle name="Normal 8 4 7 3" xfId="6523" xr:uid="{00000000-0005-0000-0000-00001A1E0000}"/>
    <cellStyle name="Normal 8 4 7 3 2" xfId="14952" xr:uid="{46E49359-FFC8-43D6-BFAC-8D2326C3DE37}"/>
    <cellStyle name="Normal 8 4 7 4" xfId="10734" xr:uid="{1DDF116C-27FF-41EC-9CCA-F486373B51A1}"/>
    <cellStyle name="Normal 8 4 8" xfId="2651" xr:uid="{00000000-0005-0000-0000-00001B1E0000}"/>
    <cellStyle name="Normal 8 4 8 2" xfId="6936" xr:uid="{00000000-0005-0000-0000-00001C1E0000}"/>
    <cellStyle name="Normal 8 4 8 2 2" xfId="15365" xr:uid="{B0FC49D8-2E2A-4029-892C-52DDD813296A}"/>
    <cellStyle name="Normal 8 4 8 3" xfId="11147" xr:uid="{3378D8C4-3700-4F4F-A085-52E35D8729CA}"/>
    <cellStyle name="Normal 8 4 9" xfId="4871" xr:uid="{00000000-0005-0000-0000-00001D1E0000}"/>
    <cellStyle name="Normal 8 4 9 2" xfId="13300" xr:uid="{FF625D7B-E9F7-4AEA-ABFB-6756E14BD5CC}"/>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1F5AEC58-4AD6-4BEA-A927-4F7B145DF794}"/>
    <cellStyle name="Normal 8 5 2 2 2 3" xfId="11645" xr:uid="{154A9BEC-C3F6-4AE6-B82E-8BBF9396B830}"/>
    <cellStyle name="Normal 8 5 2 2 3" xfId="5289" xr:uid="{00000000-0005-0000-0000-0000231E0000}"/>
    <cellStyle name="Normal 8 5 2 2 3 2" xfId="13718" xr:uid="{F8B08FEA-D9FB-4A03-B0D0-D9FA9A473722}"/>
    <cellStyle name="Normal 8 5 2 2 4" xfId="9500" xr:uid="{9D280AD6-EDC2-4B82-936C-113720258F36}"/>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F036502A-B633-470B-B127-F597655C28E6}"/>
    <cellStyle name="Normal 8 5 2 3 2 3" xfId="12058" xr:uid="{39254179-7CF2-4CD1-8DD5-50552B485622}"/>
    <cellStyle name="Normal 8 5 2 3 3" xfId="5702" xr:uid="{00000000-0005-0000-0000-0000271E0000}"/>
    <cellStyle name="Normal 8 5 2 3 3 2" xfId="14131" xr:uid="{54380502-F47C-405E-A004-CD2587FB7743}"/>
    <cellStyle name="Normal 8 5 2 3 4" xfId="9913" xr:uid="{EC4E91FB-09B3-40E8-B484-FDD795F61421}"/>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A913F7DB-1A12-449D-9E1C-6CF91B4E6660}"/>
    <cellStyle name="Normal 8 5 2 4 2 3" xfId="12471" xr:uid="{10C86AD3-C6A3-4B72-B799-4E9B42D9AA80}"/>
    <cellStyle name="Normal 8 5 2 4 3" xfId="6115" xr:uid="{00000000-0005-0000-0000-00002B1E0000}"/>
    <cellStyle name="Normal 8 5 2 4 3 2" xfId="14544" xr:uid="{022E8D61-6120-4030-86C2-E456F4A59E2C}"/>
    <cellStyle name="Normal 8 5 2 4 4" xfId="10326" xr:uid="{84B3F73B-CA0A-4F5B-A672-1F34CDF87890}"/>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6A9F03A5-DFED-464B-9C21-AFA63A09777C}"/>
    <cellStyle name="Normal 8 5 2 5 2 3" xfId="12884" xr:uid="{E8C57F4F-2F98-42B1-9EE1-9753612C3AFC}"/>
    <cellStyle name="Normal 8 5 2 5 3" xfId="6528" xr:uid="{00000000-0005-0000-0000-00002F1E0000}"/>
    <cellStyle name="Normal 8 5 2 5 3 2" xfId="14957" xr:uid="{518D8832-DDE4-46D5-B532-62FC19739E24}"/>
    <cellStyle name="Normal 8 5 2 5 4" xfId="10739" xr:uid="{9F6EBB45-27E9-42EE-AE7B-4DAA38223F5D}"/>
    <cellStyle name="Normal 8 5 2 6" xfId="2656" xr:uid="{00000000-0005-0000-0000-0000301E0000}"/>
    <cellStyle name="Normal 8 5 2 6 2" xfId="6941" xr:uid="{00000000-0005-0000-0000-0000311E0000}"/>
    <cellStyle name="Normal 8 5 2 6 2 2" xfId="15370" xr:uid="{A2A00A63-4DA1-49AB-969B-5B1C3345D2EF}"/>
    <cellStyle name="Normal 8 5 2 6 3" xfId="11152" xr:uid="{CD574981-3D68-4B89-80C8-016DFB9211C4}"/>
    <cellStyle name="Normal 8 5 2 7" xfId="4876" xr:uid="{00000000-0005-0000-0000-0000321E0000}"/>
    <cellStyle name="Normal 8 5 2 7 2" xfId="13305" xr:uid="{5B3D0F0B-5CE7-4D4D-8311-9F7C8581C984}"/>
    <cellStyle name="Normal 8 5 2 8" xfId="9087" xr:uid="{271657CE-1EE2-48DA-BF30-1A0541542325}"/>
    <cellStyle name="Normal 8 5 3" xfId="975" xr:uid="{00000000-0005-0000-0000-0000331E0000}"/>
    <cellStyle name="Normal 8 5 3 2" xfId="3209" xr:uid="{00000000-0005-0000-0000-0000341E0000}"/>
    <cellStyle name="Normal 8 5 3 2 2" xfId="7433" xr:uid="{00000000-0005-0000-0000-0000351E0000}"/>
    <cellStyle name="Normal 8 5 3 2 2 2" xfId="15862" xr:uid="{D3093D17-4655-4D3D-AAAF-05115C0C1876}"/>
    <cellStyle name="Normal 8 5 3 2 3" xfId="11644" xr:uid="{41EF7EF1-839D-4CFC-80D6-CBAC6557AA5D}"/>
    <cellStyle name="Normal 8 5 3 3" xfId="5288" xr:uid="{00000000-0005-0000-0000-0000361E0000}"/>
    <cellStyle name="Normal 8 5 3 3 2" xfId="13717" xr:uid="{CDCB5972-C8C7-4811-BFDC-1E5F16A95B3D}"/>
    <cellStyle name="Normal 8 5 3 4" xfId="9499" xr:uid="{43B2D4D9-58AA-4092-A975-A75E064B6CA5}"/>
    <cellStyle name="Normal 8 5 4" xfId="1392" xr:uid="{00000000-0005-0000-0000-0000371E0000}"/>
    <cellStyle name="Normal 8 5 4 2" xfId="3622" xr:uid="{00000000-0005-0000-0000-0000381E0000}"/>
    <cellStyle name="Normal 8 5 4 2 2" xfId="7846" xr:uid="{00000000-0005-0000-0000-0000391E0000}"/>
    <cellStyle name="Normal 8 5 4 2 2 2" xfId="16275" xr:uid="{2D139A58-801C-434E-BD7F-A5F624CD6A26}"/>
    <cellStyle name="Normal 8 5 4 2 3" xfId="12057" xr:uid="{7611DB8B-6094-4EBA-84D6-2D62611823C6}"/>
    <cellStyle name="Normal 8 5 4 3" xfId="5701" xr:uid="{00000000-0005-0000-0000-00003A1E0000}"/>
    <cellStyle name="Normal 8 5 4 3 2" xfId="14130" xr:uid="{E7442304-A030-4392-88DD-478BE312B53C}"/>
    <cellStyle name="Normal 8 5 4 4" xfId="9912" xr:uid="{382CB235-D864-4375-803A-A6C87A2147B9}"/>
    <cellStyle name="Normal 8 5 5" xfId="1805" xr:uid="{00000000-0005-0000-0000-00003B1E0000}"/>
    <cellStyle name="Normal 8 5 5 2" xfId="4035" xr:uid="{00000000-0005-0000-0000-00003C1E0000}"/>
    <cellStyle name="Normal 8 5 5 2 2" xfId="8259" xr:uid="{00000000-0005-0000-0000-00003D1E0000}"/>
    <cellStyle name="Normal 8 5 5 2 2 2" xfId="16688" xr:uid="{C8B7E671-BF6B-4AC5-960B-6A07EC468154}"/>
    <cellStyle name="Normal 8 5 5 2 3" xfId="12470" xr:uid="{8F7AEB80-3E95-4BF4-ABBD-6C55510B1E2D}"/>
    <cellStyle name="Normal 8 5 5 3" xfId="6114" xr:uid="{00000000-0005-0000-0000-00003E1E0000}"/>
    <cellStyle name="Normal 8 5 5 3 2" xfId="14543" xr:uid="{081EB73D-AAE0-4161-B857-2A3D814E131F}"/>
    <cellStyle name="Normal 8 5 5 4" xfId="10325" xr:uid="{37550D82-4383-47B2-97E9-4F8C8D95A586}"/>
    <cellStyle name="Normal 8 5 6" xfId="2219" xr:uid="{00000000-0005-0000-0000-00003F1E0000}"/>
    <cellStyle name="Normal 8 5 6 2" xfId="4448" xr:uid="{00000000-0005-0000-0000-0000401E0000}"/>
    <cellStyle name="Normal 8 5 6 2 2" xfId="8672" xr:uid="{00000000-0005-0000-0000-0000411E0000}"/>
    <cellStyle name="Normal 8 5 6 2 2 2" xfId="17101" xr:uid="{A90FDED0-CBDA-4E28-96E9-8FC53A737CE4}"/>
    <cellStyle name="Normal 8 5 6 2 3" xfId="12883" xr:uid="{C776FD99-272C-4285-9B30-1D884BF0DDB2}"/>
    <cellStyle name="Normal 8 5 6 3" xfId="6527" xr:uid="{00000000-0005-0000-0000-0000421E0000}"/>
    <cellStyle name="Normal 8 5 6 3 2" xfId="14956" xr:uid="{5D3983B4-B99C-4573-AD8C-1C9A22105AB6}"/>
    <cellStyle name="Normal 8 5 6 4" xfId="10738" xr:uid="{8181DAD6-33CA-4C6D-B161-296357C85E9E}"/>
    <cellStyle name="Normal 8 5 7" xfId="2655" xr:uid="{00000000-0005-0000-0000-0000431E0000}"/>
    <cellStyle name="Normal 8 5 7 2" xfId="6940" xr:uid="{00000000-0005-0000-0000-0000441E0000}"/>
    <cellStyle name="Normal 8 5 7 2 2" xfId="15369" xr:uid="{767A8950-3C8E-4B9A-9443-DD34986A97A9}"/>
    <cellStyle name="Normal 8 5 7 3" xfId="11151" xr:uid="{5DDE7015-F055-4FEA-88B4-890D8B33481F}"/>
    <cellStyle name="Normal 8 5 8" xfId="4875" xr:uid="{00000000-0005-0000-0000-0000451E0000}"/>
    <cellStyle name="Normal 8 5 8 2" xfId="13304" xr:uid="{C258B63B-D9E1-438D-B7D9-10F92E29293D}"/>
    <cellStyle name="Normal 8 5 9" xfId="9086" xr:uid="{117A3027-59E5-44D1-9DF9-C9087B3F028B}"/>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C361CE95-A317-4981-B663-CD90E5D29720}"/>
    <cellStyle name="Normal 8 6 2 2 3" xfId="11646" xr:uid="{7111EBE2-7D6D-4724-83F8-5B5E1EFF4178}"/>
    <cellStyle name="Normal 8 6 2 3" xfId="5290" xr:uid="{00000000-0005-0000-0000-00004A1E0000}"/>
    <cellStyle name="Normal 8 6 2 3 2" xfId="13719" xr:uid="{99D4DB9F-A0A3-4D8B-A0A1-26B41E901A24}"/>
    <cellStyle name="Normal 8 6 2 4" xfId="9501" xr:uid="{FD3EF885-3DBE-4D39-8D9A-BFD5615F9BD9}"/>
    <cellStyle name="Normal 8 6 3" xfId="1394" xr:uid="{00000000-0005-0000-0000-00004B1E0000}"/>
    <cellStyle name="Normal 8 6 3 2" xfId="3624" xr:uid="{00000000-0005-0000-0000-00004C1E0000}"/>
    <cellStyle name="Normal 8 6 3 2 2" xfId="7848" xr:uid="{00000000-0005-0000-0000-00004D1E0000}"/>
    <cellStyle name="Normal 8 6 3 2 2 2" xfId="16277" xr:uid="{2689C459-BCDA-426F-85A5-0A62A5728E3A}"/>
    <cellStyle name="Normal 8 6 3 2 3" xfId="12059" xr:uid="{1E10F8EE-4282-4ED6-9704-18B9FCBAFEE3}"/>
    <cellStyle name="Normal 8 6 3 3" xfId="5703" xr:uid="{00000000-0005-0000-0000-00004E1E0000}"/>
    <cellStyle name="Normal 8 6 3 3 2" xfId="14132" xr:uid="{C61A0413-2E81-4DB5-B387-ECC5669836DE}"/>
    <cellStyle name="Normal 8 6 3 4" xfId="9914" xr:uid="{BF63F498-F9E9-41B3-9E26-096FCDA609F2}"/>
    <cellStyle name="Normal 8 6 4" xfId="1807" xr:uid="{00000000-0005-0000-0000-00004F1E0000}"/>
    <cellStyle name="Normal 8 6 4 2" xfId="4037" xr:uid="{00000000-0005-0000-0000-0000501E0000}"/>
    <cellStyle name="Normal 8 6 4 2 2" xfId="8261" xr:uid="{00000000-0005-0000-0000-0000511E0000}"/>
    <cellStyle name="Normal 8 6 4 2 2 2" xfId="16690" xr:uid="{EE0E4A72-83DF-40FA-9483-E7937DDA8A7E}"/>
    <cellStyle name="Normal 8 6 4 2 3" xfId="12472" xr:uid="{74764328-239D-4E8A-BAF3-78ECA4BE12FC}"/>
    <cellStyle name="Normal 8 6 4 3" xfId="6116" xr:uid="{00000000-0005-0000-0000-0000521E0000}"/>
    <cellStyle name="Normal 8 6 4 3 2" xfId="14545" xr:uid="{E49CF214-A63E-411E-8C2E-378FD551E539}"/>
    <cellStyle name="Normal 8 6 4 4" xfId="10327" xr:uid="{0AF6A89A-0993-4538-87C5-C355347FBF44}"/>
    <cellStyle name="Normal 8 6 5" xfId="2221" xr:uid="{00000000-0005-0000-0000-0000531E0000}"/>
    <cellStyle name="Normal 8 6 5 2" xfId="4450" xr:uid="{00000000-0005-0000-0000-0000541E0000}"/>
    <cellStyle name="Normal 8 6 5 2 2" xfId="8674" xr:uid="{00000000-0005-0000-0000-0000551E0000}"/>
    <cellStyle name="Normal 8 6 5 2 2 2" xfId="17103" xr:uid="{97975386-A516-4BC5-89EA-4B3CE61A1865}"/>
    <cellStyle name="Normal 8 6 5 2 3" xfId="12885" xr:uid="{2EF6DB84-9162-4BE0-B280-70A52E460242}"/>
    <cellStyle name="Normal 8 6 5 3" xfId="6529" xr:uid="{00000000-0005-0000-0000-0000561E0000}"/>
    <cellStyle name="Normal 8 6 5 3 2" xfId="14958" xr:uid="{A10CC3FE-C669-432C-BB51-ECCAED94F739}"/>
    <cellStyle name="Normal 8 6 5 4" xfId="10740" xr:uid="{37AEBA92-DA66-4AEA-90A1-9D65713993DE}"/>
    <cellStyle name="Normal 8 6 6" xfId="2657" xr:uid="{00000000-0005-0000-0000-0000571E0000}"/>
    <cellStyle name="Normal 8 6 6 2" xfId="6942" xr:uid="{00000000-0005-0000-0000-0000581E0000}"/>
    <cellStyle name="Normal 8 6 6 2 2" xfId="15371" xr:uid="{3307366A-FE7C-4097-92BA-09D36DE8A17E}"/>
    <cellStyle name="Normal 8 6 6 3" xfId="11153" xr:uid="{FB65E832-A48C-4398-9C95-D034EC7EFE92}"/>
    <cellStyle name="Normal 8 6 7" xfId="4877" xr:uid="{00000000-0005-0000-0000-0000591E0000}"/>
    <cellStyle name="Normal 8 6 7 2" xfId="13306" xr:uid="{76139272-8EE2-4AB9-810E-3E0217C9DBA9}"/>
    <cellStyle name="Normal 8 6 8" xfId="9088" xr:uid="{58C99E8B-7224-4EF4-965C-7B58CECA4ECE}"/>
    <cellStyle name="Normal 8 7" xfId="946" xr:uid="{00000000-0005-0000-0000-00005A1E0000}"/>
    <cellStyle name="Normal 8 7 2" xfId="3180" xr:uid="{00000000-0005-0000-0000-00005B1E0000}"/>
    <cellStyle name="Normal 8 7 2 2" xfId="7404" xr:uid="{00000000-0005-0000-0000-00005C1E0000}"/>
    <cellStyle name="Normal 8 7 2 2 2" xfId="15833" xr:uid="{36B1B9F0-DA8A-4B15-B2D1-71A735536A04}"/>
    <cellStyle name="Normal 8 7 2 3" xfId="11615" xr:uid="{9DE285CB-30CF-477F-B588-D8E6DBC4FEEE}"/>
    <cellStyle name="Normal 8 7 3" xfId="5259" xr:uid="{00000000-0005-0000-0000-00005D1E0000}"/>
    <cellStyle name="Normal 8 7 3 2" xfId="13688" xr:uid="{68D9016A-A288-4C19-832E-E1CA87B64EB3}"/>
    <cellStyle name="Normal 8 7 4" xfId="9470" xr:uid="{EE2D77B8-67BE-4C67-900F-7DAB19546CD2}"/>
    <cellStyle name="Normal 8 8" xfId="1363" xr:uid="{00000000-0005-0000-0000-00005E1E0000}"/>
    <cellStyle name="Normal 8 8 2" xfId="3593" xr:uid="{00000000-0005-0000-0000-00005F1E0000}"/>
    <cellStyle name="Normal 8 8 2 2" xfId="7817" xr:uid="{00000000-0005-0000-0000-0000601E0000}"/>
    <cellStyle name="Normal 8 8 2 2 2" xfId="16246" xr:uid="{8679E5CB-2811-45AB-9B43-95D4CD77D795}"/>
    <cellStyle name="Normal 8 8 2 3" xfId="12028" xr:uid="{4BB39D5E-88F1-4935-9388-AAF703E99B62}"/>
    <cellStyle name="Normal 8 8 3" xfId="5672" xr:uid="{00000000-0005-0000-0000-0000611E0000}"/>
    <cellStyle name="Normal 8 8 3 2" xfId="14101" xr:uid="{BBC66DE7-2E80-4080-AB9F-2193ED6E12F3}"/>
    <cellStyle name="Normal 8 8 4" xfId="9883" xr:uid="{C55BB232-5BAF-4912-8544-B5A8038DC048}"/>
    <cellStyle name="Normal 8 9" xfId="1776" xr:uid="{00000000-0005-0000-0000-0000621E0000}"/>
    <cellStyle name="Normal 8 9 2" xfId="4006" xr:uid="{00000000-0005-0000-0000-0000631E0000}"/>
    <cellStyle name="Normal 8 9 2 2" xfId="8230" xr:uid="{00000000-0005-0000-0000-0000641E0000}"/>
    <cellStyle name="Normal 8 9 2 2 2" xfId="16659" xr:uid="{2BE82442-DA05-4E4A-89E0-0250758A1C71}"/>
    <cellStyle name="Normal 8 9 2 3" xfId="12441" xr:uid="{98D9AE57-111B-48DF-8944-7678A0EBDC96}"/>
    <cellStyle name="Normal 8 9 3" xfId="6085" xr:uid="{00000000-0005-0000-0000-0000651E0000}"/>
    <cellStyle name="Normal 8 9 3 2" xfId="14514" xr:uid="{99EBD2FB-2C93-481B-B79D-992E3BCF60D9}"/>
    <cellStyle name="Normal 8 9 4" xfId="10296" xr:uid="{2AA7F5FE-B906-4CC7-A17B-5D46F392A924}"/>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F686BABC-49CC-4B77-BC1B-9BAC97CB2E70}"/>
    <cellStyle name="Normal 9 2 10 3" xfId="11154" xr:uid="{BF8C8B1F-427D-415B-9E8C-08C3B6184801}"/>
    <cellStyle name="Normal 9 2 11" xfId="4878" xr:uid="{00000000-0005-0000-0000-00006A1E0000}"/>
    <cellStyle name="Normal 9 2 11 2" xfId="13307" xr:uid="{4FB09F21-A2E2-429B-87AC-A10B51D148BA}"/>
    <cellStyle name="Normal 9 2 12" xfId="9089" xr:uid="{0B8DB932-D085-4AF9-873A-B8883DC8F613}"/>
    <cellStyle name="Normal 9 2 2" xfId="512" xr:uid="{00000000-0005-0000-0000-00006B1E0000}"/>
    <cellStyle name="Normal 9 2 2 10" xfId="4879" xr:uid="{00000000-0005-0000-0000-00006C1E0000}"/>
    <cellStyle name="Normal 9 2 2 10 2" xfId="13308" xr:uid="{1AAA828C-7AD8-4E0D-92A1-7F3E6805B10D}"/>
    <cellStyle name="Normal 9 2 2 11" xfId="9090" xr:uid="{A1C9F6EC-0FB1-46A1-B44F-5132C7C58425}"/>
    <cellStyle name="Normal 9 2 2 2" xfId="513" xr:uid="{00000000-0005-0000-0000-00006D1E0000}"/>
    <cellStyle name="Normal 9 2 2 2 10" xfId="9091" xr:uid="{DD3A187E-300F-4D92-92F5-7E506457E299}"/>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0E3210D7-B4AD-490F-8347-A9FFFF731CB7}"/>
    <cellStyle name="Normal 9 2 2 2 2 2 2 2 3" xfId="11651" xr:uid="{5CAEBD9A-5D30-4164-890F-CD91B9CB80E5}"/>
    <cellStyle name="Normal 9 2 2 2 2 2 2 3" xfId="5295" xr:uid="{00000000-0005-0000-0000-0000731E0000}"/>
    <cellStyle name="Normal 9 2 2 2 2 2 2 3 2" xfId="13724" xr:uid="{C586D6C5-CAEB-4C4B-9C06-04C3027CA6F5}"/>
    <cellStyle name="Normal 9 2 2 2 2 2 2 4" xfId="9506" xr:uid="{2AA350E3-31B9-4198-8CFF-1B9BF2F6A089}"/>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A6FB2372-1928-43DA-8105-E58052C774FF}"/>
    <cellStyle name="Normal 9 2 2 2 2 2 3 2 3" xfId="12064" xr:uid="{28773EF8-9AD3-40A9-9206-6CC8F804F149}"/>
    <cellStyle name="Normal 9 2 2 2 2 2 3 3" xfId="5708" xr:uid="{00000000-0005-0000-0000-0000771E0000}"/>
    <cellStyle name="Normal 9 2 2 2 2 2 3 3 2" xfId="14137" xr:uid="{688BA6EC-761F-4CF1-B87E-2749B1BC415B}"/>
    <cellStyle name="Normal 9 2 2 2 2 2 3 4" xfId="9919" xr:uid="{84681CEF-0EBA-4413-A7A8-B0AAAC4BC97B}"/>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14C452A4-A6E8-4C76-AE94-37D4DDAD6188}"/>
    <cellStyle name="Normal 9 2 2 2 2 2 4 2 3" xfId="12477" xr:uid="{2487DDA6-4098-4381-87C6-EEF8CC931C72}"/>
    <cellStyle name="Normal 9 2 2 2 2 2 4 3" xfId="6121" xr:uid="{00000000-0005-0000-0000-00007B1E0000}"/>
    <cellStyle name="Normal 9 2 2 2 2 2 4 3 2" xfId="14550" xr:uid="{E9D1AD12-D84A-4DA9-8115-04C4EAFC0B28}"/>
    <cellStyle name="Normal 9 2 2 2 2 2 4 4" xfId="10332" xr:uid="{8A2A225B-A412-4B45-9CE5-F1F457A86867}"/>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AB240808-9D92-4F85-8378-4805FF42D6C3}"/>
    <cellStyle name="Normal 9 2 2 2 2 2 5 2 3" xfId="12890" xr:uid="{4BD27825-312B-4249-8CBF-3030336331F7}"/>
    <cellStyle name="Normal 9 2 2 2 2 2 5 3" xfId="6534" xr:uid="{00000000-0005-0000-0000-00007F1E0000}"/>
    <cellStyle name="Normal 9 2 2 2 2 2 5 3 2" xfId="14963" xr:uid="{7EA09B34-9C38-4A5E-9950-6E22DC2CCDED}"/>
    <cellStyle name="Normal 9 2 2 2 2 2 5 4" xfId="10745" xr:uid="{CA8FBF82-D7BF-44BD-A8B2-DD5768A337F8}"/>
    <cellStyle name="Normal 9 2 2 2 2 2 6" xfId="2662" xr:uid="{00000000-0005-0000-0000-0000801E0000}"/>
    <cellStyle name="Normal 9 2 2 2 2 2 6 2" xfId="6947" xr:uid="{00000000-0005-0000-0000-0000811E0000}"/>
    <cellStyle name="Normal 9 2 2 2 2 2 6 2 2" xfId="15376" xr:uid="{B80E24AD-374A-4C6F-B0F8-8F2B82D542BD}"/>
    <cellStyle name="Normal 9 2 2 2 2 2 6 3" xfId="11158" xr:uid="{035518AD-F323-4494-A18C-FD1E168F3FF0}"/>
    <cellStyle name="Normal 9 2 2 2 2 2 7" xfId="4882" xr:uid="{00000000-0005-0000-0000-0000821E0000}"/>
    <cellStyle name="Normal 9 2 2 2 2 2 7 2" xfId="13311" xr:uid="{3B78310D-2727-4FED-BE97-14551D60226F}"/>
    <cellStyle name="Normal 9 2 2 2 2 2 8" xfId="9093" xr:uid="{DE3FC0CE-DFE0-487C-A8CC-7A572A392D5E}"/>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8BFF158D-7114-4D73-B4E6-1E5B97599BE7}"/>
    <cellStyle name="Normal 9 2 2 2 2 3 2 3" xfId="11650" xr:uid="{3C73B8E5-08C6-4C82-93C9-0A23FB3BA59B}"/>
    <cellStyle name="Normal 9 2 2 2 2 3 3" xfId="5294" xr:uid="{00000000-0005-0000-0000-0000861E0000}"/>
    <cellStyle name="Normal 9 2 2 2 2 3 3 2" xfId="13723" xr:uid="{D4E21B27-747B-4707-A5BB-7E65898100C5}"/>
    <cellStyle name="Normal 9 2 2 2 2 3 4" xfId="9505" xr:uid="{F84F279A-235A-4789-9BD0-8D7F4E7CECE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0DEB6AD2-026A-44AF-ABD4-62E431673E51}"/>
    <cellStyle name="Normal 9 2 2 2 2 4 2 3" xfId="12063" xr:uid="{56CA4AF8-E45F-4C58-AFD2-4092E6E2BB52}"/>
    <cellStyle name="Normal 9 2 2 2 2 4 3" xfId="5707" xr:uid="{00000000-0005-0000-0000-00008A1E0000}"/>
    <cellStyle name="Normal 9 2 2 2 2 4 3 2" xfId="14136" xr:uid="{14332219-0BE9-4A26-84DB-496EB148AB67}"/>
    <cellStyle name="Normal 9 2 2 2 2 4 4" xfId="9918" xr:uid="{577DE263-B82B-4DE4-9B4B-45AF2720BB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B048B070-4582-4759-BDF2-92AB0B3B0113}"/>
    <cellStyle name="Normal 9 2 2 2 2 5 2 3" xfId="12476" xr:uid="{7543AFCD-B2F1-48C9-B423-55AC3386081A}"/>
    <cellStyle name="Normal 9 2 2 2 2 5 3" xfId="6120" xr:uid="{00000000-0005-0000-0000-00008E1E0000}"/>
    <cellStyle name="Normal 9 2 2 2 2 5 3 2" xfId="14549" xr:uid="{1229DED6-AE56-45C1-9232-ECD5891E7CFA}"/>
    <cellStyle name="Normal 9 2 2 2 2 5 4" xfId="10331" xr:uid="{F3D7C487-C24A-4212-9B4F-384A6FABE7CF}"/>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33F2B723-974F-4526-BCD2-5E914EF39FEA}"/>
    <cellStyle name="Normal 9 2 2 2 2 6 2 3" xfId="12889" xr:uid="{F08F1193-B0D4-4E01-A9D0-C91F6C165B24}"/>
    <cellStyle name="Normal 9 2 2 2 2 6 3" xfId="6533" xr:uid="{00000000-0005-0000-0000-0000921E0000}"/>
    <cellStyle name="Normal 9 2 2 2 2 6 3 2" xfId="14962" xr:uid="{13CBB1DC-0D8D-4A85-A36E-A557D3A4C613}"/>
    <cellStyle name="Normal 9 2 2 2 2 6 4" xfId="10744" xr:uid="{43F6712C-506B-4011-B83E-A2F3A57F39F4}"/>
    <cellStyle name="Normal 9 2 2 2 2 7" xfId="2661" xr:uid="{00000000-0005-0000-0000-0000931E0000}"/>
    <cellStyle name="Normal 9 2 2 2 2 7 2" xfId="6946" xr:uid="{00000000-0005-0000-0000-0000941E0000}"/>
    <cellStyle name="Normal 9 2 2 2 2 7 2 2" xfId="15375" xr:uid="{C9BBEA74-FECA-4A39-BE59-77BC40F06504}"/>
    <cellStyle name="Normal 9 2 2 2 2 7 3" xfId="11157" xr:uid="{12904B9A-A9A0-473E-BF3E-70D570438620}"/>
    <cellStyle name="Normal 9 2 2 2 2 8" xfId="4881" xr:uid="{00000000-0005-0000-0000-0000951E0000}"/>
    <cellStyle name="Normal 9 2 2 2 2 8 2" xfId="13310" xr:uid="{61F02004-50D2-49F2-BE13-77AD283DB3EA}"/>
    <cellStyle name="Normal 9 2 2 2 2 9" xfId="9092" xr:uid="{6997DFB4-1BF6-492E-8196-3D247BF4010A}"/>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57DFDE60-C071-4331-9BD4-1C22BFF202EB}"/>
    <cellStyle name="Normal 9 2 2 2 3 2 2 3" xfId="11652" xr:uid="{2C5E9657-39FC-4932-B5C2-CF50668F45E9}"/>
    <cellStyle name="Normal 9 2 2 2 3 2 3" xfId="5296" xr:uid="{00000000-0005-0000-0000-00009A1E0000}"/>
    <cellStyle name="Normal 9 2 2 2 3 2 3 2" xfId="13725" xr:uid="{B625FFA3-3CFC-4B29-96C1-2F8E6BFD6721}"/>
    <cellStyle name="Normal 9 2 2 2 3 2 4" xfId="9507" xr:uid="{4141FBCC-0C6A-48FC-AD4D-5394F8163E0B}"/>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EE139BFB-2EAA-42CD-9D98-4EB8CE6110E3}"/>
    <cellStyle name="Normal 9 2 2 2 3 3 2 3" xfId="12065" xr:uid="{4D6A30D7-C587-4D43-938E-0F560727337C}"/>
    <cellStyle name="Normal 9 2 2 2 3 3 3" xfId="5709" xr:uid="{00000000-0005-0000-0000-00009E1E0000}"/>
    <cellStyle name="Normal 9 2 2 2 3 3 3 2" xfId="14138" xr:uid="{88A5C946-CE80-47CD-A4DB-D94919C2C212}"/>
    <cellStyle name="Normal 9 2 2 2 3 3 4" xfId="9920" xr:uid="{F2DE9AE6-BCE0-41BC-A5CB-61D0A66860FA}"/>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37C6FA55-9E45-4C57-A738-36A9210EA218}"/>
    <cellStyle name="Normal 9 2 2 2 3 4 2 3" xfId="12478" xr:uid="{389E5E37-72DE-4B40-A71C-488D0F554981}"/>
    <cellStyle name="Normal 9 2 2 2 3 4 3" xfId="6122" xr:uid="{00000000-0005-0000-0000-0000A21E0000}"/>
    <cellStyle name="Normal 9 2 2 2 3 4 3 2" xfId="14551" xr:uid="{8CC7EF9C-1F85-4E1C-AD49-5CBB9011A186}"/>
    <cellStyle name="Normal 9 2 2 2 3 4 4" xfId="10333" xr:uid="{30E0301F-E037-43D9-A162-3F9D9D291A3A}"/>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9CF699FE-218B-4D36-8ACA-AA3BC247DFE7}"/>
    <cellStyle name="Normal 9 2 2 2 3 5 2 3" xfId="12891" xr:uid="{58FD2386-A55C-4D7D-A1DC-359341E5705B}"/>
    <cellStyle name="Normal 9 2 2 2 3 5 3" xfId="6535" xr:uid="{00000000-0005-0000-0000-0000A61E0000}"/>
    <cellStyle name="Normal 9 2 2 2 3 5 3 2" xfId="14964" xr:uid="{6BA2981F-D815-42D3-A291-58582BF4947A}"/>
    <cellStyle name="Normal 9 2 2 2 3 5 4" xfId="10746" xr:uid="{0EFC54F2-44CA-4CAA-A2BD-4E135675C740}"/>
    <cellStyle name="Normal 9 2 2 2 3 6" xfId="2663" xr:uid="{00000000-0005-0000-0000-0000A71E0000}"/>
    <cellStyle name="Normal 9 2 2 2 3 6 2" xfId="6948" xr:uid="{00000000-0005-0000-0000-0000A81E0000}"/>
    <cellStyle name="Normal 9 2 2 2 3 6 2 2" xfId="15377" xr:uid="{054C2D02-EFC9-4F53-8FD8-E9BD466C01F5}"/>
    <cellStyle name="Normal 9 2 2 2 3 6 3" xfId="11159" xr:uid="{8C94F5CB-A905-46DA-899B-5FAEB0B6E819}"/>
    <cellStyle name="Normal 9 2 2 2 3 7" xfId="4883" xr:uid="{00000000-0005-0000-0000-0000A91E0000}"/>
    <cellStyle name="Normal 9 2 2 2 3 7 2" xfId="13312" xr:uid="{AFE65C84-D90A-4BA6-BE90-A3CA50195128}"/>
    <cellStyle name="Normal 9 2 2 2 3 8" xfId="9094" xr:uid="{72A8B141-28E3-4CD4-B43C-EA7B0C7F41A3}"/>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7223C858-29DF-469D-9A96-528A3D9FF2BF}"/>
    <cellStyle name="Normal 9 2 2 2 4 2 3" xfId="11649" xr:uid="{AA614C12-2DCB-47B8-B2BB-B05CA69E6433}"/>
    <cellStyle name="Normal 9 2 2 2 4 3" xfId="5293" xr:uid="{00000000-0005-0000-0000-0000AD1E0000}"/>
    <cellStyle name="Normal 9 2 2 2 4 3 2" xfId="13722" xr:uid="{3F6E04EF-F312-434F-9643-38576F5ADE98}"/>
    <cellStyle name="Normal 9 2 2 2 4 4" xfId="9504" xr:uid="{C77BF751-6078-4275-89C0-43C912BE854F}"/>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916BD5D6-B4F9-41AA-AEF2-E87A34CA22CF}"/>
    <cellStyle name="Normal 9 2 2 2 5 2 3" xfId="12062" xr:uid="{9A133013-8816-4242-B1E5-977712E63122}"/>
    <cellStyle name="Normal 9 2 2 2 5 3" xfId="5706" xr:uid="{00000000-0005-0000-0000-0000B11E0000}"/>
    <cellStyle name="Normal 9 2 2 2 5 3 2" xfId="14135" xr:uid="{3427C215-7F72-437D-91CD-1F07A4F19168}"/>
    <cellStyle name="Normal 9 2 2 2 5 4" xfId="9917" xr:uid="{4B0DEE63-4393-455E-A8C8-B23C075E2F97}"/>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8A933A50-B630-4C13-ACC1-9FFFBB050271}"/>
    <cellStyle name="Normal 9 2 2 2 6 2 3" xfId="12475" xr:uid="{DD4864FE-02D5-49D3-B6E2-57D63C27164B}"/>
    <cellStyle name="Normal 9 2 2 2 6 3" xfId="6119" xr:uid="{00000000-0005-0000-0000-0000B51E0000}"/>
    <cellStyle name="Normal 9 2 2 2 6 3 2" xfId="14548" xr:uid="{9F14A01B-5DC3-4858-B251-E93A9D44854A}"/>
    <cellStyle name="Normal 9 2 2 2 6 4" xfId="10330" xr:uid="{F644B191-1874-4116-949F-2DEFDC5EA87A}"/>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0D8F49EA-C8E5-437B-A970-C01D0B80F416}"/>
    <cellStyle name="Normal 9 2 2 2 7 2 3" xfId="12888" xr:uid="{9850C27F-6A33-4C96-8E02-0A0CD1901E77}"/>
    <cellStyle name="Normal 9 2 2 2 7 3" xfId="6532" xr:uid="{00000000-0005-0000-0000-0000B91E0000}"/>
    <cellStyle name="Normal 9 2 2 2 7 3 2" xfId="14961" xr:uid="{2EF2B98C-8ED5-4291-A4E3-C870A2E89E78}"/>
    <cellStyle name="Normal 9 2 2 2 7 4" xfId="10743" xr:uid="{A606278E-09BE-4506-99A2-FAEA633CDF70}"/>
    <cellStyle name="Normal 9 2 2 2 8" xfId="2660" xr:uid="{00000000-0005-0000-0000-0000BA1E0000}"/>
    <cellStyle name="Normal 9 2 2 2 8 2" xfId="6945" xr:uid="{00000000-0005-0000-0000-0000BB1E0000}"/>
    <cellStyle name="Normal 9 2 2 2 8 2 2" xfId="15374" xr:uid="{8F96A0F5-3934-415D-B175-0102AC6B5EF5}"/>
    <cellStyle name="Normal 9 2 2 2 8 3" xfId="11156" xr:uid="{8CF287F3-9B37-4719-815A-5FBCE55AF3FE}"/>
    <cellStyle name="Normal 9 2 2 2 9" xfId="4880" xr:uid="{00000000-0005-0000-0000-0000BC1E0000}"/>
    <cellStyle name="Normal 9 2 2 2 9 2" xfId="13309" xr:uid="{6C0182B7-6F69-4CD7-8E41-589AC75F3806}"/>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D0DF873A-9923-4936-AF52-DFAA8B7D02F4}"/>
    <cellStyle name="Normal 9 2 2 3 2 2 2 3" xfId="11654" xr:uid="{13CCAD51-F159-4F87-8D7A-73213C275CFC}"/>
    <cellStyle name="Normal 9 2 2 3 2 2 3" xfId="5298" xr:uid="{00000000-0005-0000-0000-0000C21E0000}"/>
    <cellStyle name="Normal 9 2 2 3 2 2 3 2" xfId="13727" xr:uid="{99E9C358-BDC5-44EE-87FB-E32D701278DF}"/>
    <cellStyle name="Normal 9 2 2 3 2 2 4" xfId="9509" xr:uid="{5B0250CF-A7EB-4207-B67E-2B90137AC833}"/>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DF4F4527-8200-4162-840A-B93EF0BADC61}"/>
    <cellStyle name="Normal 9 2 2 3 2 3 2 3" xfId="12067" xr:uid="{6E711B79-7E29-4174-8960-2AE574582C4D}"/>
    <cellStyle name="Normal 9 2 2 3 2 3 3" xfId="5711" xr:uid="{00000000-0005-0000-0000-0000C61E0000}"/>
    <cellStyle name="Normal 9 2 2 3 2 3 3 2" xfId="14140" xr:uid="{E630F7F9-BBD0-4ABC-98E7-68508BE2AADA}"/>
    <cellStyle name="Normal 9 2 2 3 2 3 4" xfId="9922" xr:uid="{FBA1D9CA-2895-42DA-B013-2C6F83BA0674}"/>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65A23F86-32CD-4BBB-861B-3FF41354CB2D}"/>
    <cellStyle name="Normal 9 2 2 3 2 4 2 3" xfId="12480" xr:uid="{0E8F1E4A-6696-4B79-B221-FA1A76BECA39}"/>
    <cellStyle name="Normal 9 2 2 3 2 4 3" xfId="6124" xr:uid="{00000000-0005-0000-0000-0000CA1E0000}"/>
    <cellStyle name="Normal 9 2 2 3 2 4 3 2" xfId="14553" xr:uid="{DB22C4B1-F250-4EDB-8C14-823F3BB1CAA7}"/>
    <cellStyle name="Normal 9 2 2 3 2 4 4" xfId="10335" xr:uid="{9DE9FD51-DEF5-485D-931F-CD90A213401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89BC5F99-DDBA-4DC5-8F3D-CD5A1B00504A}"/>
    <cellStyle name="Normal 9 2 2 3 2 5 2 3" xfId="12893" xr:uid="{BE447FA4-834A-4932-8AB1-90FE739B4B5B}"/>
    <cellStyle name="Normal 9 2 2 3 2 5 3" xfId="6537" xr:uid="{00000000-0005-0000-0000-0000CE1E0000}"/>
    <cellStyle name="Normal 9 2 2 3 2 5 3 2" xfId="14966" xr:uid="{8013F2E9-71C4-428B-A288-ABAE2A6A25E4}"/>
    <cellStyle name="Normal 9 2 2 3 2 5 4" xfId="10748" xr:uid="{418706EF-D2C9-4CC1-A60B-CD832B827FC0}"/>
    <cellStyle name="Normal 9 2 2 3 2 6" xfId="2665" xr:uid="{00000000-0005-0000-0000-0000CF1E0000}"/>
    <cellStyle name="Normal 9 2 2 3 2 6 2" xfId="6950" xr:uid="{00000000-0005-0000-0000-0000D01E0000}"/>
    <cellStyle name="Normal 9 2 2 3 2 6 2 2" xfId="15379" xr:uid="{D463EEE7-E349-4F94-9FEA-AB1EDB9E7A86}"/>
    <cellStyle name="Normal 9 2 2 3 2 6 3" xfId="11161" xr:uid="{E5EBEFBD-39EC-4E88-9754-F3811AB45162}"/>
    <cellStyle name="Normal 9 2 2 3 2 7" xfId="4885" xr:uid="{00000000-0005-0000-0000-0000D11E0000}"/>
    <cellStyle name="Normal 9 2 2 3 2 7 2" xfId="13314" xr:uid="{AA62056F-94B6-4BB7-8E84-A79F722D7759}"/>
    <cellStyle name="Normal 9 2 2 3 2 8" xfId="9096" xr:uid="{1B9F09C2-608E-4C5D-BB99-1783C8FD6E0B}"/>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A9D1F756-23D0-487A-A9AC-674529FF2D75}"/>
    <cellStyle name="Normal 9 2 2 3 3 2 3" xfId="11653" xr:uid="{1F0E027E-4D58-495B-BDCE-83340DA94F43}"/>
    <cellStyle name="Normal 9 2 2 3 3 3" xfId="5297" xr:uid="{00000000-0005-0000-0000-0000D51E0000}"/>
    <cellStyle name="Normal 9 2 2 3 3 3 2" xfId="13726" xr:uid="{9F9E60A4-C28F-4921-873A-DABE1D497609}"/>
    <cellStyle name="Normal 9 2 2 3 3 4" xfId="9508" xr:uid="{F4C14E48-3FCE-4F83-9ECB-CC32204B8219}"/>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7F921141-23A1-476B-9EE0-E67076ACA3AC}"/>
    <cellStyle name="Normal 9 2 2 3 4 2 3" xfId="12066" xr:uid="{AE3CFCFD-BF58-4C6B-A2AE-B2EBB7FF43DC}"/>
    <cellStyle name="Normal 9 2 2 3 4 3" xfId="5710" xr:uid="{00000000-0005-0000-0000-0000D91E0000}"/>
    <cellStyle name="Normal 9 2 2 3 4 3 2" xfId="14139" xr:uid="{3FB01F00-87B7-464C-86C1-785B3698017B}"/>
    <cellStyle name="Normal 9 2 2 3 4 4" xfId="9921" xr:uid="{5F1417E4-CEE4-4C6F-A344-19D225CBCAE3}"/>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3991FB7A-4BAB-400A-AE3B-AA987E7A5D8E}"/>
    <cellStyle name="Normal 9 2 2 3 5 2 3" xfId="12479" xr:uid="{0AFE9D44-6432-438E-BD7A-66A2CDD501B0}"/>
    <cellStyle name="Normal 9 2 2 3 5 3" xfId="6123" xr:uid="{00000000-0005-0000-0000-0000DD1E0000}"/>
    <cellStyle name="Normal 9 2 2 3 5 3 2" xfId="14552" xr:uid="{21C0B4E5-433D-4689-89C2-68C5E6A93C47}"/>
    <cellStyle name="Normal 9 2 2 3 5 4" xfId="10334" xr:uid="{7FBA1113-F6E2-4591-B0C0-00760C2FE172}"/>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8BFAA5FA-62A0-4E58-A824-B601CD918506}"/>
    <cellStyle name="Normal 9 2 2 3 6 2 3" xfId="12892" xr:uid="{C398A99E-A7AF-4C64-B27B-4CD4EE487817}"/>
    <cellStyle name="Normal 9 2 2 3 6 3" xfId="6536" xr:uid="{00000000-0005-0000-0000-0000E11E0000}"/>
    <cellStyle name="Normal 9 2 2 3 6 3 2" xfId="14965" xr:uid="{CD79CD71-B978-42CD-B359-1B1EE94EA796}"/>
    <cellStyle name="Normal 9 2 2 3 6 4" xfId="10747" xr:uid="{47EA9E36-8A03-4AB1-9DDE-65E1C5D1A5D3}"/>
    <cellStyle name="Normal 9 2 2 3 7" xfId="2664" xr:uid="{00000000-0005-0000-0000-0000E21E0000}"/>
    <cellStyle name="Normal 9 2 2 3 7 2" xfId="6949" xr:uid="{00000000-0005-0000-0000-0000E31E0000}"/>
    <cellStyle name="Normal 9 2 2 3 7 2 2" xfId="15378" xr:uid="{14B5E61B-4E83-4C5D-A4AF-0E980DAAB6B2}"/>
    <cellStyle name="Normal 9 2 2 3 7 3" xfId="11160" xr:uid="{B3C94920-8FF0-4449-96FD-290A1068458F}"/>
    <cellStyle name="Normal 9 2 2 3 8" xfId="4884" xr:uid="{00000000-0005-0000-0000-0000E41E0000}"/>
    <cellStyle name="Normal 9 2 2 3 8 2" xfId="13313" xr:uid="{BDFC4A3A-5C23-40AD-8CC1-00036F3B6C6C}"/>
    <cellStyle name="Normal 9 2 2 3 9" xfId="9095" xr:uid="{0087E639-FFCD-4E6F-BA5F-1F0531E1E5D7}"/>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60F26FC8-09EC-40D2-97CA-6630C877FD05}"/>
    <cellStyle name="Normal 9 2 2 4 2 2 3" xfId="11655" xr:uid="{6DAB2D2C-45B6-46FE-BB7C-C27891BDC8CC}"/>
    <cellStyle name="Normal 9 2 2 4 2 3" xfId="5299" xr:uid="{00000000-0005-0000-0000-0000E91E0000}"/>
    <cellStyle name="Normal 9 2 2 4 2 3 2" xfId="13728" xr:uid="{896B360C-37A7-4579-A211-531EFED0C541}"/>
    <cellStyle name="Normal 9 2 2 4 2 4" xfId="9510" xr:uid="{A9F5E531-E19E-4E74-86F5-D4235D6A8318}"/>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165359E5-96F8-4AE5-8391-EE4E10678D1B}"/>
    <cellStyle name="Normal 9 2 2 4 3 2 3" xfId="12068" xr:uid="{6DE09185-2C79-41BA-8D73-DD21A658F5B5}"/>
    <cellStyle name="Normal 9 2 2 4 3 3" xfId="5712" xr:uid="{00000000-0005-0000-0000-0000ED1E0000}"/>
    <cellStyle name="Normal 9 2 2 4 3 3 2" xfId="14141" xr:uid="{6E178E67-1C7E-4A43-B556-1C9C01B26AF2}"/>
    <cellStyle name="Normal 9 2 2 4 3 4" xfId="9923" xr:uid="{B7FAAF4A-CCEA-4F5A-B29A-F6C7336E988B}"/>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70731F4F-36DD-40A5-9E50-FCD68C71BA2D}"/>
    <cellStyle name="Normal 9 2 2 4 4 2 3" xfId="12481" xr:uid="{46840B3F-B842-42D8-8A1E-B34D5DDD56A7}"/>
    <cellStyle name="Normal 9 2 2 4 4 3" xfId="6125" xr:uid="{00000000-0005-0000-0000-0000F11E0000}"/>
    <cellStyle name="Normal 9 2 2 4 4 3 2" xfId="14554" xr:uid="{CD3C8367-1166-4744-9475-D183AF0598E6}"/>
    <cellStyle name="Normal 9 2 2 4 4 4" xfId="10336" xr:uid="{36B6FE91-0150-4EB1-B14D-FA4FDA72760A}"/>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5AE9786E-2678-4439-8CB7-ADD9BB638A74}"/>
    <cellStyle name="Normal 9 2 2 4 5 2 3" xfId="12894" xr:uid="{C4BB7E6F-D683-48B6-931A-BCE1CCAF0379}"/>
    <cellStyle name="Normal 9 2 2 4 5 3" xfId="6538" xr:uid="{00000000-0005-0000-0000-0000F51E0000}"/>
    <cellStyle name="Normal 9 2 2 4 5 3 2" xfId="14967" xr:uid="{C9EDF71C-1DD1-4339-8A72-95D8E308BB28}"/>
    <cellStyle name="Normal 9 2 2 4 5 4" xfId="10749" xr:uid="{4E62A36B-20C0-40B1-8C35-0BCDE4E3D8C7}"/>
    <cellStyle name="Normal 9 2 2 4 6" xfId="2666" xr:uid="{00000000-0005-0000-0000-0000F61E0000}"/>
    <cellStyle name="Normal 9 2 2 4 6 2" xfId="6951" xr:uid="{00000000-0005-0000-0000-0000F71E0000}"/>
    <cellStyle name="Normal 9 2 2 4 6 2 2" xfId="15380" xr:uid="{4066AE28-ADB3-4D69-B766-3AA5DD536671}"/>
    <cellStyle name="Normal 9 2 2 4 6 3" xfId="11162" xr:uid="{16ED5C7D-D2E5-4DDA-BC74-95A04E4E7AC0}"/>
    <cellStyle name="Normal 9 2 2 4 7" xfId="4886" xr:uid="{00000000-0005-0000-0000-0000F81E0000}"/>
    <cellStyle name="Normal 9 2 2 4 7 2" xfId="13315" xr:uid="{E47E4C3A-CBD8-4AC8-8F11-2492A26CAE51}"/>
    <cellStyle name="Normal 9 2 2 4 8" xfId="9097" xr:uid="{18F962B7-3279-4542-9B0E-9509FABCAEB5}"/>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6C6B9951-1868-4DA3-B01C-32B7F7408939}"/>
    <cellStyle name="Normal 9 2 2 5 2 3" xfId="11648" xr:uid="{C102179D-D02D-4138-B08E-FDD72DE82083}"/>
    <cellStyle name="Normal 9 2 2 5 3" xfId="5292" xr:uid="{00000000-0005-0000-0000-0000FC1E0000}"/>
    <cellStyle name="Normal 9 2 2 5 3 2" xfId="13721" xr:uid="{29865B14-1242-4936-8448-356D53F3D389}"/>
    <cellStyle name="Normal 9 2 2 5 4" xfId="9503" xr:uid="{6507AC0C-F021-4FE2-8B24-57AC1C499E59}"/>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FA84CAD3-C581-45A2-AC13-C7C7235E56FE}"/>
    <cellStyle name="Normal 9 2 2 6 2 3" xfId="12061" xr:uid="{EFB93895-7ED9-4786-BF81-746EC8B98EC8}"/>
    <cellStyle name="Normal 9 2 2 6 3" xfId="5705" xr:uid="{00000000-0005-0000-0000-0000001F0000}"/>
    <cellStyle name="Normal 9 2 2 6 3 2" xfId="14134" xr:uid="{A4FBD668-9B24-440D-B765-9F173DE82D4D}"/>
    <cellStyle name="Normal 9 2 2 6 4" xfId="9916" xr:uid="{4F8F02F2-678C-4DEF-BDEB-4CB56EAD2EFB}"/>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DC24E60F-03F2-422F-B89F-72D98942A7F0}"/>
    <cellStyle name="Normal 9 2 2 7 2 3" xfId="12474" xr:uid="{30E7FCAF-3913-4230-84EE-82FDADE84C55}"/>
    <cellStyle name="Normal 9 2 2 7 3" xfId="6118" xr:uid="{00000000-0005-0000-0000-0000041F0000}"/>
    <cellStyle name="Normal 9 2 2 7 3 2" xfId="14547" xr:uid="{18DC51D1-B060-4E23-91A6-DCDBC5F9AFF0}"/>
    <cellStyle name="Normal 9 2 2 7 4" xfId="10329" xr:uid="{906D6E06-910D-478B-AE96-1C60E6A05ADD}"/>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BE285A74-CA6D-4938-B9B4-4D8DE8206BFB}"/>
    <cellStyle name="Normal 9 2 2 8 2 3" xfId="12887" xr:uid="{C18A7353-B2BB-4717-B647-FF3FB3262C1F}"/>
    <cellStyle name="Normal 9 2 2 8 3" xfId="6531" xr:uid="{00000000-0005-0000-0000-0000081F0000}"/>
    <cellStyle name="Normal 9 2 2 8 3 2" xfId="14960" xr:uid="{89B17B55-084F-4977-B30D-4292D46F041A}"/>
    <cellStyle name="Normal 9 2 2 8 4" xfId="10742" xr:uid="{B1866FA1-1866-41AA-BBB8-D63DCCD74C58}"/>
    <cellStyle name="Normal 9 2 2 9" xfId="2659" xr:uid="{00000000-0005-0000-0000-0000091F0000}"/>
    <cellStyle name="Normal 9 2 2 9 2" xfId="6944" xr:uid="{00000000-0005-0000-0000-00000A1F0000}"/>
    <cellStyle name="Normal 9 2 2 9 2 2" xfId="15373" xr:uid="{80B81128-67D1-452E-BB70-FE654908CBC5}"/>
    <cellStyle name="Normal 9 2 2 9 3" xfId="11155" xr:uid="{7747E7C3-9E10-4A2F-93D4-6916E6A46914}"/>
    <cellStyle name="Normal 9 2 3" xfId="520" xr:uid="{00000000-0005-0000-0000-00000B1F0000}"/>
    <cellStyle name="Normal 9 2 3 10" xfId="9098" xr:uid="{8F32FE06-19A2-4052-970A-87B98B20FFFE}"/>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D097B1B2-E870-4FE4-96D5-835B04000CD6}"/>
    <cellStyle name="Normal 9 2 3 2 2 2 2 3" xfId="11658" xr:uid="{15424B4B-DA15-4EC5-AF2E-A9566323F83F}"/>
    <cellStyle name="Normal 9 2 3 2 2 2 3" xfId="5302" xr:uid="{00000000-0005-0000-0000-0000111F0000}"/>
    <cellStyle name="Normal 9 2 3 2 2 2 3 2" xfId="13731" xr:uid="{A66B4D83-4583-48DC-9401-CA28C9873848}"/>
    <cellStyle name="Normal 9 2 3 2 2 2 4" xfId="9513" xr:uid="{406C56EC-B035-4918-A802-E5537916F1D4}"/>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0D92E863-A258-4745-B8EB-0F58E34F7719}"/>
    <cellStyle name="Normal 9 2 3 2 2 3 2 3" xfId="12071" xr:uid="{FA61E173-C518-426A-8CB0-BC8F683E7253}"/>
    <cellStyle name="Normal 9 2 3 2 2 3 3" xfId="5715" xr:uid="{00000000-0005-0000-0000-0000151F0000}"/>
    <cellStyle name="Normal 9 2 3 2 2 3 3 2" xfId="14144" xr:uid="{4FB03543-DCAD-410B-94EA-D8CBB6A1745D}"/>
    <cellStyle name="Normal 9 2 3 2 2 3 4" xfId="9926" xr:uid="{83E9167C-C92D-4945-B6BF-294189E597CE}"/>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6835D049-A75C-4D8E-A431-AC335F8FC09A}"/>
    <cellStyle name="Normal 9 2 3 2 2 4 2 3" xfId="12484" xr:uid="{B44B3F90-B810-419C-8AC0-C59047506AF0}"/>
    <cellStyle name="Normal 9 2 3 2 2 4 3" xfId="6128" xr:uid="{00000000-0005-0000-0000-0000191F0000}"/>
    <cellStyle name="Normal 9 2 3 2 2 4 3 2" xfId="14557" xr:uid="{5591009F-3BD2-4552-A32A-4415682A59BB}"/>
    <cellStyle name="Normal 9 2 3 2 2 4 4" xfId="10339" xr:uid="{DAEB4759-293D-47F6-812A-32A5BF197CA7}"/>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02955719-F42E-4EF4-A554-C6A70165B8FB}"/>
    <cellStyle name="Normal 9 2 3 2 2 5 2 3" xfId="12897" xr:uid="{D5F322A5-CB58-49A9-9820-8A3C4B065C9F}"/>
    <cellStyle name="Normal 9 2 3 2 2 5 3" xfId="6541" xr:uid="{00000000-0005-0000-0000-00001D1F0000}"/>
    <cellStyle name="Normal 9 2 3 2 2 5 3 2" xfId="14970" xr:uid="{AEF71BBC-C24F-40D9-9342-F94D935E5D09}"/>
    <cellStyle name="Normal 9 2 3 2 2 5 4" xfId="10752" xr:uid="{1207279D-72D9-4F14-B290-E90318596BCB}"/>
    <cellStyle name="Normal 9 2 3 2 2 6" xfId="2669" xr:uid="{00000000-0005-0000-0000-00001E1F0000}"/>
    <cellStyle name="Normal 9 2 3 2 2 6 2" xfId="6954" xr:uid="{00000000-0005-0000-0000-00001F1F0000}"/>
    <cellStyle name="Normal 9 2 3 2 2 6 2 2" xfId="15383" xr:uid="{2781E703-CB44-4145-BFB1-56CDA97D6A97}"/>
    <cellStyle name="Normal 9 2 3 2 2 6 3" xfId="11165" xr:uid="{AA65D241-E69F-4A25-A68E-4AB3666F7093}"/>
    <cellStyle name="Normal 9 2 3 2 2 7" xfId="4889" xr:uid="{00000000-0005-0000-0000-0000201F0000}"/>
    <cellStyle name="Normal 9 2 3 2 2 7 2" xfId="13318" xr:uid="{0305FAC9-2228-464E-A154-2CB6A03B6E17}"/>
    <cellStyle name="Normal 9 2 3 2 2 8" xfId="9100" xr:uid="{613A1A68-E01E-4293-851F-5666C8DC55FD}"/>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95ABC528-FDEF-40EE-8334-C103E03CFEAC}"/>
    <cellStyle name="Normal 9 2 3 2 3 2 3" xfId="11657" xr:uid="{C965F65E-0345-4A37-ADB5-D11B8660B1CB}"/>
    <cellStyle name="Normal 9 2 3 2 3 3" xfId="5301" xr:uid="{00000000-0005-0000-0000-0000241F0000}"/>
    <cellStyle name="Normal 9 2 3 2 3 3 2" xfId="13730" xr:uid="{EB9522CD-8852-4122-AA22-3E2B64649194}"/>
    <cellStyle name="Normal 9 2 3 2 3 4" xfId="9512" xr:uid="{28893564-76A8-4D7D-B272-48DD851F594C}"/>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5BF4E169-B5C7-4842-818D-885C1F5D2E64}"/>
    <cellStyle name="Normal 9 2 3 2 4 2 3" xfId="12070" xr:uid="{69A91E19-EDA0-42C9-BC71-B8372423FBBC}"/>
    <cellStyle name="Normal 9 2 3 2 4 3" xfId="5714" xr:uid="{00000000-0005-0000-0000-0000281F0000}"/>
    <cellStyle name="Normal 9 2 3 2 4 3 2" xfId="14143" xr:uid="{B03581D0-7F95-415B-B51D-5655E8B87931}"/>
    <cellStyle name="Normal 9 2 3 2 4 4" xfId="9925" xr:uid="{B9E8171B-165A-491C-B3F0-B3EF68B820D2}"/>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C65C18CE-1741-4438-9687-AC72BE7024BD}"/>
    <cellStyle name="Normal 9 2 3 2 5 2 3" xfId="12483" xr:uid="{28B7F2EA-2E90-43B8-809C-D2C5210A3465}"/>
    <cellStyle name="Normal 9 2 3 2 5 3" xfId="6127" xr:uid="{00000000-0005-0000-0000-00002C1F0000}"/>
    <cellStyle name="Normal 9 2 3 2 5 3 2" xfId="14556" xr:uid="{4D1164CE-CC6D-43DB-B41A-A547AD7040FB}"/>
    <cellStyle name="Normal 9 2 3 2 5 4" xfId="10338" xr:uid="{8B940121-8185-4F24-A95D-2E1091DFC348}"/>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854A80CA-0453-43BB-8CA2-E779D2BC4B79}"/>
    <cellStyle name="Normal 9 2 3 2 6 2 3" xfId="12896" xr:uid="{1E2CA143-C5DD-4525-8E8B-915825EA0F8F}"/>
    <cellStyle name="Normal 9 2 3 2 6 3" xfId="6540" xr:uid="{00000000-0005-0000-0000-0000301F0000}"/>
    <cellStyle name="Normal 9 2 3 2 6 3 2" xfId="14969" xr:uid="{397CB3CD-C8D5-4827-B38F-0BAF6745A884}"/>
    <cellStyle name="Normal 9 2 3 2 6 4" xfId="10751" xr:uid="{90EDC009-A747-4FD6-BDBD-B2319363B1EA}"/>
    <cellStyle name="Normal 9 2 3 2 7" xfId="2668" xr:uid="{00000000-0005-0000-0000-0000311F0000}"/>
    <cellStyle name="Normal 9 2 3 2 7 2" xfId="6953" xr:uid="{00000000-0005-0000-0000-0000321F0000}"/>
    <cellStyle name="Normal 9 2 3 2 7 2 2" xfId="15382" xr:uid="{4E835412-0B7F-4226-932E-C74AD8742A19}"/>
    <cellStyle name="Normal 9 2 3 2 7 3" xfId="11164" xr:uid="{CD68163B-4135-4058-A610-C009F0BECEBE}"/>
    <cellStyle name="Normal 9 2 3 2 8" xfId="4888" xr:uid="{00000000-0005-0000-0000-0000331F0000}"/>
    <cellStyle name="Normal 9 2 3 2 8 2" xfId="13317" xr:uid="{86E165CC-3CA1-4648-9C29-6BF48B22A076}"/>
    <cellStyle name="Normal 9 2 3 2 9" xfId="9099" xr:uid="{058880B0-549D-4C03-9144-AD392B49FAD4}"/>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CE213D7C-24C4-4FC2-BFA7-678B4EFF8163}"/>
    <cellStyle name="Normal 9 2 3 3 2 2 3" xfId="11659" xr:uid="{E2010539-5900-4C32-BADA-E2CB3991E946}"/>
    <cellStyle name="Normal 9 2 3 3 2 3" xfId="5303" xr:uid="{00000000-0005-0000-0000-0000381F0000}"/>
    <cellStyle name="Normal 9 2 3 3 2 3 2" xfId="13732" xr:uid="{F4B699A5-3C1F-40B7-9743-A20174C3AB02}"/>
    <cellStyle name="Normal 9 2 3 3 2 4" xfId="9514" xr:uid="{061D2DB3-53B7-4523-B47D-0FCD7E7FBC5C}"/>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A4181877-AEDC-4C52-93DA-C0E89D37C4D1}"/>
    <cellStyle name="Normal 9 2 3 3 3 2 3" xfId="12072" xr:uid="{57312FE6-4A97-4D76-BDCF-E94567293197}"/>
    <cellStyle name="Normal 9 2 3 3 3 3" xfId="5716" xr:uid="{00000000-0005-0000-0000-00003C1F0000}"/>
    <cellStyle name="Normal 9 2 3 3 3 3 2" xfId="14145" xr:uid="{1413B783-385F-4121-B09F-BBAD800327B1}"/>
    <cellStyle name="Normal 9 2 3 3 3 4" xfId="9927" xr:uid="{3CF557E4-EEDE-4545-8FEB-ACF3E644724A}"/>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B07A0CC2-4592-4572-BEC7-259A15A1A59C}"/>
    <cellStyle name="Normal 9 2 3 3 4 2 3" xfId="12485" xr:uid="{E131D313-9787-49FE-9377-CD1AD0ACED13}"/>
    <cellStyle name="Normal 9 2 3 3 4 3" xfId="6129" xr:uid="{00000000-0005-0000-0000-0000401F0000}"/>
    <cellStyle name="Normal 9 2 3 3 4 3 2" xfId="14558" xr:uid="{9CE62739-30A1-4FC0-965C-32DF194E53A7}"/>
    <cellStyle name="Normal 9 2 3 3 4 4" xfId="10340" xr:uid="{313B3E9B-F889-4F5A-88F5-890FD9AF41CC}"/>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E4ADF8BA-4CF2-4790-A7B3-220B1757307E}"/>
    <cellStyle name="Normal 9 2 3 3 5 2 3" xfId="12898" xr:uid="{B171DB41-0C97-4FD4-B6C9-19A770645ADA}"/>
    <cellStyle name="Normal 9 2 3 3 5 3" xfId="6542" xr:uid="{00000000-0005-0000-0000-0000441F0000}"/>
    <cellStyle name="Normal 9 2 3 3 5 3 2" xfId="14971" xr:uid="{74E43E07-5F54-4F7C-A4D3-DDD4CB74081D}"/>
    <cellStyle name="Normal 9 2 3 3 5 4" xfId="10753" xr:uid="{07E14EDF-0C08-4DF6-8187-D688E8ED3EE4}"/>
    <cellStyle name="Normal 9 2 3 3 6" xfId="2670" xr:uid="{00000000-0005-0000-0000-0000451F0000}"/>
    <cellStyle name="Normal 9 2 3 3 6 2" xfId="6955" xr:uid="{00000000-0005-0000-0000-0000461F0000}"/>
    <cellStyle name="Normal 9 2 3 3 6 2 2" xfId="15384" xr:uid="{423B6EBC-B7C4-4C47-92F6-F04789B44EE6}"/>
    <cellStyle name="Normal 9 2 3 3 6 3" xfId="11166" xr:uid="{86D96DFA-947E-4614-91E5-D82953A709CB}"/>
    <cellStyle name="Normal 9 2 3 3 7" xfId="4890" xr:uid="{00000000-0005-0000-0000-0000471F0000}"/>
    <cellStyle name="Normal 9 2 3 3 7 2" xfId="13319" xr:uid="{9143485E-ED73-4C10-9D71-919CECB8EFB0}"/>
    <cellStyle name="Normal 9 2 3 3 8" xfId="9101" xr:uid="{EA109AC2-D846-41BA-B5EE-50D730CDDF53}"/>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A396E49C-FB34-47E3-A9C6-8A35BADC26F0}"/>
    <cellStyle name="Normal 9 2 3 4 2 3" xfId="11656" xr:uid="{0BA0FFCC-C75D-4F48-8978-7F40848F33F0}"/>
    <cellStyle name="Normal 9 2 3 4 3" xfId="5300" xr:uid="{00000000-0005-0000-0000-00004B1F0000}"/>
    <cellStyle name="Normal 9 2 3 4 3 2" xfId="13729" xr:uid="{C9ACBBA8-1233-49A5-B3B9-7BFD07080560}"/>
    <cellStyle name="Normal 9 2 3 4 4" xfId="9511" xr:uid="{146AB7E7-5A0D-4904-8C75-A554B5F65123}"/>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398D572B-5E41-4719-BC5F-520B66B5C28F}"/>
    <cellStyle name="Normal 9 2 3 5 2 3" xfId="12069" xr:uid="{88B45548-3894-40F5-AAC2-3E289DCA7567}"/>
    <cellStyle name="Normal 9 2 3 5 3" xfId="5713" xr:uid="{00000000-0005-0000-0000-00004F1F0000}"/>
    <cellStyle name="Normal 9 2 3 5 3 2" xfId="14142" xr:uid="{13DC8EE2-753D-4211-B5F3-3BA14A5ECC1B}"/>
    <cellStyle name="Normal 9 2 3 5 4" xfId="9924" xr:uid="{13151792-F2F9-40ED-90EF-C548D934BAA1}"/>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B675B017-F9A8-4B4C-A1C6-D043FC04928B}"/>
    <cellStyle name="Normal 9 2 3 6 2 3" xfId="12482" xr:uid="{1B129D7E-0957-40CE-8C57-3F0EC6A3276A}"/>
    <cellStyle name="Normal 9 2 3 6 3" xfId="6126" xr:uid="{00000000-0005-0000-0000-0000531F0000}"/>
    <cellStyle name="Normal 9 2 3 6 3 2" xfId="14555" xr:uid="{37479F08-54B6-4667-B5FA-48335AD54C4D}"/>
    <cellStyle name="Normal 9 2 3 6 4" xfId="10337" xr:uid="{AB14B1C1-4A7C-46C7-990E-FFEC231230F7}"/>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2A954D29-1E85-4846-A5F4-6609CA0FBCBC}"/>
    <cellStyle name="Normal 9 2 3 7 2 3" xfId="12895" xr:uid="{ACECAADF-ADE9-4832-9710-DE298BC5327D}"/>
    <cellStyle name="Normal 9 2 3 7 3" xfId="6539" xr:uid="{00000000-0005-0000-0000-0000571F0000}"/>
    <cellStyle name="Normal 9 2 3 7 3 2" xfId="14968" xr:uid="{600E7850-4393-4C61-B07F-A82A28DFC241}"/>
    <cellStyle name="Normal 9 2 3 7 4" xfId="10750" xr:uid="{D85B53F1-D5B3-4B3C-BB92-CF255C9620ED}"/>
    <cellStyle name="Normal 9 2 3 8" xfId="2667" xr:uid="{00000000-0005-0000-0000-0000581F0000}"/>
    <cellStyle name="Normal 9 2 3 8 2" xfId="6952" xr:uid="{00000000-0005-0000-0000-0000591F0000}"/>
    <cellStyle name="Normal 9 2 3 8 2 2" xfId="15381" xr:uid="{680368DC-C739-4F26-8A06-48029A67435E}"/>
    <cellStyle name="Normal 9 2 3 8 3" xfId="11163" xr:uid="{E21FD8B6-7032-466D-A3D2-0DC6BB73D264}"/>
    <cellStyle name="Normal 9 2 3 9" xfId="4887" xr:uid="{00000000-0005-0000-0000-00005A1F0000}"/>
    <cellStyle name="Normal 9 2 3 9 2" xfId="13316" xr:uid="{C84141C8-3244-4C53-A934-A976FCDEC299}"/>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B2C70D5C-DF8B-4D44-9B73-141AA55DC573}"/>
    <cellStyle name="Normal 9 2 4 2 2 2 3" xfId="11661" xr:uid="{C4F78901-5CFC-46D1-AA2B-18B997D04659}"/>
    <cellStyle name="Normal 9 2 4 2 2 3" xfId="5305" xr:uid="{00000000-0005-0000-0000-0000601F0000}"/>
    <cellStyle name="Normal 9 2 4 2 2 3 2" xfId="13734" xr:uid="{2A872D59-6506-4693-985B-02E5BE0F2FE1}"/>
    <cellStyle name="Normal 9 2 4 2 2 4" xfId="9516" xr:uid="{D14C6954-8230-4DC3-99D8-417B8F3CD7E9}"/>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FC85ECF4-B888-44D0-A55A-93223D107ABA}"/>
    <cellStyle name="Normal 9 2 4 2 3 2 3" xfId="12074" xr:uid="{7253CC9E-CE9A-4ACD-9E66-0F0D16FCB2F4}"/>
    <cellStyle name="Normal 9 2 4 2 3 3" xfId="5718" xr:uid="{00000000-0005-0000-0000-0000641F0000}"/>
    <cellStyle name="Normal 9 2 4 2 3 3 2" xfId="14147" xr:uid="{E36629F9-B6B5-4979-99AA-759DD73C5A2C}"/>
    <cellStyle name="Normal 9 2 4 2 3 4" xfId="9929" xr:uid="{A6AF3555-A6D0-4A6F-BF31-E0A597B757F5}"/>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ED13F896-BF50-4348-AA01-B85BBB262409}"/>
    <cellStyle name="Normal 9 2 4 2 4 2 3" xfId="12487" xr:uid="{747075BD-D1F8-4445-AB26-B795B3AF4934}"/>
    <cellStyle name="Normal 9 2 4 2 4 3" xfId="6131" xr:uid="{00000000-0005-0000-0000-0000681F0000}"/>
    <cellStyle name="Normal 9 2 4 2 4 3 2" xfId="14560" xr:uid="{410F4083-3AB0-4780-AD40-A80C1C9CD3AE}"/>
    <cellStyle name="Normal 9 2 4 2 4 4" xfId="10342" xr:uid="{43803C94-A059-4D05-92A2-2B086E964CE2}"/>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51F80549-4E91-4020-98A6-F3F713E3993E}"/>
    <cellStyle name="Normal 9 2 4 2 5 2 3" xfId="12900" xr:uid="{52415EF7-9D91-482B-861B-4C682B2418A6}"/>
    <cellStyle name="Normal 9 2 4 2 5 3" xfId="6544" xr:uid="{00000000-0005-0000-0000-00006C1F0000}"/>
    <cellStyle name="Normal 9 2 4 2 5 3 2" xfId="14973" xr:uid="{33B074BA-F565-49DC-A13F-8C700CD732DA}"/>
    <cellStyle name="Normal 9 2 4 2 5 4" xfId="10755" xr:uid="{AED0AF84-F6B1-4EF3-884B-A3E8BE7D3F9B}"/>
    <cellStyle name="Normal 9 2 4 2 6" xfId="2672" xr:uid="{00000000-0005-0000-0000-00006D1F0000}"/>
    <cellStyle name="Normal 9 2 4 2 6 2" xfId="6957" xr:uid="{00000000-0005-0000-0000-00006E1F0000}"/>
    <cellStyle name="Normal 9 2 4 2 6 2 2" xfId="15386" xr:uid="{71FC25FB-DB67-40B6-B452-28E3D6E05D61}"/>
    <cellStyle name="Normal 9 2 4 2 6 3" xfId="11168" xr:uid="{AC5932AC-43CD-4C0A-BA23-AA982C7CFAC1}"/>
    <cellStyle name="Normal 9 2 4 2 7" xfId="4892" xr:uid="{00000000-0005-0000-0000-00006F1F0000}"/>
    <cellStyle name="Normal 9 2 4 2 7 2" xfId="13321" xr:uid="{E55E6A70-C1CC-471C-9CA3-A0F4DDD9D280}"/>
    <cellStyle name="Normal 9 2 4 2 8" xfId="9103" xr:uid="{DBC605FE-0FA4-4283-BE4F-0610F617FDA0}"/>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E8552071-751A-43E7-9586-04083CA9DF61}"/>
    <cellStyle name="Normal 9 2 4 3 2 3" xfId="11660" xr:uid="{79EC82C4-7379-434F-BC9A-254694AE553F}"/>
    <cellStyle name="Normal 9 2 4 3 3" xfId="5304" xr:uid="{00000000-0005-0000-0000-0000731F0000}"/>
    <cellStyle name="Normal 9 2 4 3 3 2" xfId="13733" xr:uid="{3C246980-BD0D-4520-8041-D2AB9027D955}"/>
    <cellStyle name="Normal 9 2 4 3 4" xfId="9515" xr:uid="{C59DD177-C93F-49FE-BA5D-6CAC3BCE19CC}"/>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B738607B-8A7B-4AFE-B811-3D58CCB05F58}"/>
    <cellStyle name="Normal 9 2 4 4 2 3" xfId="12073" xr:uid="{1909E6A7-31B8-4F0C-BA52-530F9C4DFEE0}"/>
    <cellStyle name="Normal 9 2 4 4 3" xfId="5717" xr:uid="{00000000-0005-0000-0000-0000771F0000}"/>
    <cellStyle name="Normal 9 2 4 4 3 2" xfId="14146" xr:uid="{B7CFC484-FBBE-4BD4-9B8C-6DFB0070365E}"/>
    <cellStyle name="Normal 9 2 4 4 4" xfId="9928" xr:uid="{2A66C250-65E1-40A0-8838-69FA1EF83F70}"/>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41BA531E-5D68-4ECA-BDB8-869176A9A210}"/>
    <cellStyle name="Normal 9 2 4 5 2 3" xfId="12486" xr:uid="{01B387DA-9BF4-4816-B774-548BA89AED02}"/>
    <cellStyle name="Normal 9 2 4 5 3" xfId="6130" xr:uid="{00000000-0005-0000-0000-00007B1F0000}"/>
    <cellStyle name="Normal 9 2 4 5 3 2" xfId="14559" xr:uid="{7587C710-BA9B-4902-A3DB-7F53D45F008E}"/>
    <cellStyle name="Normal 9 2 4 5 4" xfId="10341" xr:uid="{52CAF549-B7DE-4CF2-9E60-C71FF796020B}"/>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63E5F89A-B25B-4C69-B024-D3A1091FD38D}"/>
    <cellStyle name="Normal 9 2 4 6 2 3" xfId="12899" xr:uid="{0BBC968D-E091-441B-AC60-1118B2413E6D}"/>
    <cellStyle name="Normal 9 2 4 6 3" xfId="6543" xr:uid="{00000000-0005-0000-0000-00007F1F0000}"/>
    <cellStyle name="Normal 9 2 4 6 3 2" xfId="14972" xr:uid="{D5A193F6-A81B-467E-BFC4-94D93ABD332A}"/>
    <cellStyle name="Normal 9 2 4 6 4" xfId="10754" xr:uid="{9FEF06B1-E9FE-46B9-A4D3-45CACD151B5A}"/>
    <cellStyle name="Normal 9 2 4 7" xfId="2671" xr:uid="{00000000-0005-0000-0000-0000801F0000}"/>
    <cellStyle name="Normal 9 2 4 7 2" xfId="6956" xr:uid="{00000000-0005-0000-0000-0000811F0000}"/>
    <cellStyle name="Normal 9 2 4 7 2 2" xfId="15385" xr:uid="{5ACDD482-D2F6-4941-A16D-FC1083025A93}"/>
    <cellStyle name="Normal 9 2 4 7 3" xfId="11167" xr:uid="{312CE688-527F-4D8F-A91E-0173D2BBD7A3}"/>
    <cellStyle name="Normal 9 2 4 8" xfId="4891" xr:uid="{00000000-0005-0000-0000-0000821F0000}"/>
    <cellStyle name="Normal 9 2 4 8 2" xfId="13320" xr:uid="{38867EFF-5D15-4BE3-B042-7B60B935BB7B}"/>
    <cellStyle name="Normal 9 2 4 9" xfId="9102" xr:uid="{657A3154-C6F6-4B62-83BF-C62F01082FF7}"/>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B4C00DC2-6645-42C9-8FF0-B3313370003F}"/>
    <cellStyle name="Normal 9 2 5 2 2 3" xfId="11662" xr:uid="{5DB949AF-0F93-4624-8A6F-82D8BB89B52A}"/>
    <cellStyle name="Normal 9 2 5 2 3" xfId="5306" xr:uid="{00000000-0005-0000-0000-0000871F0000}"/>
    <cellStyle name="Normal 9 2 5 2 3 2" xfId="13735" xr:uid="{0141E5DC-A345-4E09-9D55-CBEAB253A7E9}"/>
    <cellStyle name="Normal 9 2 5 2 4" xfId="9517" xr:uid="{5451C560-DEDD-49C4-9E12-89FDEBA6816E}"/>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8D44FA2F-EB7C-4506-8FE4-D9E2515262D0}"/>
    <cellStyle name="Normal 9 2 5 3 2 3" xfId="12075" xr:uid="{EC3EA54A-5FF1-47A7-8207-D78846FB9AE8}"/>
    <cellStyle name="Normal 9 2 5 3 3" xfId="5719" xr:uid="{00000000-0005-0000-0000-00008B1F0000}"/>
    <cellStyle name="Normal 9 2 5 3 3 2" xfId="14148" xr:uid="{E499893E-787D-4981-9450-86EC7C006B96}"/>
    <cellStyle name="Normal 9 2 5 3 4" xfId="9930" xr:uid="{E6F254C4-6924-4909-946D-ED599BFF0538}"/>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BDFE9EEE-7264-4E88-823B-16913E52279A}"/>
    <cellStyle name="Normal 9 2 5 4 2 3" xfId="12488" xr:uid="{0F0102F4-2F44-435E-827D-1CA6101B1AFF}"/>
    <cellStyle name="Normal 9 2 5 4 3" xfId="6132" xr:uid="{00000000-0005-0000-0000-00008F1F0000}"/>
    <cellStyle name="Normal 9 2 5 4 3 2" xfId="14561" xr:uid="{7E67BB46-5089-4B5B-828C-F0794091C1C6}"/>
    <cellStyle name="Normal 9 2 5 4 4" xfId="10343" xr:uid="{19911726-7160-4A08-90A0-756FA0C7538D}"/>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9C0AB564-F0C8-4801-9A73-AD8BAE21F5C3}"/>
    <cellStyle name="Normal 9 2 5 5 2 3" xfId="12901" xr:uid="{F7C4B49B-D10E-4B07-AC6B-F7F6C1326031}"/>
    <cellStyle name="Normal 9 2 5 5 3" xfId="6545" xr:uid="{00000000-0005-0000-0000-0000931F0000}"/>
    <cellStyle name="Normal 9 2 5 5 3 2" xfId="14974" xr:uid="{7E580968-6E1F-40CA-AC75-A5B81357CE84}"/>
    <cellStyle name="Normal 9 2 5 5 4" xfId="10756" xr:uid="{B9EB532E-2C69-4E4F-A9AE-B0516452FA6B}"/>
    <cellStyle name="Normal 9 2 5 6" xfId="2673" xr:uid="{00000000-0005-0000-0000-0000941F0000}"/>
    <cellStyle name="Normal 9 2 5 6 2" xfId="6958" xr:uid="{00000000-0005-0000-0000-0000951F0000}"/>
    <cellStyle name="Normal 9 2 5 6 2 2" xfId="15387" xr:uid="{5415BF1D-5A9D-4DD7-904E-388D159B957F}"/>
    <cellStyle name="Normal 9 2 5 6 3" xfId="11169" xr:uid="{1A63E3AE-5E43-4BC6-A51D-AB083186E2B8}"/>
    <cellStyle name="Normal 9 2 5 7" xfId="4893" xr:uid="{00000000-0005-0000-0000-0000961F0000}"/>
    <cellStyle name="Normal 9 2 5 7 2" xfId="13322" xr:uid="{DB9A7D5F-5654-4289-8672-C6707948038D}"/>
    <cellStyle name="Normal 9 2 5 8" xfId="9104" xr:uid="{4D872CB0-822D-4170-A852-85DEDB93CDF8}"/>
    <cellStyle name="Normal 9 2 6" xfId="979" xr:uid="{00000000-0005-0000-0000-0000971F0000}"/>
    <cellStyle name="Normal 9 2 6 2" xfId="3212" xr:uid="{00000000-0005-0000-0000-0000981F0000}"/>
    <cellStyle name="Normal 9 2 6 2 2" xfId="7436" xr:uid="{00000000-0005-0000-0000-0000991F0000}"/>
    <cellStyle name="Normal 9 2 6 2 2 2" xfId="15865" xr:uid="{7CF5A779-7280-47B4-973A-ADF83A52F424}"/>
    <cellStyle name="Normal 9 2 6 2 3" xfId="11647" xr:uid="{32CACCEC-4505-4DBA-B5EF-0293F4046DCE}"/>
    <cellStyle name="Normal 9 2 6 3" xfId="5291" xr:uid="{00000000-0005-0000-0000-00009A1F0000}"/>
    <cellStyle name="Normal 9 2 6 3 2" xfId="13720" xr:uid="{472A7869-9AA3-4600-BDD1-2980848D976A}"/>
    <cellStyle name="Normal 9 2 6 4" xfId="9502" xr:uid="{D241554D-81C9-45FC-A084-88F8EA3AC774}"/>
    <cellStyle name="Normal 9 2 7" xfId="1395" xr:uid="{00000000-0005-0000-0000-00009B1F0000}"/>
    <cellStyle name="Normal 9 2 7 2" xfId="3625" xr:uid="{00000000-0005-0000-0000-00009C1F0000}"/>
    <cellStyle name="Normal 9 2 7 2 2" xfId="7849" xr:uid="{00000000-0005-0000-0000-00009D1F0000}"/>
    <cellStyle name="Normal 9 2 7 2 2 2" xfId="16278" xr:uid="{C75A22CF-FB28-42A6-BEB0-12DCB635C87E}"/>
    <cellStyle name="Normal 9 2 7 2 3" xfId="12060" xr:uid="{08298C96-936E-4AFF-8484-9C4C82DA0838}"/>
    <cellStyle name="Normal 9 2 7 3" xfId="5704" xr:uid="{00000000-0005-0000-0000-00009E1F0000}"/>
    <cellStyle name="Normal 9 2 7 3 2" xfId="14133" xr:uid="{DE99E7A8-BD5D-4B71-A45C-4AFD23DC3905}"/>
    <cellStyle name="Normal 9 2 7 4" xfId="9915" xr:uid="{A904BB6C-DB00-45A3-A785-5397FC1DE5B7}"/>
    <cellStyle name="Normal 9 2 8" xfId="1808" xr:uid="{00000000-0005-0000-0000-00009F1F0000}"/>
    <cellStyle name="Normal 9 2 8 2" xfId="4038" xr:uid="{00000000-0005-0000-0000-0000A01F0000}"/>
    <cellStyle name="Normal 9 2 8 2 2" xfId="8262" xr:uid="{00000000-0005-0000-0000-0000A11F0000}"/>
    <cellStyle name="Normal 9 2 8 2 2 2" xfId="16691" xr:uid="{B2166778-5A84-444D-8E9F-F0E79C38327B}"/>
    <cellStyle name="Normal 9 2 8 2 3" xfId="12473" xr:uid="{1D2D1C5A-72B3-42A8-AEC9-56944B977FE6}"/>
    <cellStyle name="Normal 9 2 8 3" xfId="6117" xr:uid="{00000000-0005-0000-0000-0000A21F0000}"/>
    <cellStyle name="Normal 9 2 8 3 2" xfId="14546" xr:uid="{91B744F4-1FE0-41D1-824A-5EE27DA3DD40}"/>
    <cellStyle name="Normal 9 2 8 4" xfId="10328" xr:uid="{3B769E55-D068-4B82-889C-11C291D51A34}"/>
    <cellStyle name="Normal 9 2 9" xfId="2222" xr:uid="{00000000-0005-0000-0000-0000A31F0000}"/>
    <cellStyle name="Normal 9 2 9 2" xfId="4451" xr:uid="{00000000-0005-0000-0000-0000A41F0000}"/>
    <cellStyle name="Normal 9 2 9 2 2" xfId="8675" xr:uid="{00000000-0005-0000-0000-0000A51F0000}"/>
    <cellStyle name="Normal 9 2 9 2 2 2" xfId="17104" xr:uid="{A07FD30B-5AEF-4394-AB8B-1B69486A0CF7}"/>
    <cellStyle name="Normal 9 2 9 2 3" xfId="12886" xr:uid="{D82A27A5-A030-4653-8874-06636D5B55D9}"/>
    <cellStyle name="Normal 9 2 9 3" xfId="6530" xr:uid="{00000000-0005-0000-0000-0000A61F0000}"/>
    <cellStyle name="Normal 9 2 9 3 2" xfId="14959" xr:uid="{FED32D22-0500-48F1-9617-ACC75B9EED33}"/>
    <cellStyle name="Normal 9 2 9 4" xfId="10741" xr:uid="{E8083E5E-0D66-4FEF-B862-019D348BC7D2}"/>
    <cellStyle name="Normal 9 3" xfId="527" xr:uid="{00000000-0005-0000-0000-0000A71F0000}"/>
    <cellStyle name="Normal 9 3 10" xfId="4894" xr:uid="{00000000-0005-0000-0000-0000A81F0000}"/>
    <cellStyle name="Normal 9 3 10 2" xfId="13323" xr:uid="{EF7E04B2-3D48-41C3-B42A-5F652594E94D}"/>
    <cellStyle name="Normal 9 3 11" xfId="9105" xr:uid="{C9BDF564-752E-4C9A-BDE3-8D2366255567}"/>
    <cellStyle name="Normal 9 3 2" xfId="528" xr:uid="{00000000-0005-0000-0000-0000A91F0000}"/>
    <cellStyle name="Normal 9 3 2 10" xfId="9106" xr:uid="{ACDDA621-3E4D-4FF9-9F8A-A43243BA4E91}"/>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493A3C80-4E5E-464F-A0C2-AFE8B65CE5F0}"/>
    <cellStyle name="Normal 9 3 2 2 2 2 2 3" xfId="11666" xr:uid="{39B2EA03-1901-44F6-94F8-0A4E52AFB81E}"/>
    <cellStyle name="Normal 9 3 2 2 2 2 3" xfId="5310" xr:uid="{00000000-0005-0000-0000-0000AF1F0000}"/>
    <cellStyle name="Normal 9 3 2 2 2 2 3 2" xfId="13739" xr:uid="{10AD12B1-4A4C-466E-BF02-CE183E49C923}"/>
    <cellStyle name="Normal 9 3 2 2 2 2 4" xfId="9521" xr:uid="{A9BB84C7-3E25-4FA0-90C0-6FA10A41B538}"/>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BD391031-8DB4-4593-B6CB-405512C25BC1}"/>
    <cellStyle name="Normal 9 3 2 2 2 3 2 3" xfId="12079" xr:uid="{07514671-E11B-412F-9BEE-619AE07BF92E}"/>
    <cellStyle name="Normal 9 3 2 2 2 3 3" xfId="5723" xr:uid="{00000000-0005-0000-0000-0000B31F0000}"/>
    <cellStyle name="Normal 9 3 2 2 2 3 3 2" xfId="14152" xr:uid="{FD3AE4F6-F0AD-4187-8461-5D6B0B721C6B}"/>
    <cellStyle name="Normal 9 3 2 2 2 3 4" xfId="9934" xr:uid="{20AEC239-1AF2-4590-A24D-21FBF6E172FF}"/>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FB2E6CE6-A3E3-4C83-BFBF-34BABE3C66D1}"/>
    <cellStyle name="Normal 9 3 2 2 2 4 2 3" xfId="12492" xr:uid="{E7082CA6-DB70-4DAF-BDF9-A35747F1AD20}"/>
    <cellStyle name="Normal 9 3 2 2 2 4 3" xfId="6136" xr:uid="{00000000-0005-0000-0000-0000B71F0000}"/>
    <cellStyle name="Normal 9 3 2 2 2 4 3 2" xfId="14565" xr:uid="{15DD91EA-D23B-4AC3-8367-E1ABC1A68C92}"/>
    <cellStyle name="Normal 9 3 2 2 2 4 4" xfId="10347" xr:uid="{BF48068C-F574-462E-9A96-E7925864D913}"/>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ABBC71B7-F38D-40D2-9C9A-5094B8A54C98}"/>
    <cellStyle name="Normal 9 3 2 2 2 5 2 3" xfId="12905" xr:uid="{AEC0CC06-F781-4F7E-A11F-6F0A33FE117A}"/>
    <cellStyle name="Normal 9 3 2 2 2 5 3" xfId="6549" xr:uid="{00000000-0005-0000-0000-0000BB1F0000}"/>
    <cellStyle name="Normal 9 3 2 2 2 5 3 2" xfId="14978" xr:uid="{B15A2788-59B6-47B6-A764-1038E85FBB6B}"/>
    <cellStyle name="Normal 9 3 2 2 2 5 4" xfId="10760" xr:uid="{82A81F65-7359-41E1-A5FA-35B19D7CC0AB}"/>
    <cellStyle name="Normal 9 3 2 2 2 6" xfId="2677" xr:uid="{00000000-0005-0000-0000-0000BC1F0000}"/>
    <cellStyle name="Normal 9 3 2 2 2 6 2" xfId="6962" xr:uid="{00000000-0005-0000-0000-0000BD1F0000}"/>
    <cellStyle name="Normal 9 3 2 2 2 6 2 2" xfId="15391" xr:uid="{7817A468-E80E-4C85-B36B-6DAFBE078C24}"/>
    <cellStyle name="Normal 9 3 2 2 2 6 3" xfId="11173" xr:uid="{AE5FE87F-CB78-49EC-8893-59AE4C9213D7}"/>
    <cellStyle name="Normal 9 3 2 2 2 7" xfId="4897" xr:uid="{00000000-0005-0000-0000-0000BE1F0000}"/>
    <cellStyle name="Normal 9 3 2 2 2 7 2" xfId="13326" xr:uid="{9B53B069-0019-4785-A49D-F8EE21B18749}"/>
    <cellStyle name="Normal 9 3 2 2 2 8" xfId="9108" xr:uid="{7A1FA8FC-972E-45F2-B264-1FA7FD725EB6}"/>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4AC7A707-065F-46F1-A526-0D2574245A40}"/>
    <cellStyle name="Normal 9 3 2 2 3 2 3" xfId="11665" xr:uid="{68FAD923-DD0B-4987-80AB-F42000A68842}"/>
    <cellStyle name="Normal 9 3 2 2 3 3" xfId="5309" xr:uid="{00000000-0005-0000-0000-0000C21F0000}"/>
    <cellStyle name="Normal 9 3 2 2 3 3 2" xfId="13738" xr:uid="{170501D6-5841-479B-AC32-E06518D8C511}"/>
    <cellStyle name="Normal 9 3 2 2 3 4" xfId="9520" xr:uid="{91153345-9C39-426D-B89D-999E6BFA0930}"/>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6C535D9F-9AC6-49C2-A2E3-BD77DCAC1BC8}"/>
    <cellStyle name="Normal 9 3 2 2 4 2 3" xfId="12078" xr:uid="{292AE16B-226B-438C-B070-250EC26E9A35}"/>
    <cellStyle name="Normal 9 3 2 2 4 3" xfId="5722" xr:uid="{00000000-0005-0000-0000-0000C61F0000}"/>
    <cellStyle name="Normal 9 3 2 2 4 3 2" xfId="14151" xr:uid="{F91FAA03-A630-43BB-BB96-CFE3DB47BF4A}"/>
    <cellStyle name="Normal 9 3 2 2 4 4" xfId="9933" xr:uid="{86888577-E57D-4FA6-89CB-32E1F261F2DF}"/>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4E008997-81F3-4423-A711-E5E664314490}"/>
    <cellStyle name="Normal 9 3 2 2 5 2 3" xfId="12491" xr:uid="{71BEFB79-51A5-456C-9B91-271092252020}"/>
    <cellStyle name="Normal 9 3 2 2 5 3" xfId="6135" xr:uid="{00000000-0005-0000-0000-0000CA1F0000}"/>
    <cellStyle name="Normal 9 3 2 2 5 3 2" xfId="14564" xr:uid="{B5107D4B-5C8A-4E7B-908C-B914232C1B98}"/>
    <cellStyle name="Normal 9 3 2 2 5 4" xfId="10346" xr:uid="{4D4F1B78-7EF2-4D1B-9489-EDCFB8C3CFEF}"/>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1F68D7BA-BD52-411B-ADD0-289DDC3C7CC4}"/>
    <cellStyle name="Normal 9 3 2 2 6 2 3" xfId="12904" xr:uid="{74F83062-E81E-4CAC-8A6E-141160B95F88}"/>
    <cellStyle name="Normal 9 3 2 2 6 3" xfId="6548" xr:uid="{00000000-0005-0000-0000-0000CE1F0000}"/>
    <cellStyle name="Normal 9 3 2 2 6 3 2" xfId="14977" xr:uid="{9A8429E6-E44B-4DAD-BF2F-8FFEA5C6F942}"/>
    <cellStyle name="Normal 9 3 2 2 6 4" xfId="10759" xr:uid="{686D0F23-BA4A-49DD-B63D-0F27215732CA}"/>
    <cellStyle name="Normal 9 3 2 2 7" xfId="2676" xr:uid="{00000000-0005-0000-0000-0000CF1F0000}"/>
    <cellStyle name="Normal 9 3 2 2 7 2" xfId="6961" xr:uid="{00000000-0005-0000-0000-0000D01F0000}"/>
    <cellStyle name="Normal 9 3 2 2 7 2 2" xfId="15390" xr:uid="{4AFCA8F9-A7C1-4C32-B6A5-81F847B9A9B1}"/>
    <cellStyle name="Normal 9 3 2 2 7 3" xfId="11172" xr:uid="{C3A40061-CFDD-4504-B9D3-AD76065E6B75}"/>
    <cellStyle name="Normal 9 3 2 2 8" xfId="4896" xr:uid="{00000000-0005-0000-0000-0000D11F0000}"/>
    <cellStyle name="Normal 9 3 2 2 8 2" xfId="13325" xr:uid="{F2DC25D0-D89F-421A-BEC9-E890F7D0391D}"/>
    <cellStyle name="Normal 9 3 2 2 9" xfId="9107" xr:uid="{7210B1B4-14ED-4604-A0DC-C51DA3A42448}"/>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DF6D2138-CBCC-4E73-A401-58D6B5E3AEF4}"/>
    <cellStyle name="Normal 9 3 2 3 2 2 3" xfId="11667" xr:uid="{809089F4-BAF5-4DBB-860F-0DFDFC92CDD2}"/>
    <cellStyle name="Normal 9 3 2 3 2 3" xfId="5311" xr:uid="{00000000-0005-0000-0000-0000D61F0000}"/>
    <cellStyle name="Normal 9 3 2 3 2 3 2" xfId="13740" xr:uid="{64E1FD23-6C31-4044-8B3C-1AA66AD9E9F2}"/>
    <cellStyle name="Normal 9 3 2 3 2 4" xfId="9522" xr:uid="{7A9288F2-7410-4863-8994-8D6C27E1ED24}"/>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A786E5DD-0786-4EAD-A8A8-6FCA5ECBBF20}"/>
    <cellStyle name="Normal 9 3 2 3 3 2 3" xfId="12080" xr:uid="{102D8859-8B74-4705-83BB-8323FDB0BA86}"/>
    <cellStyle name="Normal 9 3 2 3 3 3" xfId="5724" xr:uid="{00000000-0005-0000-0000-0000DA1F0000}"/>
    <cellStyle name="Normal 9 3 2 3 3 3 2" xfId="14153" xr:uid="{BB2949E1-8327-44D3-9B9D-69E6BC4CB86C}"/>
    <cellStyle name="Normal 9 3 2 3 3 4" xfId="9935" xr:uid="{73C19776-91D1-43F1-A146-9878A3060865}"/>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1D38E2C3-36D8-496A-9B8B-F7E0345A21FD}"/>
    <cellStyle name="Normal 9 3 2 3 4 2 3" xfId="12493" xr:uid="{41D1494C-579C-46D1-B304-D30DA557A1A1}"/>
    <cellStyle name="Normal 9 3 2 3 4 3" xfId="6137" xr:uid="{00000000-0005-0000-0000-0000DE1F0000}"/>
    <cellStyle name="Normal 9 3 2 3 4 3 2" xfId="14566" xr:uid="{017EBBCA-575F-4703-8CF5-1D47A07D1CD6}"/>
    <cellStyle name="Normal 9 3 2 3 4 4" xfId="10348" xr:uid="{C9AB7829-61BE-44D7-8C60-53361B949EE8}"/>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262D765F-CC85-40BB-B987-7D85048DE48E}"/>
    <cellStyle name="Normal 9 3 2 3 5 2 3" xfId="12906" xr:uid="{5E0C84F0-C875-4A3A-B740-1B2E1B044E75}"/>
    <cellStyle name="Normal 9 3 2 3 5 3" xfId="6550" xr:uid="{00000000-0005-0000-0000-0000E21F0000}"/>
    <cellStyle name="Normal 9 3 2 3 5 3 2" xfId="14979" xr:uid="{631390E7-E337-4B6B-8869-E12EA9C92078}"/>
    <cellStyle name="Normal 9 3 2 3 5 4" xfId="10761" xr:uid="{F2D20875-A668-4853-9E5A-8DF37C286F62}"/>
    <cellStyle name="Normal 9 3 2 3 6" xfId="2678" xr:uid="{00000000-0005-0000-0000-0000E31F0000}"/>
    <cellStyle name="Normal 9 3 2 3 6 2" xfId="6963" xr:uid="{00000000-0005-0000-0000-0000E41F0000}"/>
    <cellStyle name="Normal 9 3 2 3 6 2 2" xfId="15392" xr:uid="{EFE66DD2-7335-487F-80AC-E89FD729EC4D}"/>
    <cellStyle name="Normal 9 3 2 3 6 3" xfId="11174" xr:uid="{9179C581-54B5-45CB-B070-670BBE3D1B2E}"/>
    <cellStyle name="Normal 9 3 2 3 7" xfId="4898" xr:uid="{00000000-0005-0000-0000-0000E51F0000}"/>
    <cellStyle name="Normal 9 3 2 3 7 2" xfId="13327" xr:uid="{8F146129-53F5-4DC0-BB92-EF38DFFB8E72}"/>
    <cellStyle name="Normal 9 3 2 3 8" xfId="9109" xr:uid="{FEF67F7B-978C-4457-A73E-47CFA6E2AB69}"/>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438CA494-83EE-4654-9897-06FD1970C97C}"/>
    <cellStyle name="Normal 9 3 2 4 2 3" xfId="11664" xr:uid="{993CA7E2-BEDC-4991-9AC5-43A97C13E3C7}"/>
    <cellStyle name="Normal 9 3 2 4 3" xfId="5308" xr:uid="{00000000-0005-0000-0000-0000E91F0000}"/>
    <cellStyle name="Normal 9 3 2 4 3 2" xfId="13737" xr:uid="{BC4A8284-BF44-43C6-A0AF-1180FFE4BD81}"/>
    <cellStyle name="Normal 9 3 2 4 4" xfId="9519" xr:uid="{0F3B70D1-08BE-4598-8238-5744A1A33DC4}"/>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D2F34EE3-248E-4F96-A335-7B0347FF45FD}"/>
    <cellStyle name="Normal 9 3 2 5 2 3" xfId="12077" xr:uid="{F15EB64F-219A-4409-86B1-38541E4F77CB}"/>
    <cellStyle name="Normal 9 3 2 5 3" xfId="5721" xr:uid="{00000000-0005-0000-0000-0000ED1F0000}"/>
    <cellStyle name="Normal 9 3 2 5 3 2" xfId="14150" xr:uid="{3026F0D9-66E1-4089-ADB0-4D2412E37CEE}"/>
    <cellStyle name="Normal 9 3 2 5 4" xfId="9932" xr:uid="{5F270F32-7929-486D-AA65-C7626AD86B38}"/>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1ADDB6B5-4660-44F4-AEB2-275583F20683}"/>
    <cellStyle name="Normal 9 3 2 6 2 3" xfId="12490" xr:uid="{36EEF0D2-47F8-45A3-8EF9-5A7288A09BD0}"/>
    <cellStyle name="Normal 9 3 2 6 3" xfId="6134" xr:uid="{00000000-0005-0000-0000-0000F11F0000}"/>
    <cellStyle name="Normal 9 3 2 6 3 2" xfId="14563" xr:uid="{F7D55E9A-F99F-4339-8B20-A7E72C01216F}"/>
    <cellStyle name="Normal 9 3 2 6 4" xfId="10345" xr:uid="{AF4E0FF8-30F5-4BBC-8449-B3AA90A943FF}"/>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C9EBE56D-7EBA-49CF-85A8-5659643940CA}"/>
    <cellStyle name="Normal 9 3 2 7 2 3" xfId="12903" xr:uid="{B62694AE-009A-4A8D-BF3C-BB386216746C}"/>
    <cellStyle name="Normal 9 3 2 7 3" xfId="6547" xr:uid="{00000000-0005-0000-0000-0000F51F0000}"/>
    <cellStyle name="Normal 9 3 2 7 3 2" xfId="14976" xr:uid="{A373F300-F70A-4FAA-9250-DA4CE0EDF6FC}"/>
    <cellStyle name="Normal 9 3 2 7 4" xfId="10758" xr:uid="{E9D7A138-F891-489C-B982-4338B86C3B07}"/>
    <cellStyle name="Normal 9 3 2 8" xfId="2675" xr:uid="{00000000-0005-0000-0000-0000F61F0000}"/>
    <cellStyle name="Normal 9 3 2 8 2" xfId="6960" xr:uid="{00000000-0005-0000-0000-0000F71F0000}"/>
    <cellStyle name="Normal 9 3 2 8 2 2" xfId="15389" xr:uid="{79480D24-AF78-4BA8-AA57-AE4BCF20AB90}"/>
    <cellStyle name="Normal 9 3 2 8 3" xfId="11171" xr:uid="{EB9EFE60-8A7A-4334-8EE1-44FEE3507EAD}"/>
    <cellStyle name="Normal 9 3 2 9" xfId="4895" xr:uid="{00000000-0005-0000-0000-0000F81F0000}"/>
    <cellStyle name="Normal 9 3 2 9 2" xfId="13324" xr:uid="{063A8B0B-7D95-4BB5-8BF8-C3298A6A8071}"/>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55EC7540-AAB1-4921-9EEB-BB31EA73402A}"/>
    <cellStyle name="Normal 9 3 3 2 2 2 3" xfId="11669" xr:uid="{C047D5DE-3787-4594-91DC-7A045572CEBF}"/>
    <cellStyle name="Normal 9 3 3 2 2 3" xfId="5313" xr:uid="{00000000-0005-0000-0000-0000FE1F0000}"/>
    <cellStyle name="Normal 9 3 3 2 2 3 2" xfId="13742" xr:uid="{600A9E47-BA35-4F47-A474-BA10684F457E}"/>
    <cellStyle name="Normal 9 3 3 2 2 4" xfId="9524" xr:uid="{0D1B0A8A-96D8-4E11-A63B-9819697A5E3F}"/>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284AA9D5-2D86-4172-A912-1C0E298A6B95}"/>
    <cellStyle name="Normal 9 3 3 2 3 2 3" xfId="12082" xr:uid="{2EDEB603-9791-42A0-880C-F24C11664274}"/>
    <cellStyle name="Normal 9 3 3 2 3 3" xfId="5726" xr:uid="{00000000-0005-0000-0000-000002200000}"/>
    <cellStyle name="Normal 9 3 3 2 3 3 2" xfId="14155" xr:uid="{24C7AE10-7916-44AF-86E1-20B631DAC18B}"/>
    <cellStyle name="Normal 9 3 3 2 3 4" xfId="9937" xr:uid="{280E754E-C9F4-477A-8625-F57E54705C24}"/>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02B626F5-707C-4CEF-90D6-CC127517122B}"/>
    <cellStyle name="Normal 9 3 3 2 4 2 3" xfId="12495" xr:uid="{54686CBC-B689-4363-8635-DB3A9E8EFFA0}"/>
    <cellStyle name="Normal 9 3 3 2 4 3" xfId="6139" xr:uid="{00000000-0005-0000-0000-000006200000}"/>
    <cellStyle name="Normal 9 3 3 2 4 3 2" xfId="14568" xr:uid="{0DEB6731-2617-49F3-A013-CB489006B293}"/>
    <cellStyle name="Normal 9 3 3 2 4 4" xfId="10350" xr:uid="{AEB4DE30-4A48-4BFA-AC5B-329C6DCADC27}"/>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9A940415-922E-4EE1-ACA8-7B879B03A808}"/>
    <cellStyle name="Normal 9 3 3 2 5 2 3" xfId="12908" xr:uid="{1AB7636E-79DD-409B-8A3D-CE85424F1570}"/>
    <cellStyle name="Normal 9 3 3 2 5 3" xfId="6552" xr:uid="{00000000-0005-0000-0000-00000A200000}"/>
    <cellStyle name="Normal 9 3 3 2 5 3 2" xfId="14981" xr:uid="{1B195C8F-59BF-4422-A828-248411F60121}"/>
    <cellStyle name="Normal 9 3 3 2 5 4" xfId="10763" xr:uid="{F318004F-B56B-4440-942A-F1D321699179}"/>
    <cellStyle name="Normal 9 3 3 2 6" xfId="2680" xr:uid="{00000000-0005-0000-0000-00000B200000}"/>
    <cellStyle name="Normal 9 3 3 2 6 2" xfId="6965" xr:uid="{00000000-0005-0000-0000-00000C200000}"/>
    <cellStyle name="Normal 9 3 3 2 6 2 2" xfId="15394" xr:uid="{91AA21D2-6017-4007-B61F-2AFB7C86502D}"/>
    <cellStyle name="Normal 9 3 3 2 6 3" xfId="11176" xr:uid="{208F783E-0F37-45EB-9745-F46390668B8D}"/>
    <cellStyle name="Normal 9 3 3 2 7" xfId="4900" xr:uid="{00000000-0005-0000-0000-00000D200000}"/>
    <cellStyle name="Normal 9 3 3 2 7 2" xfId="13329" xr:uid="{87573883-F57B-4BFE-BEEF-882CBC9EE9A6}"/>
    <cellStyle name="Normal 9 3 3 2 8" xfId="9111" xr:uid="{8E111E01-96FC-4137-A295-DF60D8B10658}"/>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DC877D35-DC6D-4590-BE71-1258B2C623A6}"/>
    <cellStyle name="Normal 9 3 3 3 2 3" xfId="11668" xr:uid="{64E25DC7-23FD-42A0-95BF-31484A3C5A95}"/>
    <cellStyle name="Normal 9 3 3 3 3" xfId="5312" xr:uid="{00000000-0005-0000-0000-000011200000}"/>
    <cellStyle name="Normal 9 3 3 3 3 2" xfId="13741" xr:uid="{07C1065B-CA88-4700-A079-8AE5C507CB8D}"/>
    <cellStyle name="Normal 9 3 3 3 4" xfId="9523" xr:uid="{AC55BAB1-B117-4E0C-946F-EF046C62353A}"/>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81634B15-1F2F-4A35-AC5B-135433483A8A}"/>
    <cellStyle name="Normal 9 3 3 4 2 3" xfId="12081" xr:uid="{5AF71E6B-6B7D-4A2E-851D-D0A68C22F655}"/>
    <cellStyle name="Normal 9 3 3 4 3" xfId="5725" xr:uid="{00000000-0005-0000-0000-000015200000}"/>
    <cellStyle name="Normal 9 3 3 4 3 2" xfId="14154" xr:uid="{303DAAE1-28E4-4D4B-9BB8-58D78F3A21E4}"/>
    <cellStyle name="Normal 9 3 3 4 4" xfId="9936" xr:uid="{7CDF6408-E003-4165-9D4B-A7DF621DBCAF}"/>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759FB454-8051-462A-B18C-D48396397EFB}"/>
    <cellStyle name="Normal 9 3 3 5 2 3" xfId="12494" xr:uid="{BA42D68B-1062-4275-9DA4-987B3D561364}"/>
    <cellStyle name="Normal 9 3 3 5 3" xfId="6138" xr:uid="{00000000-0005-0000-0000-000019200000}"/>
    <cellStyle name="Normal 9 3 3 5 3 2" xfId="14567" xr:uid="{9074BDD6-8B6E-49CE-8277-948C2F5F638B}"/>
    <cellStyle name="Normal 9 3 3 5 4" xfId="10349" xr:uid="{D4780161-96C2-41E7-974C-B07220CDE6ED}"/>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E4A31B98-9E0A-4C66-8AE6-D1E20FEDFF2A}"/>
    <cellStyle name="Normal 9 3 3 6 2 3" xfId="12907" xr:uid="{71F03B7A-419F-43DC-83E3-418DF78665FE}"/>
    <cellStyle name="Normal 9 3 3 6 3" xfId="6551" xr:uid="{00000000-0005-0000-0000-00001D200000}"/>
    <cellStyle name="Normal 9 3 3 6 3 2" xfId="14980" xr:uid="{A89B04C7-755C-4E24-939E-340702048849}"/>
    <cellStyle name="Normal 9 3 3 6 4" xfId="10762" xr:uid="{23934F8E-416F-44E0-A8F7-107A1345D645}"/>
    <cellStyle name="Normal 9 3 3 7" xfId="2679" xr:uid="{00000000-0005-0000-0000-00001E200000}"/>
    <cellStyle name="Normal 9 3 3 7 2" xfId="6964" xr:uid="{00000000-0005-0000-0000-00001F200000}"/>
    <cellStyle name="Normal 9 3 3 7 2 2" xfId="15393" xr:uid="{91A5478A-F1C9-46FB-8DB6-03E0C5AEA23B}"/>
    <cellStyle name="Normal 9 3 3 7 3" xfId="11175" xr:uid="{C1A46426-C2DD-42DE-B67E-7D919A6AD7FF}"/>
    <cellStyle name="Normal 9 3 3 8" xfId="4899" xr:uid="{00000000-0005-0000-0000-000020200000}"/>
    <cellStyle name="Normal 9 3 3 8 2" xfId="13328" xr:uid="{19935357-1A72-45F0-A4D4-40BCD0B781DC}"/>
    <cellStyle name="Normal 9 3 3 9" xfId="9110" xr:uid="{AE6C2B78-F2C4-40C7-946B-21DC97C66B8C}"/>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1CC25763-BBE5-4FA0-A201-C01A11A63E56}"/>
    <cellStyle name="Normal 9 3 4 2 2 3" xfId="11670" xr:uid="{869B15EC-C6CC-47E0-AFE8-870814CADC1E}"/>
    <cellStyle name="Normal 9 3 4 2 3" xfId="5314" xr:uid="{00000000-0005-0000-0000-000025200000}"/>
    <cellStyle name="Normal 9 3 4 2 3 2" xfId="13743" xr:uid="{5B2EE286-3122-41F2-BEB9-DBED3BF43A2F}"/>
    <cellStyle name="Normal 9 3 4 2 4" xfId="9525" xr:uid="{D929FDA6-6723-4153-BE61-BD6199D5708A}"/>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83386795-33AD-4CEB-9915-3CDB7AFE9FF5}"/>
    <cellStyle name="Normal 9 3 4 3 2 3" xfId="12083" xr:uid="{EFE5E57F-7DED-48AD-A56E-4F75B28ABDC9}"/>
    <cellStyle name="Normal 9 3 4 3 3" xfId="5727" xr:uid="{00000000-0005-0000-0000-000029200000}"/>
    <cellStyle name="Normal 9 3 4 3 3 2" xfId="14156" xr:uid="{DD22B9D2-608C-485D-A0BA-ACCE0564D88B}"/>
    <cellStyle name="Normal 9 3 4 3 4" xfId="9938" xr:uid="{CE421D95-6768-42CF-B87D-3E38E02E7FF3}"/>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02040084-329D-49F0-94E2-C24FB97E8AC5}"/>
    <cellStyle name="Normal 9 3 4 4 2 3" xfId="12496" xr:uid="{B6B9F550-6856-462F-BBA7-6A991E9284F3}"/>
    <cellStyle name="Normal 9 3 4 4 3" xfId="6140" xr:uid="{00000000-0005-0000-0000-00002D200000}"/>
    <cellStyle name="Normal 9 3 4 4 3 2" xfId="14569" xr:uid="{84849AF0-1A13-454F-B055-B21F2D4D8378}"/>
    <cellStyle name="Normal 9 3 4 4 4" xfId="10351" xr:uid="{852B9998-FBCC-4727-AD7C-42E40086BD9A}"/>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F46790C5-31A6-40FC-B0B1-86BEB8C76A76}"/>
    <cellStyle name="Normal 9 3 4 5 2 3" xfId="12909" xr:uid="{124B0F4C-93C9-43F5-96F7-514EC053977E}"/>
    <cellStyle name="Normal 9 3 4 5 3" xfId="6553" xr:uid="{00000000-0005-0000-0000-000031200000}"/>
    <cellStyle name="Normal 9 3 4 5 3 2" xfId="14982" xr:uid="{5D8EE3DA-3E34-4629-9325-D909DCDBDE36}"/>
    <cellStyle name="Normal 9 3 4 5 4" xfId="10764" xr:uid="{7E7CFAF6-6A7E-42B1-A055-69DA7664AEB8}"/>
    <cellStyle name="Normal 9 3 4 6" xfId="2681" xr:uid="{00000000-0005-0000-0000-000032200000}"/>
    <cellStyle name="Normal 9 3 4 6 2" xfId="6966" xr:uid="{00000000-0005-0000-0000-000033200000}"/>
    <cellStyle name="Normal 9 3 4 6 2 2" xfId="15395" xr:uid="{AC3A589C-9CFF-4A56-91D4-82DB74CFA493}"/>
    <cellStyle name="Normal 9 3 4 6 3" xfId="11177" xr:uid="{2014E249-A210-4A75-AB6A-146F3A0911DD}"/>
    <cellStyle name="Normal 9 3 4 7" xfId="4901" xr:uid="{00000000-0005-0000-0000-000034200000}"/>
    <cellStyle name="Normal 9 3 4 7 2" xfId="13330" xr:uid="{7E1AC7D6-DB92-466A-A510-3FFD3693F1ED}"/>
    <cellStyle name="Normal 9 3 4 8" xfId="9112" xr:uid="{CF9D499A-618A-4F65-88B4-4F4C7E325FCC}"/>
    <cellStyle name="Normal 9 3 5" xfId="995" xr:uid="{00000000-0005-0000-0000-000035200000}"/>
    <cellStyle name="Normal 9 3 5 2" xfId="3228" xr:uid="{00000000-0005-0000-0000-000036200000}"/>
    <cellStyle name="Normal 9 3 5 2 2" xfId="7452" xr:uid="{00000000-0005-0000-0000-000037200000}"/>
    <cellStyle name="Normal 9 3 5 2 2 2" xfId="15881" xr:uid="{C22A0B81-29F4-4A4D-8D43-8F56EA35D6DA}"/>
    <cellStyle name="Normal 9 3 5 2 3" xfId="11663" xr:uid="{CC626D9D-161F-4A90-B6A8-74F052BE582E}"/>
    <cellStyle name="Normal 9 3 5 3" xfId="5307" xr:uid="{00000000-0005-0000-0000-000038200000}"/>
    <cellStyle name="Normal 9 3 5 3 2" xfId="13736" xr:uid="{236E182D-44EC-457D-A557-6F1FEAAF1D45}"/>
    <cellStyle name="Normal 9 3 5 4" xfId="9518" xr:uid="{53F0D466-06BC-4362-9346-A21F9446BAF7}"/>
    <cellStyle name="Normal 9 3 6" xfId="1411" xr:uid="{00000000-0005-0000-0000-000039200000}"/>
    <cellStyle name="Normal 9 3 6 2" xfId="3641" xr:uid="{00000000-0005-0000-0000-00003A200000}"/>
    <cellStyle name="Normal 9 3 6 2 2" xfId="7865" xr:uid="{00000000-0005-0000-0000-00003B200000}"/>
    <cellStyle name="Normal 9 3 6 2 2 2" xfId="16294" xr:uid="{5E593663-3118-4814-8B00-5EEF9E119A32}"/>
    <cellStyle name="Normal 9 3 6 2 3" xfId="12076" xr:uid="{4424AC62-8CC4-4B9C-B8E0-E552A9E2E083}"/>
    <cellStyle name="Normal 9 3 6 3" xfId="5720" xr:uid="{00000000-0005-0000-0000-00003C200000}"/>
    <cellStyle name="Normal 9 3 6 3 2" xfId="14149" xr:uid="{7FA1C02F-C66A-447E-8160-45DCDE2179B0}"/>
    <cellStyle name="Normal 9 3 6 4" xfId="9931" xr:uid="{C73B48CA-740B-4A82-83DC-70E116E6714F}"/>
    <cellStyle name="Normal 9 3 7" xfId="1824" xr:uid="{00000000-0005-0000-0000-00003D200000}"/>
    <cellStyle name="Normal 9 3 7 2" xfId="4054" xr:uid="{00000000-0005-0000-0000-00003E200000}"/>
    <cellStyle name="Normal 9 3 7 2 2" xfId="8278" xr:uid="{00000000-0005-0000-0000-00003F200000}"/>
    <cellStyle name="Normal 9 3 7 2 2 2" xfId="16707" xr:uid="{8FA20E44-4C48-4D32-8F96-F19C94ED6DBD}"/>
    <cellStyle name="Normal 9 3 7 2 3" xfId="12489" xr:uid="{4FE33FD0-D573-4C1F-809C-471844E73319}"/>
    <cellStyle name="Normal 9 3 7 3" xfId="6133" xr:uid="{00000000-0005-0000-0000-000040200000}"/>
    <cellStyle name="Normal 9 3 7 3 2" xfId="14562" xr:uid="{9E13BC72-FBED-484D-B833-A47D6EEB312D}"/>
    <cellStyle name="Normal 9 3 7 4" xfId="10344" xr:uid="{3F052D1D-A009-4734-ABBF-EC529AB30B1A}"/>
    <cellStyle name="Normal 9 3 8" xfId="2238" xr:uid="{00000000-0005-0000-0000-000041200000}"/>
    <cellStyle name="Normal 9 3 8 2" xfId="4467" xr:uid="{00000000-0005-0000-0000-000042200000}"/>
    <cellStyle name="Normal 9 3 8 2 2" xfId="8691" xr:uid="{00000000-0005-0000-0000-000043200000}"/>
    <cellStyle name="Normal 9 3 8 2 2 2" xfId="17120" xr:uid="{9E5A5D03-5CFD-43FC-83B5-BB3E46189930}"/>
    <cellStyle name="Normal 9 3 8 2 3" xfId="12902" xr:uid="{ED4D9E52-F147-45C5-A904-3AC0A3E39D6F}"/>
    <cellStyle name="Normal 9 3 8 3" xfId="6546" xr:uid="{00000000-0005-0000-0000-000044200000}"/>
    <cellStyle name="Normal 9 3 8 3 2" xfId="14975" xr:uid="{7BEE027E-EFBE-4F6A-8D31-8A168224D3E7}"/>
    <cellStyle name="Normal 9 3 8 4" xfId="10757" xr:uid="{0696B543-1CF3-4888-90A6-D2F9F05A4DF6}"/>
    <cellStyle name="Normal 9 3 9" xfId="2674" xr:uid="{00000000-0005-0000-0000-000045200000}"/>
    <cellStyle name="Normal 9 3 9 2" xfId="6959" xr:uid="{00000000-0005-0000-0000-000046200000}"/>
    <cellStyle name="Normal 9 3 9 2 2" xfId="15388" xr:uid="{9DF7B570-EFFB-49BB-B119-DA5E96C5EA6B}"/>
    <cellStyle name="Normal 9 3 9 3" xfId="11170" xr:uid="{D823C60C-B839-4B46-9912-6C6FA74CE416}"/>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CF7AD02E-0676-4DCA-B98F-4E184DBAD68C}"/>
    <cellStyle name="Normal 9 5 2 2 2 3" xfId="11672" xr:uid="{D1A36E3E-1BC5-4A45-8B2F-9B07B12E6163}"/>
    <cellStyle name="Normal 9 5 2 2 3" xfId="5316" xr:uid="{00000000-0005-0000-0000-00004E200000}"/>
    <cellStyle name="Normal 9 5 2 2 3 2" xfId="13745" xr:uid="{B30774F9-D122-4219-BEFF-E83CFF33D834}"/>
    <cellStyle name="Normal 9 5 2 2 4" xfId="9527" xr:uid="{C612CA00-1C6A-45B1-94FE-AF525836CFFA}"/>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FED9D721-B9F5-4BA1-A97C-5323ACE0FF4A}"/>
    <cellStyle name="Normal 9 5 2 3 2 3" xfId="12085" xr:uid="{2640B67A-D5D9-47EC-B18E-1479E70A5167}"/>
    <cellStyle name="Normal 9 5 2 3 3" xfId="5729" xr:uid="{00000000-0005-0000-0000-000052200000}"/>
    <cellStyle name="Normal 9 5 2 3 3 2" xfId="14158" xr:uid="{3789418C-D9E4-4438-930C-117456237726}"/>
    <cellStyle name="Normal 9 5 2 3 4" xfId="9940" xr:uid="{2B4558BA-6348-479B-9E09-A0EBBC6825DE}"/>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6A14AC85-9AAA-4C49-A1E1-9C02AA30102B}"/>
    <cellStyle name="Normal 9 5 2 4 2 3" xfId="12498" xr:uid="{3C62D14B-B56B-4C8D-8DD3-4293A9D5DE7F}"/>
    <cellStyle name="Normal 9 5 2 4 3" xfId="6142" xr:uid="{00000000-0005-0000-0000-000056200000}"/>
    <cellStyle name="Normal 9 5 2 4 3 2" xfId="14571" xr:uid="{189F6C0E-976A-4A8E-A8E3-F7EC5F158117}"/>
    <cellStyle name="Normal 9 5 2 4 4" xfId="10353" xr:uid="{A153D13C-3BCC-4B15-AE62-55D979DF69B8}"/>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576B8642-FCB1-45C4-A8AC-393F21D99E64}"/>
    <cellStyle name="Normal 9 5 2 5 2 3" xfId="12911" xr:uid="{B7BAAF06-ACBB-4B17-BB9D-C4C1E8651196}"/>
    <cellStyle name="Normal 9 5 2 5 3" xfId="6555" xr:uid="{00000000-0005-0000-0000-00005A200000}"/>
    <cellStyle name="Normal 9 5 2 5 3 2" xfId="14984" xr:uid="{D4676DF2-B6E6-47E5-928F-5CACE48DD558}"/>
    <cellStyle name="Normal 9 5 2 5 4" xfId="10766" xr:uid="{592ECDC4-4281-418C-B5E1-12DA48A1458B}"/>
    <cellStyle name="Normal 9 5 2 6" xfId="2683" xr:uid="{00000000-0005-0000-0000-00005B200000}"/>
    <cellStyle name="Normal 9 5 2 6 2" xfId="6968" xr:uid="{00000000-0005-0000-0000-00005C200000}"/>
    <cellStyle name="Normal 9 5 2 6 2 2" xfId="15397" xr:uid="{6BD928AF-9A3B-4CFF-B966-D49C51B8B8F3}"/>
    <cellStyle name="Normal 9 5 2 6 3" xfId="11179" xr:uid="{91AA8589-F0EA-4185-8284-D5A746630288}"/>
    <cellStyle name="Normal 9 5 2 7" xfId="4903" xr:uid="{00000000-0005-0000-0000-00005D200000}"/>
    <cellStyle name="Normal 9 5 2 7 2" xfId="13332" xr:uid="{C851131C-9432-435F-9303-3E1A2938FABD}"/>
    <cellStyle name="Normal 9 5 2 8" xfId="9114" xr:uid="{4F1166DF-6E4C-4EEE-8B32-591DEA4D0EF9}"/>
    <cellStyle name="Normal 9 5 3" xfId="1004" xr:uid="{00000000-0005-0000-0000-00005E200000}"/>
    <cellStyle name="Normal 9 5 3 2" xfId="3236" xr:uid="{00000000-0005-0000-0000-00005F200000}"/>
    <cellStyle name="Normal 9 5 3 2 2" xfId="7460" xr:uid="{00000000-0005-0000-0000-000060200000}"/>
    <cellStyle name="Normal 9 5 3 2 2 2" xfId="15889" xr:uid="{D0A92B17-C7B1-4226-A516-4F31496E9CAC}"/>
    <cellStyle name="Normal 9 5 3 2 3" xfId="11671" xr:uid="{BF77EE00-0C99-4DEB-BD24-AFAD6AA8D14F}"/>
    <cellStyle name="Normal 9 5 3 3" xfId="5315" xr:uid="{00000000-0005-0000-0000-000061200000}"/>
    <cellStyle name="Normal 9 5 3 3 2" xfId="13744" xr:uid="{24D2F498-B67B-4B62-8FD2-5F358DCEB7FD}"/>
    <cellStyle name="Normal 9 5 3 4" xfId="9526" xr:uid="{2AE141D1-EA70-4E02-8EFC-858CFF4E6DD6}"/>
    <cellStyle name="Normal 9 5 4" xfId="1419" xr:uid="{00000000-0005-0000-0000-000062200000}"/>
    <cellStyle name="Normal 9 5 4 2" xfId="3649" xr:uid="{00000000-0005-0000-0000-000063200000}"/>
    <cellStyle name="Normal 9 5 4 2 2" xfId="7873" xr:uid="{00000000-0005-0000-0000-000064200000}"/>
    <cellStyle name="Normal 9 5 4 2 2 2" xfId="16302" xr:uid="{24163FDA-2F3B-4D16-B47F-D08195DCEDFE}"/>
    <cellStyle name="Normal 9 5 4 2 3" xfId="12084" xr:uid="{5EEBD5A8-4EB3-480C-BB8C-D3F41B9C0387}"/>
    <cellStyle name="Normal 9 5 4 3" xfId="5728" xr:uid="{00000000-0005-0000-0000-000065200000}"/>
    <cellStyle name="Normal 9 5 4 3 2" xfId="14157" xr:uid="{0B13FDD1-AB72-4FF7-90DF-601BFFD5D089}"/>
    <cellStyle name="Normal 9 5 4 4" xfId="9939" xr:uid="{113C41D5-B172-477F-8C2F-B3470EEF0C56}"/>
    <cellStyle name="Normal 9 5 5" xfId="1832" xr:uid="{00000000-0005-0000-0000-000066200000}"/>
    <cellStyle name="Normal 9 5 5 2" xfId="4062" xr:uid="{00000000-0005-0000-0000-000067200000}"/>
    <cellStyle name="Normal 9 5 5 2 2" xfId="8286" xr:uid="{00000000-0005-0000-0000-000068200000}"/>
    <cellStyle name="Normal 9 5 5 2 2 2" xfId="16715" xr:uid="{85BA5778-1C82-4D9D-8335-79257703FEA2}"/>
    <cellStyle name="Normal 9 5 5 2 3" xfId="12497" xr:uid="{2BE77BEE-D90F-44BC-B3AE-28F92E738A43}"/>
    <cellStyle name="Normal 9 5 5 3" xfId="6141" xr:uid="{00000000-0005-0000-0000-000069200000}"/>
    <cellStyle name="Normal 9 5 5 3 2" xfId="14570" xr:uid="{A04E6747-2C83-478B-A8BE-10A4482814E7}"/>
    <cellStyle name="Normal 9 5 5 4" xfId="10352" xr:uid="{DE28CA35-0AB8-4F77-8A75-14B6500F06EA}"/>
    <cellStyle name="Normal 9 5 6" xfId="2246" xr:uid="{00000000-0005-0000-0000-00006A200000}"/>
    <cellStyle name="Normal 9 5 6 2" xfId="4475" xr:uid="{00000000-0005-0000-0000-00006B200000}"/>
    <cellStyle name="Normal 9 5 6 2 2" xfId="8699" xr:uid="{00000000-0005-0000-0000-00006C200000}"/>
    <cellStyle name="Normal 9 5 6 2 2 2" xfId="17128" xr:uid="{23F59D04-F56D-4218-8CF0-87197E80944A}"/>
    <cellStyle name="Normal 9 5 6 2 3" xfId="12910" xr:uid="{763BBE2E-BCA1-49FF-A7F4-53FF3D5BBF12}"/>
    <cellStyle name="Normal 9 5 6 3" xfId="6554" xr:uid="{00000000-0005-0000-0000-00006D200000}"/>
    <cellStyle name="Normal 9 5 6 3 2" xfId="14983" xr:uid="{0598B913-9A57-481A-B0AA-EC5DD99725AB}"/>
    <cellStyle name="Normal 9 5 6 4" xfId="10765" xr:uid="{6F1A9760-610A-4594-9B27-F4B29356162B}"/>
    <cellStyle name="Normal 9 5 7" xfId="2682" xr:uid="{00000000-0005-0000-0000-00006E200000}"/>
    <cellStyle name="Normal 9 5 7 2" xfId="6967" xr:uid="{00000000-0005-0000-0000-00006F200000}"/>
    <cellStyle name="Normal 9 5 7 2 2" xfId="15396" xr:uid="{17563AAA-DA9B-40A3-95C0-45A536F03D0B}"/>
    <cellStyle name="Normal 9 5 7 3" xfId="11178" xr:uid="{83FE3B48-0A34-4613-A1BC-8F08F03A071B}"/>
    <cellStyle name="Normal 9 5 8" xfId="4902" xr:uid="{00000000-0005-0000-0000-000070200000}"/>
    <cellStyle name="Normal 9 5 8 2" xfId="13331" xr:uid="{A7C81A8D-FB13-41AD-A917-39402F505FBB}"/>
    <cellStyle name="Normal 9 5 9" xfId="9113" xr:uid="{3EA286C0-A9FF-4E3B-878D-455A59DBB8B3}"/>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A0A5949B-C62F-4DFB-9EC0-5DBD14A29A9B}"/>
    <cellStyle name="Normal 9 6 2 2 3" xfId="11673" xr:uid="{AAFE1FBF-6894-482A-99BB-807DF74C7F07}"/>
    <cellStyle name="Normal 9 6 2 3" xfId="5317" xr:uid="{00000000-0005-0000-0000-000075200000}"/>
    <cellStyle name="Normal 9 6 2 3 2" xfId="13746" xr:uid="{6ED8D6AD-BCD4-46B0-9917-03DDBE8BDD2F}"/>
    <cellStyle name="Normal 9 6 2 4" xfId="9528" xr:uid="{1A7EB0D8-BD2C-4F19-91A5-8E37C359A61E}"/>
    <cellStyle name="Normal 9 6 3" xfId="1421" xr:uid="{00000000-0005-0000-0000-000076200000}"/>
    <cellStyle name="Normal 9 6 3 2" xfId="3651" xr:uid="{00000000-0005-0000-0000-000077200000}"/>
    <cellStyle name="Normal 9 6 3 2 2" xfId="7875" xr:uid="{00000000-0005-0000-0000-000078200000}"/>
    <cellStyle name="Normal 9 6 3 2 2 2" xfId="16304" xr:uid="{BB2F174A-9E7D-466A-A3C4-BE3DAB5AB4E5}"/>
    <cellStyle name="Normal 9 6 3 2 3" xfId="12086" xr:uid="{F7B5BE51-D988-423D-8ED0-02640B865F4D}"/>
    <cellStyle name="Normal 9 6 3 3" xfId="5730" xr:uid="{00000000-0005-0000-0000-000079200000}"/>
    <cellStyle name="Normal 9 6 3 3 2" xfId="14159" xr:uid="{A3D4013F-06B9-40AD-91D3-032C08B6F353}"/>
    <cellStyle name="Normal 9 6 3 4" xfId="9941" xr:uid="{90427FEF-776B-4C6D-A475-E703DDE6085B}"/>
    <cellStyle name="Normal 9 6 4" xfId="1834" xr:uid="{00000000-0005-0000-0000-00007A200000}"/>
    <cellStyle name="Normal 9 6 4 2" xfId="4064" xr:uid="{00000000-0005-0000-0000-00007B200000}"/>
    <cellStyle name="Normal 9 6 4 2 2" xfId="8288" xr:uid="{00000000-0005-0000-0000-00007C200000}"/>
    <cellStyle name="Normal 9 6 4 2 2 2" xfId="16717" xr:uid="{82F584AC-C7B9-43F7-8631-2D4A0BDA1A86}"/>
    <cellStyle name="Normal 9 6 4 2 3" xfId="12499" xr:uid="{32E68635-6B05-4314-A888-FD6B9601A77C}"/>
    <cellStyle name="Normal 9 6 4 3" xfId="6143" xr:uid="{00000000-0005-0000-0000-00007D200000}"/>
    <cellStyle name="Normal 9 6 4 3 2" xfId="14572" xr:uid="{4AC96FB2-07CA-4097-921A-2505553275BB}"/>
    <cellStyle name="Normal 9 6 4 4" xfId="10354" xr:uid="{7125A7A8-EF70-43A9-BE28-793AB0ADD734}"/>
    <cellStyle name="Normal 9 6 5" xfId="2248" xr:uid="{00000000-0005-0000-0000-00007E200000}"/>
    <cellStyle name="Normal 9 6 5 2" xfId="4477" xr:uid="{00000000-0005-0000-0000-00007F200000}"/>
    <cellStyle name="Normal 9 6 5 2 2" xfId="8701" xr:uid="{00000000-0005-0000-0000-000080200000}"/>
    <cellStyle name="Normal 9 6 5 2 2 2" xfId="17130" xr:uid="{5B24657F-4535-4892-A6E8-0D59D35FBC1A}"/>
    <cellStyle name="Normal 9 6 5 2 3" xfId="12912" xr:uid="{6D78529C-6C65-4183-B634-C71A1535C998}"/>
    <cellStyle name="Normal 9 6 5 3" xfId="6556" xr:uid="{00000000-0005-0000-0000-000081200000}"/>
    <cellStyle name="Normal 9 6 5 3 2" xfId="14985" xr:uid="{8D819D32-E9A8-40F1-888A-5FF928B36B93}"/>
    <cellStyle name="Normal 9 6 5 4" xfId="10767" xr:uid="{52330FAB-BFF8-45C0-97C5-E891C46C7427}"/>
    <cellStyle name="Normal 9 6 6" xfId="2684" xr:uid="{00000000-0005-0000-0000-000082200000}"/>
    <cellStyle name="Normal 9 6 6 2" xfId="6969" xr:uid="{00000000-0005-0000-0000-000083200000}"/>
    <cellStyle name="Normal 9 6 6 2 2" xfId="15398" xr:uid="{C84A39C9-8FE7-4DA3-92B4-A519C0D9E019}"/>
    <cellStyle name="Normal 9 6 6 3" xfId="11180" xr:uid="{0D5D5279-F2E5-4554-9796-1990A2B04501}"/>
    <cellStyle name="Normal 9 6 7" xfId="4904" xr:uid="{00000000-0005-0000-0000-000084200000}"/>
    <cellStyle name="Normal 9 6 7 2" xfId="13333" xr:uid="{36D0F905-3A8A-4CB6-9BB8-1B5EAE15B198}"/>
    <cellStyle name="Normal 9 6 8" xfId="9115" xr:uid="{F9F60046-CFC1-4264-9387-FDC7EA93BCE9}"/>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3CBA74A0-685B-4072-9957-6DB56726DC2D}"/>
    <cellStyle name="Note 2 2 10 3" xfId="11261" xr:uid="{013B8178-2DA8-46D6-B759-EEB52D4574D4}"/>
    <cellStyle name="Note 2 2 11" xfId="4905" xr:uid="{00000000-0005-0000-0000-000093200000}"/>
    <cellStyle name="Note 2 2 11 2" xfId="13334" xr:uid="{336CD057-70A1-4888-A816-28639106ECBF}"/>
    <cellStyle name="Note 2 2 12" xfId="9116" xr:uid="{7F28F99F-2AF9-4CD3-AE95-12F4A925D6CD}"/>
    <cellStyle name="Note 2 2 2" xfId="547" xr:uid="{00000000-0005-0000-0000-000094200000}"/>
    <cellStyle name="Note 2 2 2 10" xfId="4906" xr:uid="{00000000-0005-0000-0000-000095200000}"/>
    <cellStyle name="Note 2 2 2 10 2" xfId="13335" xr:uid="{96C73E51-ED92-4007-A29E-CFF820E0F662}"/>
    <cellStyle name="Note 2 2 2 11" xfId="9117" xr:uid="{F0EB4D45-7415-4738-9C34-0F59E3F76953}"/>
    <cellStyle name="Note 2 2 2 2" xfId="548" xr:uid="{00000000-0005-0000-0000-000096200000}"/>
    <cellStyle name="Note 2 2 2 2 10" xfId="9118" xr:uid="{9E6DEF61-6409-4695-8A58-BB1AC1763C8C}"/>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A78D2AD8-F4B0-46C7-85F8-2BEC127DB20C}"/>
    <cellStyle name="Note 2 2 2 2 2 2 3" xfId="11676" xr:uid="{6D5F2D71-DAA4-4858-A03A-413DF04AA3F6}"/>
    <cellStyle name="Note 2 2 2 2 2 3" xfId="5320" xr:uid="{00000000-0005-0000-0000-00009A200000}"/>
    <cellStyle name="Note 2 2 2 2 2 3 2" xfId="13749" xr:uid="{058C0BC8-37D9-4123-89D6-29D8A1D9BF16}"/>
    <cellStyle name="Note 2 2 2 2 2 4" xfId="9531" xr:uid="{EAB6FE8B-08C6-4BFC-B0A3-7C647B325E8A}"/>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8DE538F5-B852-4497-A4E7-F0B98AB4B5D1}"/>
    <cellStyle name="Note 2 2 2 2 3 2 3" xfId="12089" xr:uid="{15D65C51-8FE9-4C33-B106-E40036329AD2}"/>
    <cellStyle name="Note 2 2 2 2 3 3" xfId="5733" xr:uid="{00000000-0005-0000-0000-00009E200000}"/>
    <cellStyle name="Note 2 2 2 2 3 3 2" xfId="14162" xr:uid="{0884C78B-A505-4640-991D-F8221A4F0916}"/>
    <cellStyle name="Note 2 2 2 2 3 4" xfId="9944" xr:uid="{45250816-8A35-4DBA-9B20-B87CA6798BBE}"/>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F4C42A49-B3C2-4D28-879A-A21594D6E794}"/>
    <cellStyle name="Note 2 2 2 2 4 2 3" xfId="12502" xr:uid="{8810A437-746B-4819-9F14-FE30454B0B36}"/>
    <cellStyle name="Note 2 2 2 2 4 3" xfId="6146" xr:uid="{00000000-0005-0000-0000-0000A2200000}"/>
    <cellStyle name="Note 2 2 2 2 4 3 2" xfId="14575" xr:uid="{68B32681-0804-4F6A-B1BC-45F6F7173A37}"/>
    <cellStyle name="Note 2 2 2 2 4 4" xfId="10357" xr:uid="{9E30C5BC-ECD4-4943-B72B-69C766F99701}"/>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E44817D9-B64E-4F21-92F9-CDB2C3227267}"/>
    <cellStyle name="Note 2 2 2 2 5 2 3" xfId="12915" xr:uid="{C6DF9D59-22BE-48C3-A531-01572832CCA8}"/>
    <cellStyle name="Note 2 2 2 2 5 3" xfId="6559" xr:uid="{00000000-0005-0000-0000-0000A6200000}"/>
    <cellStyle name="Note 2 2 2 2 5 3 2" xfId="14988" xr:uid="{9DDDBA35-C8B9-4435-B60E-454B05BAC1ED}"/>
    <cellStyle name="Note 2 2 2 2 5 4" xfId="10770" xr:uid="{E412284B-E68D-4BD5-8D22-4E9DAF569F00}"/>
    <cellStyle name="Note 2 2 2 2 6" xfId="2687" xr:uid="{00000000-0005-0000-0000-0000A7200000}"/>
    <cellStyle name="Note 2 2 2 2 6 2" xfId="6972" xr:uid="{00000000-0005-0000-0000-0000A8200000}"/>
    <cellStyle name="Note 2 2 2 2 6 2 2" xfId="15401" xr:uid="{0AE3FB8D-EE69-4ACA-A756-0336578B9BA3}"/>
    <cellStyle name="Note 2 2 2 2 6 3" xfId="11183" xr:uid="{7FAE0D3E-4443-4C25-B34C-BBED79F712DB}"/>
    <cellStyle name="Note 2 2 2 2 7" xfId="2746" xr:uid="{00000000-0005-0000-0000-0000A9200000}"/>
    <cellStyle name="Note 2 2 2 2 8" xfId="2827" xr:uid="{00000000-0005-0000-0000-0000AA200000}"/>
    <cellStyle name="Note 2 2 2 2 8 2" xfId="7052" xr:uid="{00000000-0005-0000-0000-0000AB200000}"/>
    <cellStyle name="Note 2 2 2 2 8 2 2" xfId="15481" xr:uid="{C4E57FF7-1CA4-4BD5-B023-C3B5EAF176CD}"/>
    <cellStyle name="Note 2 2 2 2 8 3" xfId="11263" xr:uid="{7A6D5369-D480-48D8-98E0-7A89F9E80B7C}"/>
    <cellStyle name="Note 2 2 2 2 9" xfId="4907" xr:uid="{00000000-0005-0000-0000-0000AC200000}"/>
    <cellStyle name="Note 2 2 2 2 9 2" xfId="13336" xr:uid="{65691C32-BA7B-4CB3-B19F-233293FBD2AA}"/>
    <cellStyle name="Note 2 2 2 3" xfId="1008" xr:uid="{00000000-0005-0000-0000-0000AD200000}"/>
    <cellStyle name="Note 2 2 2 3 2" xfId="3240" xr:uid="{00000000-0005-0000-0000-0000AE200000}"/>
    <cellStyle name="Note 2 2 2 3 2 2" xfId="7464" xr:uid="{00000000-0005-0000-0000-0000AF200000}"/>
    <cellStyle name="Note 2 2 2 3 2 2 2" xfId="15893" xr:uid="{DC9BCA91-9AEC-4BEE-B16E-A19B4EF286AC}"/>
    <cellStyle name="Note 2 2 2 3 2 3" xfId="11675" xr:uid="{D25CEEE9-8DCA-4D7D-8E07-9E33866FB723}"/>
    <cellStyle name="Note 2 2 2 3 3" xfId="5319" xr:uid="{00000000-0005-0000-0000-0000B0200000}"/>
    <cellStyle name="Note 2 2 2 3 3 2" xfId="13748" xr:uid="{ACBE2665-8C5F-4DD5-9F61-69723CD1FDFF}"/>
    <cellStyle name="Note 2 2 2 3 4" xfId="9530" xr:uid="{1CD69F0F-DD38-48E8-B2F4-0ABA4A95231C}"/>
    <cellStyle name="Note 2 2 2 4" xfId="1423" xr:uid="{00000000-0005-0000-0000-0000B1200000}"/>
    <cellStyle name="Note 2 2 2 4 2" xfId="3653" xr:uid="{00000000-0005-0000-0000-0000B2200000}"/>
    <cellStyle name="Note 2 2 2 4 2 2" xfId="7877" xr:uid="{00000000-0005-0000-0000-0000B3200000}"/>
    <cellStyle name="Note 2 2 2 4 2 2 2" xfId="16306" xr:uid="{48E66259-3CFA-4635-B44C-9DA9A7998B12}"/>
    <cellStyle name="Note 2 2 2 4 2 3" xfId="12088" xr:uid="{04500201-1FAF-42BE-ADCD-56367191239D}"/>
    <cellStyle name="Note 2 2 2 4 3" xfId="5732" xr:uid="{00000000-0005-0000-0000-0000B4200000}"/>
    <cellStyle name="Note 2 2 2 4 3 2" xfId="14161" xr:uid="{31893D11-19FE-41DA-A4C7-1989B8843BDA}"/>
    <cellStyle name="Note 2 2 2 4 4" xfId="9943" xr:uid="{44606077-9F33-46E0-910B-EAC5F9990195}"/>
    <cellStyle name="Note 2 2 2 5" xfId="1837" xr:uid="{00000000-0005-0000-0000-0000B5200000}"/>
    <cellStyle name="Note 2 2 2 5 2" xfId="4066" xr:uid="{00000000-0005-0000-0000-0000B6200000}"/>
    <cellStyle name="Note 2 2 2 5 2 2" xfId="8290" xr:uid="{00000000-0005-0000-0000-0000B7200000}"/>
    <cellStyle name="Note 2 2 2 5 2 2 2" xfId="16719" xr:uid="{DDEA9BE7-23CF-4783-B9FF-2D15D19BFCDF}"/>
    <cellStyle name="Note 2 2 2 5 2 3" xfId="12501" xr:uid="{3ADA7E46-0C8F-4C3E-A190-DE4E5AF8D1CA}"/>
    <cellStyle name="Note 2 2 2 5 3" xfId="6145" xr:uid="{00000000-0005-0000-0000-0000B8200000}"/>
    <cellStyle name="Note 2 2 2 5 3 2" xfId="14574" xr:uid="{401FCEEB-E591-4D6A-9DF5-9B4C74B8AD27}"/>
    <cellStyle name="Note 2 2 2 5 4" xfId="10356" xr:uid="{D7C57785-C40E-4E34-9E8B-89B5269B6A0B}"/>
    <cellStyle name="Note 2 2 2 6" xfId="2250" xr:uid="{00000000-0005-0000-0000-0000B9200000}"/>
    <cellStyle name="Note 2 2 2 6 2" xfId="4479" xr:uid="{00000000-0005-0000-0000-0000BA200000}"/>
    <cellStyle name="Note 2 2 2 6 2 2" xfId="8703" xr:uid="{00000000-0005-0000-0000-0000BB200000}"/>
    <cellStyle name="Note 2 2 2 6 2 2 2" xfId="17132" xr:uid="{A4B7AEDC-8C1B-4553-AC46-A4C040682ACF}"/>
    <cellStyle name="Note 2 2 2 6 2 3" xfId="12914" xr:uid="{EF75DC4A-3AAE-4260-BB74-97E2F8102B65}"/>
    <cellStyle name="Note 2 2 2 6 3" xfId="6558" xr:uid="{00000000-0005-0000-0000-0000BC200000}"/>
    <cellStyle name="Note 2 2 2 6 3 2" xfId="14987" xr:uid="{83953600-09BC-486C-B717-31260C8D0864}"/>
    <cellStyle name="Note 2 2 2 6 4" xfId="10769" xr:uid="{BD292B8C-3CF5-45A8-87BF-EF6806396826}"/>
    <cellStyle name="Note 2 2 2 7" xfId="2686" xr:uid="{00000000-0005-0000-0000-0000BD200000}"/>
    <cellStyle name="Note 2 2 2 7 2" xfId="6971" xr:uid="{00000000-0005-0000-0000-0000BE200000}"/>
    <cellStyle name="Note 2 2 2 7 2 2" xfId="15400" xr:uid="{7E939C7C-9A5B-4EFC-9C48-12AB0581B28D}"/>
    <cellStyle name="Note 2 2 2 7 3" xfId="11182" xr:uid="{5FEC74A0-B1AA-4118-ACAA-A6CEEF91D9BA}"/>
    <cellStyle name="Note 2 2 2 8" xfId="2745" xr:uid="{00000000-0005-0000-0000-0000BF200000}"/>
    <cellStyle name="Note 2 2 2 9" xfId="2826" xr:uid="{00000000-0005-0000-0000-0000C0200000}"/>
    <cellStyle name="Note 2 2 2 9 2" xfId="7051" xr:uid="{00000000-0005-0000-0000-0000C1200000}"/>
    <cellStyle name="Note 2 2 2 9 2 2" xfId="15480" xr:uid="{35AD79E0-F0AF-4CCB-BA19-70A274027581}"/>
    <cellStyle name="Note 2 2 2 9 3" xfId="11262" xr:uid="{6C4A194F-DF62-421A-A864-71BA1FF5604C}"/>
    <cellStyle name="Note 2 2 3" xfId="549" xr:uid="{00000000-0005-0000-0000-0000C2200000}"/>
    <cellStyle name="Note 2 2 3 10" xfId="9119" xr:uid="{F30BDF87-AE34-4827-93A0-6E7E5432C492}"/>
    <cellStyle name="Note 2 2 3 2" xfId="1010" xr:uid="{00000000-0005-0000-0000-0000C3200000}"/>
    <cellStyle name="Note 2 2 3 2 2" xfId="3242" xr:uid="{00000000-0005-0000-0000-0000C4200000}"/>
    <cellStyle name="Note 2 2 3 2 2 2" xfId="7466" xr:uid="{00000000-0005-0000-0000-0000C5200000}"/>
    <cellStyle name="Note 2 2 3 2 2 2 2" xfId="15895" xr:uid="{18785272-5F53-48E6-A5A1-1096146901A1}"/>
    <cellStyle name="Note 2 2 3 2 2 3" xfId="11677" xr:uid="{887FAB24-D551-4FA4-9AE9-ED14DBABE6BA}"/>
    <cellStyle name="Note 2 2 3 2 3" xfId="5321" xr:uid="{00000000-0005-0000-0000-0000C6200000}"/>
    <cellStyle name="Note 2 2 3 2 3 2" xfId="13750" xr:uid="{65E95E6F-9BFD-483F-96A5-66F1E1D09874}"/>
    <cellStyle name="Note 2 2 3 2 4" xfId="9532" xr:uid="{31594765-040A-498D-8F0D-4C61FA6F5FE0}"/>
    <cellStyle name="Note 2 2 3 3" xfId="1425" xr:uid="{00000000-0005-0000-0000-0000C7200000}"/>
    <cellStyle name="Note 2 2 3 3 2" xfId="3655" xr:uid="{00000000-0005-0000-0000-0000C8200000}"/>
    <cellStyle name="Note 2 2 3 3 2 2" xfId="7879" xr:uid="{00000000-0005-0000-0000-0000C9200000}"/>
    <cellStyle name="Note 2 2 3 3 2 2 2" xfId="16308" xr:uid="{47FDC001-EEA8-46FD-9FF0-4C1C9E72088B}"/>
    <cellStyle name="Note 2 2 3 3 2 3" xfId="12090" xr:uid="{CB784645-AE32-41B0-A3EC-B04FB3B3445E}"/>
    <cellStyle name="Note 2 2 3 3 3" xfId="5734" xr:uid="{00000000-0005-0000-0000-0000CA200000}"/>
    <cellStyle name="Note 2 2 3 3 3 2" xfId="14163" xr:uid="{A37E0117-2768-4C3D-95B5-EFA7C0C469D0}"/>
    <cellStyle name="Note 2 2 3 3 4" xfId="9945" xr:uid="{7E1335FA-40BA-4E83-A630-E37A65FF57D7}"/>
    <cellStyle name="Note 2 2 3 4" xfId="1839" xr:uid="{00000000-0005-0000-0000-0000CB200000}"/>
    <cellStyle name="Note 2 2 3 4 2" xfId="4068" xr:uid="{00000000-0005-0000-0000-0000CC200000}"/>
    <cellStyle name="Note 2 2 3 4 2 2" xfId="8292" xr:uid="{00000000-0005-0000-0000-0000CD200000}"/>
    <cellStyle name="Note 2 2 3 4 2 2 2" xfId="16721" xr:uid="{11E5014C-DD3B-4CF5-8D97-F8FCC235C162}"/>
    <cellStyle name="Note 2 2 3 4 2 3" xfId="12503" xr:uid="{3CE5ECC3-37E8-4A7D-9C15-149D70FFA0CC}"/>
    <cellStyle name="Note 2 2 3 4 3" xfId="6147" xr:uid="{00000000-0005-0000-0000-0000CE200000}"/>
    <cellStyle name="Note 2 2 3 4 3 2" xfId="14576" xr:uid="{0255FAEC-BC4E-492B-88ED-BFC1654136A4}"/>
    <cellStyle name="Note 2 2 3 4 4" xfId="10358" xr:uid="{7E7DEB53-754F-4FA2-8F21-5A37FBF60E47}"/>
    <cellStyle name="Note 2 2 3 5" xfId="2252" xr:uid="{00000000-0005-0000-0000-0000CF200000}"/>
    <cellStyle name="Note 2 2 3 5 2" xfId="4481" xr:uid="{00000000-0005-0000-0000-0000D0200000}"/>
    <cellStyle name="Note 2 2 3 5 2 2" xfId="8705" xr:uid="{00000000-0005-0000-0000-0000D1200000}"/>
    <cellStyle name="Note 2 2 3 5 2 2 2" xfId="17134" xr:uid="{D32948B3-F028-42BB-AB98-3FFAD0E7298B}"/>
    <cellStyle name="Note 2 2 3 5 2 3" xfId="12916" xr:uid="{2898F559-2269-451D-9783-54B2C3F88BD9}"/>
    <cellStyle name="Note 2 2 3 5 3" xfId="6560" xr:uid="{00000000-0005-0000-0000-0000D2200000}"/>
    <cellStyle name="Note 2 2 3 5 3 2" xfId="14989" xr:uid="{CDD07CA2-14D9-4875-B517-272781CB1062}"/>
    <cellStyle name="Note 2 2 3 5 4" xfId="10771" xr:uid="{EA184F82-DF81-41F0-BB4B-26013252AF47}"/>
    <cellStyle name="Note 2 2 3 6" xfId="2688" xr:uid="{00000000-0005-0000-0000-0000D3200000}"/>
    <cellStyle name="Note 2 2 3 6 2" xfId="6973" xr:uid="{00000000-0005-0000-0000-0000D4200000}"/>
    <cellStyle name="Note 2 2 3 6 2 2" xfId="15402" xr:uid="{2BE5B6D3-0106-4D38-B88A-DDB52CF3DB91}"/>
    <cellStyle name="Note 2 2 3 6 3" xfId="11184" xr:uid="{F7DBD73A-9763-4166-A45F-878188A238E5}"/>
    <cellStyle name="Note 2 2 3 7" xfId="2747" xr:uid="{00000000-0005-0000-0000-0000D5200000}"/>
    <cellStyle name="Note 2 2 3 8" xfId="2828" xr:uid="{00000000-0005-0000-0000-0000D6200000}"/>
    <cellStyle name="Note 2 2 3 8 2" xfId="7053" xr:uid="{00000000-0005-0000-0000-0000D7200000}"/>
    <cellStyle name="Note 2 2 3 8 2 2" xfId="15482" xr:uid="{E4E9933D-C58F-43E0-A408-EC5AD815013A}"/>
    <cellStyle name="Note 2 2 3 8 3" xfId="11264" xr:uid="{0B9B6137-A33E-4344-85F5-A14F26E9EE6E}"/>
    <cellStyle name="Note 2 2 3 9" xfId="4908" xr:uid="{00000000-0005-0000-0000-0000D8200000}"/>
    <cellStyle name="Note 2 2 3 9 2" xfId="13337" xr:uid="{CB0D4F19-98CA-4F67-9E80-4D6D92C002A9}"/>
    <cellStyle name="Note 2 2 4" xfId="1007" xr:uid="{00000000-0005-0000-0000-0000D9200000}"/>
    <cellStyle name="Note 2 2 4 2" xfId="3239" xr:uid="{00000000-0005-0000-0000-0000DA200000}"/>
    <cellStyle name="Note 2 2 4 2 2" xfId="7463" xr:uid="{00000000-0005-0000-0000-0000DB200000}"/>
    <cellStyle name="Note 2 2 4 2 2 2" xfId="15892" xr:uid="{FA41E643-FEBB-4058-AB5C-D2A2EC7E7E9C}"/>
    <cellStyle name="Note 2 2 4 2 3" xfId="11674" xr:uid="{8A56C77F-0183-482A-AF03-8B206DA0F4F9}"/>
    <cellStyle name="Note 2 2 4 3" xfId="5318" xr:uid="{00000000-0005-0000-0000-0000DC200000}"/>
    <cellStyle name="Note 2 2 4 3 2" xfId="13747" xr:uid="{97AF282C-E6FF-4F06-BC66-078C91B8F24F}"/>
    <cellStyle name="Note 2 2 4 4" xfId="9529" xr:uid="{349FB340-8B32-42EB-8CD4-BB534DEA51AC}"/>
    <cellStyle name="Note 2 2 5" xfId="1422" xr:uid="{00000000-0005-0000-0000-0000DD200000}"/>
    <cellStyle name="Note 2 2 5 2" xfId="3652" xr:uid="{00000000-0005-0000-0000-0000DE200000}"/>
    <cellStyle name="Note 2 2 5 2 2" xfId="7876" xr:uid="{00000000-0005-0000-0000-0000DF200000}"/>
    <cellStyle name="Note 2 2 5 2 2 2" xfId="16305" xr:uid="{1C346476-5A1B-42BD-A0FB-074B31E99B38}"/>
    <cellStyle name="Note 2 2 5 2 3" xfId="12087" xr:uid="{E0BC1DCF-6C3A-4D03-B4B7-E170F169F851}"/>
    <cellStyle name="Note 2 2 5 3" xfId="5731" xr:uid="{00000000-0005-0000-0000-0000E0200000}"/>
    <cellStyle name="Note 2 2 5 3 2" xfId="14160" xr:uid="{A5B74F36-79E4-4C2A-AFA4-929513FCB0C8}"/>
    <cellStyle name="Note 2 2 5 4" xfId="9942" xr:uid="{455C688C-6E8E-4432-863A-2820BE85B92E}"/>
    <cellStyle name="Note 2 2 6" xfId="1836" xr:uid="{00000000-0005-0000-0000-0000E1200000}"/>
    <cellStyle name="Note 2 2 6 2" xfId="4065" xr:uid="{00000000-0005-0000-0000-0000E2200000}"/>
    <cellStyle name="Note 2 2 6 2 2" xfId="8289" xr:uid="{00000000-0005-0000-0000-0000E3200000}"/>
    <cellStyle name="Note 2 2 6 2 2 2" xfId="16718" xr:uid="{CCA3E321-E4EA-4453-9304-CEE82502C534}"/>
    <cellStyle name="Note 2 2 6 2 3" xfId="12500" xr:uid="{BB172D18-8CE6-44B8-A233-98A390DCA64A}"/>
    <cellStyle name="Note 2 2 6 3" xfId="6144" xr:uid="{00000000-0005-0000-0000-0000E4200000}"/>
    <cellStyle name="Note 2 2 6 3 2" xfId="14573" xr:uid="{F288C5DB-1C13-49E3-B2E5-A614D7FB8D84}"/>
    <cellStyle name="Note 2 2 6 4" xfId="10355" xr:uid="{69C9BBD2-6584-46FC-BC91-F1BE63E840D9}"/>
    <cellStyle name="Note 2 2 7" xfId="2249" xr:uid="{00000000-0005-0000-0000-0000E5200000}"/>
    <cellStyle name="Note 2 2 7 2" xfId="4478" xr:uid="{00000000-0005-0000-0000-0000E6200000}"/>
    <cellStyle name="Note 2 2 7 2 2" xfId="8702" xr:uid="{00000000-0005-0000-0000-0000E7200000}"/>
    <cellStyle name="Note 2 2 7 2 2 2" xfId="17131" xr:uid="{BE60C9D5-0984-40C6-85C4-2A30CF348477}"/>
    <cellStyle name="Note 2 2 7 2 3" xfId="12913" xr:uid="{74CA823E-E472-4C91-9C44-33357DCEFA41}"/>
    <cellStyle name="Note 2 2 7 3" xfId="6557" xr:uid="{00000000-0005-0000-0000-0000E8200000}"/>
    <cellStyle name="Note 2 2 7 3 2" xfId="14986" xr:uid="{DDCD9C21-5E20-4B65-8B5E-55641DFF02B4}"/>
    <cellStyle name="Note 2 2 7 4" xfId="10768" xr:uid="{056FD2F8-CB38-4256-8292-066C6E477BE0}"/>
    <cellStyle name="Note 2 2 8" xfId="2685" xr:uid="{00000000-0005-0000-0000-0000E9200000}"/>
    <cellStyle name="Note 2 2 8 2" xfId="6970" xr:uid="{00000000-0005-0000-0000-0000EA200000}"/>
    <cellStyle name="Note 2 2 8 2 2" xfId="15399" xr:uid="{541DED11-9B2A-4059-ACB4-152D7020579E}"/>
    <cellStyle name="Note 2 2 8 3" xfId="11181" xr:uid="{DD8C6A3B-BD44-40BE-8A93-4CBBD2B857AA}"/>
    <cellStyle name="Note 2 2 9" xfId="2744" xr:uid="{00000000-0005-0000-0000-0000EB200000}"/>
    <cellStyle name="Note 2 3" xfId="550" xr:uid="{00000000-0005-0000-0000-0000EC200000}"/>
    <cellStyle name="Note 2 3 10" xfId="4909" xr:uid="{00000000-0005-0000-0000-0000ED200000}"/>
    <cellStyle name="Note 2 3 10 2" xfId="13338" xr:uid="{D4A9F637-943C-4564-9725-916AE68FB1DC}"/>
    <cellStyle name="Note 2 3 11" xfId="9120" xr:uid="{2A9561F3-C083-44C5-89EB-028F99C502A1}"/>
    <cellStyle name="Note 2 3 2" xfId="551" xr:uid="{00000000-0005-0000-0000-0000EE200000}"/>
    <cellStyle name="Note 2 3 2 10" xfId="9121" xr:uid="{B8F29DA3-394A-4CD2-84FB-C84AB55F289D}"/>
    <cellStyle name="Note 2 3 2 2" xfId="1012" xr:uid="{00000000-0005-0000-0000-0000EF200000}"/>
    <cellStyle name="Note 2 3 2 2 2" xfId="3244" xr:uid="{00000000-0005-0000-0000-0000F0200000}"/>
    <cellStyle name="Note 2 3 2 2 2 2" xfId="7468" xr:uid="{00000000-0005-0000-0000-0000F1200000}"/>
    <cellStyle name="Note 2 3 2 2 2 2 2" xfId="15897" xr:uid="{E9A5B7A4-5746-4BA2-B18E-6F685E2806BB}"/>
    <cellStyle name="Note 2 3 2 2 2 3" xfId="11679" xr:uid="{13972CC7-C640-4C0E-BF03-34336E34EF30}"/>
    <cellStyle name="Note 2 3 2 2 3" xfId="5323" xr:uid="{00000000-0005-0000-0000-0000F2200000}"/>
    <cellStyle name="Note 2 3 2 2 3 2" xfId="13752" xr:uid="{BFA1FA78-C67D-4BCD-A70B-18C983D2A18B}"/>
    <cellStyle name="Note 2 3 2 2 4" xfId="9534" xr:uid="{C318787B-0CBB-447D-ADC7-4DA645CAC162}"/>
    <cellStyle name="Note 2 3 2 3" xfId="1427" xr:uid="{00000000-0005-0000-0000-0000F3200000}"/>
    <cellStyle name="Note 2 3 2 3 2" xfId="3657" xr:uid="{00000000-0005-0000-0000-0000F4200000}"/>
    <cellStyle name="Note 2 3 2 3 2 2" xfId="7881" xr:uid="{00000000-0005-0000-0000-0000F5200000}"/>
    <cellStyle name="Note 2 3 2 3 2 2 2" xfId="16310" xr:uid="{1EC20F87-209C-4CC2-8938-EF3087559F4F}"/>
    <cellStyle name="Note 2 3 2 3 2 3" xfId="12092" xr:uid="{23C3C521-593F-4F53-BCDC-BEDE2A5384E1}"/>
    <cellStyle name="Note 2 3 2 3 3" xfId="5736" xr:uid="{00000000-0005-0000-0000-0000F6200000}"/>
    <cellStyle name="Note 2 3 2 3 3 2" xfId="14165" xr:uid="{10142CF8-C6BE-4B0F-8308-858BC12CF0AA}"/>
    <cellStyle name="Note 2 3 2 3 4" xfId="9947" xr:uid="{550CE452-7816-4641-AEB3-378C7142BE53}"/>
    <cellStyle name="Note 2 3 2 4" xfId="1841" xr:uid="{00000000-0005-0000-0000-0000F7200000}"/>
    <cellStyle name="Note 2 3 2 4 2" xfId="4070" xr:uid="{00000000-0005-0000-0000-0000F8200000}"/>
    <cellStyle name="Note 2 3 2 4 2 2" xfId="8294" xr:uid="{00000000-0005-0000-0000-0000F9200000}"/>
    <cellStyle name="Note 2 3 2 4 2 2 2" xfId="16723" xr:uid="{4F7A4F2A-6D6E-437C-AB7F-65924F21BD68}"/>
    <cellStyle name="Note 2 3 2 4 2 3" xfId="12505" xr:uid="{20092387-5010-4B80-A5AF-A151E78C30A0}"/>
    <cellStyle name="Note 2 3 2 4 3" xfId="6149" xr:uid="{00000000-0005-0000-0000-0000FA200000}"/>
    <cellStyle name="Note 2 3 2 4 3 2" xfId="14578" xr:uid="{D39214A6-90E4-49AE-8EBD-5E3F31BEC73A}"/>
    <cellStyle name="Note 2 3 2 4 4" xfId="10360" xr:uid="{B9ECEE73-4E5F-4428-ADB4-74AF39E6A8FE}"/>
    <cellStyle name="Note 2 3 2 5" xfId="2254" xr:uid="{00000000-0005-0000-0000-0000FB200000}"/>
    <cellStyle name="Note 2 3 2 5 2" xfId="4483" xr:uid="{00000000-0005-0000-0000-0000FC200000}"/>
    <cellStyle name="Note 2 3 2 5 2 2" xfId="8707" xr:uid="{00000000-0005-0000-0000-0000FD200000}"/>
    <cellStyle name="Note 2 3 2 5 2 2 2" xfId="17136" xr:uid="{AE22E9B9-8C43-4A69-88DF-265091254080}"/>
    <cellStyle name="Note 2 3 2 5 2 3" xfId="12918" xr:uid="{814A898A-0613-4994-9029-345D8EEFD26F}"/>
    <cellStyle name="Note 2 3 2 5 3" xfId="6562" xr:uid="{00000000-0005-0000-0000-0000FE200000}"/>
    <cellStyle name="Note 2 3 2 5 3 2" xfId="14991" xr:uid="{C9107104-8871-4BAF-998A-F949FA0EF84D}"/>
    <cellStyle name="Note 2 3 2 5 4" xfId="10773" xr:uid="{11EE9FCC-7CC9-45DB-9B75-1AFCA52C7F04}"/>
    <cellStyle name="Note 2 3 2 6" xfId="2690" xr:uid="{00000000-0005-0000-0000-0000FF200000}"/>
    <cellStyle name="Note 2 3 2 6 2" xfId="6975" xr:uid="{00000000-0005-0000-0000-000000210000}"/>
    <cellStyle name="Note 2 3 2 6 2 2" xfId="15404" xr:uid="{E0F1C828-BB2F-4E23-85C3-4681C4ADDAE1}"/>
    <cellStyle name="Note 2 3 2 6 3" xfId="11186" xr:uid="{F36534A2-8804-4DA2-BE9D-A5F7F81DA735}"/>
    <cellStyle name="Note 2 3 2 7" xfId="2749" xr:uid="{00000000-0005-0000-0000-000001210000}"/>
    <cellStyle name="Note 2 3 2 8" xfId="2830" xr:uid="{00000000-0005-0000-0000-000002210000}"/>
    <cellStyle name="Note 2 3 2 8 2" xfId="7055" xr:uid="{00000000-0005-0000-0000-000003210000}"/>
    <cellStyle name="Note 2 3 2 8 2 2" xfId="15484" xr:uid="{B7558F76-9163-4793-BBE9-84490B058AE2}"/>
    <cellStyle name="Note 2 3 2 8 3" xfId="11266" xr:uid="{5EF4A3C1-D06D-4561-A5FF-4A358FFC48ED}"/>
    <cellStyle name="Note 2 3 2 9" xfId="4910" xr:uid="{00000000-0005-0000-0000-000004210000}"/>
    <cellStyle name="Note 2 3 2 9 2" xfId="13339" xr:uid="{8B5B33B6-3700-4AB9-9739-C5927164AF7C}"/>
    <cellStyle name="Note 2 3 3" xfId="1011" xr:uid="{00000000-0005-0000-0000-000005210000}"/>
    <cellStyle name="Note 2 3 3 2" xfId="3243" xr:uid="{00000000-0005-0000-0000-000006210000}"/>
    <cellStyle name="Note 2 3 3 2 2" xfId="7467" xr:uid="{00000000-0005-0000-0000-000007210000}"/>
    <cellStyle name="Note 2 3 3 2 2 2" xfId="15896" xr:uid="{87F6FDB7-218D-492E-BA16-044282288F90}"/>
    <cellStyle name="Note 2 3 3 2 3" xfId="11678" xr:uid="{439FDE20-0DF2-41A0-A795-382421771704}"/>
    <cellStyle name="Note 2 3 3 3" xfId="5322" xr:uid="{00000000-0005-0000-0000-000008210000}"/>
    <cellStyle name="Note 2 3 3 3 2" xfId="13751" xr:uid="{8B94D070-5332-4BB5-949A-C4FAE4A7DAE6}"/>
    <cellStyle name="Note 2 3 3 4" xfId="9533" xr:uid="{9B82E17D-4A9A-42A8-9FCA-F8071FC4F883}"/>
    <cellStyle name="Note 2 3 4" xfId="1426" xr:uid="{00000000-0005-0000-0000-000009210000}"/>
    <cellStyle name="Note 2 3 4 2" xfId="3656" xr:uid="{00000000-0005-0000-0000-00000A210000}"/>
    <cellStyle name="Note 2 3 4 2 2" xfId="7880" xr:uid="{00000000-0005-0000-0000-00000B210000}"/>
    <cellStyle name="Note 2 3 4 2 2 2" xfId="16309" xr:uid="{BEBB9FBB-FAA2-408E-A1F8-8A30F548A933}"/>
    <cellStyle name="Note 2 3 4 2 3" xfId="12091" xr:uid="{FC55E089-DE01-4912-90ED-0033A0745FD6}"/>
    <cellStyle name="Note 2 3 4 3" xfId="5735" xr:uid="{00000000-0005-0000-0000-00000C210000}"/>
    <cellStyle name="Note 2 3 4 3 2" xfId="14164" xr:uid="{1685D4EB-E6DE-4EF7-8FFA-86EA9F27595B}"/>
    <cellStyle name="Note 2 3 4 4" xfId="9946" xr:uid="{CDD1EF5F-7B56-4D4B-9CE4-C3EF206A3325}"/>
    <cellStyle name="Note 2 3 5" xfId="1840" xr:uid="{00000000-0005-0000-0000-00000D210000}"/>
    <cellStyle name="Note 2 3 5 2" xfId="4069" xr:uid="{00000000-0005-0000-0000-00000E210000}"/>
    <cellStyle name="Note 2 3 5 2 2" xfId="8293" xr:uid="{00000000-0005-0000-0000-00000F210000}"/>
    <cellStyle name="Note 2 3 5 2 2 2" xfId="16722" xr:uid="{4213B545-D678-4DCF-94A6-CF5E0E357B72}"/>
    <cellStyle name="Note 2 3 5 2 3" xfId="12504" xr:uid="{08E9AC8D-FE8A-4B7B-B7E1-F49F81D6694E}"/>
    <cellStyle name="Note 2 3 5 3" xfId="6148" xr:uid="{00000000-0005-0000-0000-000010210000}"/>
    <cellStyle name="Note 2 3 5 3 2" xfId="14577" xr:uid="{57698EED-0ACB-4E83-84F6-9705118B70A4}"/>
    <cellStyle name="Note 2 3 5 4" xfId="10359" xr:uid="{AB2C8D46-5715-44AF-8E34-AA8238EB6F46}"/>
    <cellStyle name="Note 2 3 6" xfId="2253" xr:uid="{00000000-0005-0000-0000-000011210000}"/>
    <cellStyle name="Note 2 3 6 2" xfId="4482" xr:uid="{00000000-0005-0000-0000-000012210000}"/>
    <cellStyle name="Note 2 3 6 2 2" xfId="8706" xr:uid="{00000000-0005-0000-0000-000013210000}"/>
    <cellStyle name="Note 2 3 6 2 2 2" xfId="17135" xr:uid="{4029ADC3-D90D-4130-9BFB-AF3708DDC2FC}"/>
    <cellStyle name="Note 2 3 6 2 3" xfId="12917" xr:uid="{6A9560A1-54D4-4BC8-B7DC-089654B5CA03}"/>
    <cellStyle name="Note 2 3 6 3" xfId="6561" xr:uid="{00000000-0005-0000-0000-000014210000}"/>
    <cellStyle name="Note 2 3 6 3 2" xfId="14990" xr:uid="{C4A685F6-CA33-47D9-9E98-AD3FE0BE67C3}"/>
    <cellStyle name="Note 2 3 6 4" xfId="10772" xr:uid="{9F20B1F7-4F14-42D8-BEA9-A822C2C9B961}"/>
    <cellStyle name="Note 2 3 7" xfId="2689" xr:uid="{00000000-0005-0000-0000-000015210000}"/>
    <cellStyle name="Note 2 3 7 2" xfId="6974" xr:uid="{00000000-0005-0000-0000-000016210000}"/>
    <cellStyle name="Note 2 3 7 2 2" xfId="15403" xr:uid="{46DAF2A9-F1A2-46B5-9F70-3B6CE0433199}"/>
    <cellStyle name="Note 2 3 7 3" xfId="11185" xr:uid="{6F96834A-1322-4E81-AE8B-769DADF8094D}"/>
    <cellStyle name="Note 2 3 8" xfId="2748" xr:uid="{00000000-0005-0000-0000-000017210000}"/>
    <cellStyle name="Note 2 3 9" xfId="2829" xr:uid="{00000000-0005-0000-0000-000018210000}"/>
    <cellStyle name="Note 2 3 9 2" xfId="7054" xr:uid="{00000000-0005-0000-0000-000019210000}"/>
    <cellStyle name="Note 2 3 9 2 2" xfId="15483" xr:uid="{232C7DD8-6BC7-4609-9DF4-D2D78815B4F0}"/>
    <cellStyle name="Note 2 3 9 3" xfId="11265" xr:uid="{D4AB3935-4B2E-424B-AE61-59F9F16899E2}"/>
    <cellStyle name="Note 2 4" xfId="552" xr:uid="{00000000-0005-0000-0000-00001A210000}"/>
    <cellStyle name="Note 2 4 10" xfId="9122" xr:uid="{18DA7495-B1E8-4881-B2DE-C1FF0B8D7F1B}"/>
    <cellStyle name="Note 2 4 2" xfId="1013" xr:uid="{00000000-0005-0000-0000-00001B210000}"/>
    <cellStyle name="Note 2 4 2 2" xfId="3245" xr:uid="{00000000-0005-0000-0000-00001C210000}"/>
    <cellStyle name="Note 2 4 2 2 2" xfId="7469" xr:uid="{00000000-0005-0000-0000-00001D210000}"/>
    <cellStyle name="Note 2 4 2 2 2 2" xfId="15898" xr:uid="{ED58DE3A-3353-40E6-A1D2-93CE8A13D3D6}"/>
    <cellStyle name="Note 2 4 2 2 3" xfId="11680" xr:uid="{96F2D971-4405-4322-87B9-C2E5BC164034}"/>
    <cellStyle name="Note 2 4 2 3" xfId="5324" xr:uid="{00000000-0005-0000-0000-00001E210000}"/>
    <cellStyle name="Note 2 4 2 3 2" xfId="13753" xr:uid="{474B5FD2-53AE-406B-B526-DC09451C9DBA}"/>
    <cellStyle name="Note 2 4 2 4" xfId="9535" xr:uid="{061C8F35-DDC9-420A-9DAC-B825A4D176C5}"/>
    <cellStyle name="Note 2 4 3" xfId="1428" xr:uid="{00000000-0005-0000-0000-00001F210000}"/>
    <cellStyle name="Note 2 4 3 2" xfId="3658" xr:uid="{00000000-0005-0000-0000-000020210000}"/>
    <cellStyle name="Note 2 4 3 2 2" xfId="7882" xr:uid="{00000000-0005-0000-0000-000021210000}"/>
    <cellStyle name="Note 2 4 3 2 2 2" xfId="16311" xr:uid="{CB2FAB1D-8E05-4F09-A659-107EBC730CA7}"/>
    <cellStyle name="Note 2 4 3 2 3" xfId="12093" xr:uid="{3514DE4C-8058-49DE-A028-968C4A46656E}"/>
    <cellStyle name="Note 2 4 3 3" xfId="5737" xr:uid="{00000000-0005-0000-0000-000022210000}"/>
    <cellStyle name="Note 2 4 3 3 2" xfId="14166" xr:uid="{46A691FE-E237-418A-B1C9-795342041109}"/>
    <cellStyle name="Note 2 4 3 4" xfId="9948" xr:uid="{D46580A7-2525-4195-B8F5-3CCE3F5C657C}"/>
    <cellStyle name="Note 2 4 4" xfId="1842" xr:uid="{00000000-0005-0000-0000-000023210000}"/>
    <cellStyle name="Note 2 4 4 2" xfId="4071" xr:uid="{00000000-0005-0000-0000-000024210000}"/>
    <cellStyle name="Note 2 4 4 2 2" xfId="8295" xr:uid="{00000000-0005-0000-0000-000025210000}"/>
    <cellStyle name="Note 2 4 4 2 2 2" xfId="16724" xr:uid="{B81B3581-E84A-46B3-B8E2-AB68A0F5C018}"/>
    <cellStyle name="Note 2 4 4 2 3" xfId="12506" xr:uid="{5FC040B4-9EFE-4506-9298-F0C0A34EDFDA}"/>
    <cellStyle name="Note 2 4 4 3" xfId="6150" xr:uid="{00000000-0005-0000-0000-000026210000}"/>
    <cellStyle name="Note 2 4 4 3 2" xfId="14579" xr:uid="{7051D099-7FF2-4165-89EF-87CE58FB1996}"/>
    <cellStyle name="Note 2 4 4 4" xfId="10361" xr:uid="{8DEE99EC-89A8-4E5A-9024-8179851A8BAE}"/>
    <cellStyle name="Note 2 4 5" xfId="2255" xr:uid="{00000000-0005-0000-0000-000027210000}"/>
    <cellStyle name="Note 2 4 5 2" xfId="4484" xr:uid="{00000000-0005-0000-0000-000028210000}"/>
    <cellStyle name="Note 2 4 5 2 2" xfId="8708" xr:uid="{00000000-0005-0000-0000-000029210000}"/>
    <cellStyle name="Note 2 4 5 2 2 2" xfId="17137" xr:uid="{C054DC0D-0625-4FE7-83E3-3669F70C6E8B}"/>
    <cellStyle name="Note 2 4 5 2 3" xfId="12919" xr:uid="{9250305E-100D-4D5A-9638-B42CED1EF500}"/>
    <cellStyle name="Note 2 4 5 3" xfId="6563" xr:uid="{00000000-0005-0000-0000-00002A210000}"/>
    <cellStyle name="Note 2 4 5 3 2" xfId="14992" xr:uid="{ABB8C5AF-4BC7-4792-9DF4-CE06D685C391}"/>
    <cellStyle name="Note 2 4 5 4" xfId="10774" xr:uid="{36685CEF-8BEA-4622-8F71-B97A81BEE0B6}"/>
    <cellStyle name="Note 2 4 6" xfId="2691" xr:uid="{00000000-0005-0000-0000-00002B210000}"/>
    <cellStyle name="Note 2 4 6 2" xfId="6976" xr:uid="{00000000-0005-0000-0000-00002C210000}"/>
    <cellStyle name="Note 2 4 6 2 2" xfId="15405" xr:uid="{2142A93E-2645-406A-9E3B-D41C6582B802}"/>
    <cellStyle name="Note 2 4 6 3" xfId="11187" xr:uid="{B654D57E-9732-4AA9-A983-C4C02A93769A}"/>
    <cellStyle name="Note 2 4 7" xfId="2750" xr:uid="{00000000-0005-0000-0000-00002D210000}"/>
    <cellStyle name="Note 2 4 8" xfId="2831" xr:uid="{00000000-0005-0000-0000-00002E210000}"/>
    <cellStyle name="Note 2 4 8 2" xfId="7056" xr:uid="{00000000-0005-0000-0000-00002F210000}"/>
    <cellStyle name="Note 2 4 8 2 2" xfId="15485" xr:uid="{6933A831-D686-4202-ABBC-A0AC3667CD30}"/>
    <cellStyle name="Note 2 4 8 3" xfId="11267" xr:uid="{D7807997-9CB4-491C-9752-B1ED20F0CD06}"/>
    <cellStyle name="Note 2 4 9" xfId="4911" xr:uid="{00000000-0005-0000-0000-000030210000}"/>
    <cellStyle name="Note 2 4 9 2" xfId="13340" xr:uid="{FD940E4C-EEC8-4F68-8F70-F687E53B3D52}"/>
    <cellStyle name="Note 2 5" xfId="553" xr:uid="{00000000-0005-0000-0000-000031210000}"/>
    <cellStyle name="Note 2 5 10" xfId="9123" xr:uid="{D283A4FB-1142-429C-8E2C-84931B5DA572}"/>
    <cellStyle name="Note 2 5 2" xfId="1014" xr:uid="{00000000-0005-0000-0000-000032210000}"/>
    <cellStyle name="Note 2 5 2 2" xfId="3246" xr:uid="{00000000-0005-0000-0000-000033210000}"/>
    <cellStyle name="Note 2 5 2 2 2" xfId="7470" xr:uid="{00000000-0005-0000-0000-000034210000}"/>
    <cellStyle name="Note 2 5 2 2 2 2" xfId="15899" xr:uid="{F7BBFD5B-5A62-437D-A83C-2E72BCCEE12A}"/>
    <cellStyle name="Note 2 5 2 2 3" xfId="11681" xr:uid="{357B9495-E854-488A-A045-80EA7CAE5FDE}"/>
    <cellStyle name="Note 2 5 2 3" xfId="5325" xr:uid="{00000000-0005-0000-0000-000035210000}"/>
    <cellStyle name="Note 2 5 2 3 2" xfId="13754" xr:uid="{9830D859-9643-4887-B122-36CD8F105601}"/>
    <cellStyle name="Note 2 5 2 4" xfId="9536" xr:uid="{1DD0A1B1-F4A8-4FED-B032-8B3AEA2D724D}"/>
    <cellStyle name="Note 2 5 3" xfId="1429" xr:uid="{00000000-0005-0000-0000-000036210000}"/>
    <cellStyle name="Note 2 5 3 2" xfId="3659" xr:uid="{00000000-0005-0000-0000-000037210000}"/>
    <cellStyle name="Note 2 5 3 2 2" xfId="7883" xr:uid="{00000000-0005-0000-0000-000038210000}"/>
    <cellStyle name="Note 2 5 3 2 2 2" xfId="16312" xr:uid="{3B060BB6-F89E-48FE-B841-463A4EE36058}"/>
    <cellStyle name="Note 2 5 3 2 3" xfId="12094" xr:uid="{32F1AE8B-E8E5-4C52-B652-BFFF4F57601B}"/>
    <cellStyle name="Note 2 5 3 3" xfId="5738" xr:uid="{00000000-0005-0000-0000-000039210000}"/>
    <cellStyle name="Note 2 5 3 3 2" xfId="14167" xr:uid="{BB70BD8D-C95F-4850-994D-BFF9DBB168A6}"/>
    <cellStyle name="Note 2 5 3 4" xfId="9949" xr:uid="{D49F350E-12EE-4B8A-B30F-472DEA7472E3}"/>
    <cellStyle name="Note 2 5 4" xfId="1843" xr:uid="{00000000-0005-0000-0000-00003A210000}"/>
    <cellStyle name="Note 2 5 4 2" xfId="4072" xr:uid="{00000000-0005-0000-0000-00003B210000}"/>
    <cellStyle name="Note 2 5 4 2 2" xfId="8296" xr:uid="{00000000-0005-0000-0000-00003C210000}"/>
    <cellStyle name="Note 2 5 4 2 2 2" xfId="16725" xr:uid="{39F8A3BA-100F-4C22-AEC3-8678BD672634}"/>
    <cellStyle name="Note 2 5 4 2 3" xfId="12507" xr:uid="{938E37A0-23E9-4C01-8EA4-1ED97D9EB4BD}"/>
    <cellStyle name="Note 2 5 4 3" xfId="6151" xr:uid="{00000000-0005-0000-0000-00003D210000}"/>
    <cellStyle name="Note 2 5 4 3 2" xfId="14580" xr:uid="{ABA4AC33-D09D-4769-A4E0-0089B50E6AAC}"/>
    <cellStyle name="Note 2 5 4 4" xfId="10362" xr:uid="{22CF9053-8E33-4DB7-A19B-F4186426FA35}"/>
    <cellStyle name="Note 2 5 5" xfId="2256" xr:uid="{00000000-0005-0000-0000-00003E210000}"/>
    <cellStyle name="Note 2 5 5 2" xfId="4485" xr:uid="{00000000-0005-0000-0000-00003F210000}"/>
    <cellStyle name="Note 2 5 5 2 2" xfId="8709" xr:uid="{00000000-0005-0000-0000-000040210000}"/>
    <cellStyle name="Note 2 5 5 2 2 2" xfId="17138" xr:uid="{7E5F5868-0DCD-456F-A64E-F513A573B223}"/>
    <cellStyle name="Note 2 5 5 2 3" xfId="12920" xr:uid="{06846921-3A4F-444C-86B4-45084BE7149C}"/>
    <cellStyle name="Note 2 5 5 3" xfId="6564" xr:uid="{00000000-0005-0000-0000-000041210000}"/>
    <cellStyle name="Note 2 5 5 3 2" xfId="14993" xr:uid="{6D9D5172-6C1B-429D-BBEA-E7D5B9C447EB}"/>
    <cellStyle name="Note 2 5 5 4" xfId="10775" xr:uid="{EB33AE30-7A18-4EFD-9328-565EE773467B}"/>
    <cellStyle name="Note 2 5 6" xfId="2692" xr:uid="{00000000-0005-0000-0000-000042210000}"/>
    <cellStyle name="Note 2 5 6 2" xfId="6977" xr:uid="{00000000-0005-0000-0000-000043210000}"/>
    <cellStyle name="Note 2 5 6 2 2" xfId="15406" xr:uid="{D38B17E7-813F-4124-8D98-FBACA34AAF9F}"/>
    <cellStyle name="Note 2 5 6 3" xfId="11188" xr:uid="{DBAC84C6-E5AA-4402-8A60-C56610BB5FA9}"/>
    <cellStyle name="Note 2 5 7" xfId="2751" xr:uid="{00000000-0005-0000-0000-000044210000}"/>
    <cellStyle name="Note 2 5 8" xfId="2832" xr:uid="{00000000-0005-0000-0000-000045210000}"/>
    <cellStyle name="Note 2 5 8 2" xfId="7057" xr:uid="{00000000-0005-0000-0000-000046210000}"/>
    <cellStyle name="Note 2 5 8 2 2" xfId="15486" xr:uid="{C9508BDC-0F9F-4660-B0C4-BD20D7A21449}"/>
    <cellStyle name="Note 2 5 8 3" xfId="11268" xr:uid="{8433B84D-4958-4E1C-A960-101F66E423D2}"/>
    <cellStyle name="Note 2 5 9" xfId="4912" xr:uid="{00000000-0005-0000-0000-000047210000}"/>
    <cellStyle name="Note 2 5 9 2" xfId="13341" xr:uid="{505FE1A2-4EE2-4723-AB4A-7C62212AD717}"/>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B548720B-9EE3-4A8E-BF1A-3A139E31B6DC}"/>
    <cellStyle name="Note 3 2 10 3" xfId="11269" xr:uid="{0CD19462-D7E2-4DEA-8327-F1F852E112A1}"/>
    <cellStyle name="Note 3 2 11" xfId="4913" xr:uid="{00000000-0005-0000-0000-00004C210000}"/>
    <cellStyle name="Note 3 2 11 2" xfId="13342" xr:uid="{860B0D94-1F95-4708-93CF-19AC62EE04C7}"/>
    <cellStyle name="Note 3 2 12" xfId="9124" xr:uid="{2FF52023-601E-433A-A8DB-F8015DB4F476}"/>
    <cellStyle name="Note 3 2 2" xfId="556" xr:uid="{00000000-0005-0000-0000-00004D210000}"/>
    <cellStyle name="Note 3 2 2 10" xfId="4914" xr:uid="{00000000-0005-0000-0000-00004E210000}"/>
    <cellStyle name="Note 3 2 2 10 2" xfId="13343" xr:uid="{87F4A435-F0CA-4B19-AC5E-C372E9B0E91B}"/>
    <cellStyle name="Note 3 2 2 11" xfId="9125" xr:uid="{41E21DD0-5C3A-4AE8-BFB3-B2071F28DCB2}"/>
    <cellStyle name="Note 3 2 2 2" xfId="557" xr:uid="{00000000-0005-0000-0000-00004F210000}"/>
    <cellStyle name="Note 3 2 2 2 10" xfId="9126" xr:uid="{CCD17780-E3B4-459C-AE35-9E6BDA42EEDF}"/>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4F0DDC21-A9E1-4570-B13A-1759E0255A5A}"/>
    <cellStyle name="Note 3 2 2 2 2 2 3" xfId="11684" xr:uid="{005EFB0C-A9B3-40B9-80B0-BD63375CB836}"/>
    <cellStyle name="Note 3 2 2 2 2 3" xfId="5328" xr:uid="{00000000-0005-0000-0000-000053210000}"/>
    <cellStyle name="Note 3 2 2 2 2 3 2" xfId="13757" xr:uid="{F7F298CF-78CD-4B76-8F03-651C0EB41373}"/>
    <cellStyle name="Note 3 2 2 2 2 4" xfId="9539" xr:uid="{C4681B49-874C-4DDB-B4B6-A9174DBA0D6F}"/>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89A06B65-804A-4D04-AE64-055108B93902}"/>
    <cellStyle name="Note 3 2 2 2 3 2 3" xfId="12097" xr:uid="{CA4D731C-CED9-4FC7-89CB-C5E869A1E63A}"/>
    <cellStyle name="Note 3 2 2 2 3 3" xfId="5741" xr:uid="{00000000-0005-0000-0000-000057210000}"/>
    <cellStyle name="Note 3 2 2 2 3 3 2" xfId="14170" xr:uid="{3ABA2850-ABA3-4557-9088-0681C99BB43A}"/>
    <cellStyle name="Note 3 2 2 2 3 4" xfId="9952" xr:uid="{8C9E7B16-B273-4050-B785-1A3CD9592176}"/>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3BE2F676-B77A-4EF2-BF76-F8E4559DCAD4}"/>
    <cellStyle name="Note 3 2 2 2 4 2 3" xfId="12510" xr:uid="{5A650985-D337-4A1E-837F-C4E89A774DFE}"/>
    <cellStyle name="Note 3 2 2 2 4 3" xfId="6154" xr:uid="{00000000-0005-0000-0000-00005B210000}"/>
    <cellStyle name="Note 3 2 2 2 4 3 2" xfId="14583" xr:uid="{BB059611-86F5-4E4C-999F-A0EE8DAEF66A}"/>
    <cellStyle name="Note 3 2 2 2 4 4" xfId="10365" xr:uid="{EEB49802-4C1E-43F6-9170-3226B1DA1C6B}"/>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319FBC84-EE20-4613-8ADB-D0CA45212D96}"/>
    <cellStyle name="Note 3 2 2 2 5 2 3" xfId="12923" xr:uid="{7F1810C0-B60B-4040-B46E-454A21660603}"/>
    <cellStyle name="Note 3 2 2 2 5 3" xfId="6567" xr:uid="{00000000-0005-0000-0000-00005F210000}"/>
    <cellStyle name="Note 3 2 2 2 5 3 2" xfId="14996" xr:uid="{40DB5A7D-0C2F-4159-8F25-D6720D80FCAD}"/>
    <cellStyle name="Note 3 2 2 2 5 4" xfId="10778" xr:uid="{F2D73CE7-CA23-4A22-8ED7-34A2C57DDB64}"/>
    <cellStyle name="Note 3 2 2 2 6" xfId="2695" xr:uid="{00000000-0005-0000-0000-000060210000}"/>
    <cellStyle name="Note 3 2 2 2 6 2" xfId="6980" xr:uid="{00000000-0005-0000-0000-000061210000}"/>
    <cellStyle name="Note 3 2 2 2 6 2 2" xfId="15409" xr:uid="{87259CF4-716C-4863-9FB8-DCFC313FEBD0}"/>
    <cellStyle name="Note 3 2 2 2 6 3" xfId="11191" xr:uid="{6A816D7D-B643-4A29-91BF-FFAD43FEA364}"/>
    <cellStyle name="Note 3 2 2 2 7" xfId="2754" xr:uid="{00000000-0005-0000-0000-000062210000}"/>
    <cellStyle name="Note 3 2 2 2 8" xfId="2835" xr:uid="{00000000-0005-0000-0000-000063210000}"/>
    <cellStyle name="Note 3 2 2 2 8 2" xfId="7060" xr:uid="{00000000-0005-0000-0000-000064210000}"/>
    <cellStyle name="Note 3 2 2 2 8 2 2" xfId="15489" xr:uid="{D046CC44-B5D1-4F46-925E-88D981379531}"/>
    <cellStyle name="Note 3 2 2 2 8 3" xfId="11271" xr:uid="{95E60DF4-545E-41B2-A83F-4DA17007BA80}"/>
    <cellStyle name="Note 3 2 2 2 9" xfId="4915" xr:uid="{00000000-0005-0000-0000-000065210000}"/>
    <cellStyle name="Note 3 2 2 2 9 2" xfId="13344" xr:uid="{79FAF618-0EE1-403B-8510-034BD0CCCD12}"/>
    <cellStyle name="Note 3 2 2 3" xfId="1016" xr:uid="{00000000-0005-0000-0000-000066210000}"/>
    <cellStyle name="Note 3 2 2 3 2" xfId="3248" xr:uid="{00000000-0005-0000-0000-000067210000}"/>
    <cellStyle name="Note 3 2 2 3 2 2" xfId="7472" xr:uid="{00000000-0005-0000-0000-000068210000}"/>
    <cellStyle name="Note 3 2 2 3 2 2 2" xfId="15901" xr:uid="{4FD59F96-97D7-46DB-8E51-CC5AC36ECA1E}"/>
    <cellStyle name="Note 3 2 2 3 2 3" xfId="11683" xr:uid="{F0A38D38-8B4C-4BDA-A302-DA898BEE35FC}"/>
    <cellStyle name="Note 3 2 2 3 3" xfId="5327" xr:uid="{00000000-0005-0000-0000-000069210000}"/>
    <cellStyle name="Note 3 2 2 3 3 2" xfId="13756" xr:uid="{5D5D905F-4CBB-40E5-AE10-4D6B392F12F2}"/>
    <cellStyle name="Note 3 2 2 3 4" xfId="9538" xr:uid="{F11D221D-0BD7-46BE-AFB0-5BB276D41F28}"/>
    <cellStyle name="Note 3 2 2 4" xfId="1431" xr:uid="{00000000-0005-0000-0000-00006A210000}"/>
    <cellStyle name="Note 3 2 2 4 2" xfId="3661" xr:uid="{00000000-0005-0000-0000-00006B210000}"/>
    <cellStyle name="Note 3 2 2 4 2 2" xfId="7885" xr:uid="{00000000-0005-0000-0000-00006C210000}"/>
    <cellStyle name="Note 3 2 2 4 2 2 2" xfId="16314" xr:uid="{800C58F8-DBD3-4C10-93F9-ADA5245EA5E7}"/>
    <cellStyle name="Note 3 2 2 4 2 3" xfId="12096" xr:uid="{90BB19B0-23E8-4011-94F4-7FE17ACE83A2}"/>
    <cellStyle name="Note 3 2 2 4 3" xfId="5740" xr:uid="{00000000-0005-0000-0000-00006D210000}"/>
    <cellStyle name="Note 3 2 2 4 3 2" xfId="14169" xr:uid="{D7B85BBE-EEDB-4236-ACF7-FD723CFABCEC}"/>
    <cellStyle name="Note 3 2 2 4 4" xfId="9951" xr:uid="{EDEB96CD-A46E-4D6A-B5A7-0B573B505DDE}"/>
    <cellStyle name="Note 3 2 2 5" xfId="1845" xr:uid="{00000000-0005-0000-0000-00006E210000}"/>
    <cellStyle name="Note 3 2 2 5 2" xfId="4074" xr:uid="{00000000-0005-0000-0000-00006F210000}"/>
    <cellStyle name="Note 3 2 2 5 2 2" xfId="8298" xr:uid="{00000000-0005-0000-0000-000070210000}"/>
    <cellStyle name="Note 3 2 2 5 2 2 2" xfId="16727" xr:uid="{CED52139-A88E-4B7B-B6BA-78DA50B6DD7D}"/>
    <cellStyle name="Note 3 2 2 5 2 3" xfId="12509" xr:uid="{B48ADACA-E74F-4A85-8FD6-9407E2768080}"/>
    <cellStyle name="Note 3 2 2 5 3" xfId="6153" xr:uid="{00000000-0005-0000-0000-000071210000}"/>
    <cellStyle name="Note 3 2 2 5 3 2" xfId="14582" xr:uid="{EA748C07-A288-4CB3-8A19-A3C9227ACED1}"/>
    <cellStyle name="Note 3 2 2 5 4" xfId="10364" xr:uid="{5C1C6566-DC6D-4082-8892-05B7AE294DF4}"/>
    <cellStyle name="Note 3 2 2 6" xfId="2258" xr:uid="{00000000-0005-0000-0000-000072210000}"/>
    <cellStyle name="Note 3 2 2 6 2" xfId="4487" xr:uid="{00000000-0005-0000-0000-000073210000}"/>
    <cellStyle name="Note 3 2 2 6 2 2" xfId="8711" xr:uid="{00000000-0005-0000-0000-000074210000}"/>
    <cellStyle name="Note 3 2 2 6 2 2 2" xfId="17140" xr:uid="{E1D905DF-37AB-45D8-9B09-AEEFE317470B}"/>
    <cellStyle name="Note 3 2 2 6 2 3" xfId="12922" xr:uid="{A084F536-39CA-488F-922B-2A9F7D720FE5}"/>
    <cellStyle name="Note 3 2 2 6 3" xfId="6566" xr:uid="{00000000-0005-0000-0000-000075210000}"/>
    <cellStyle name="Note 3 2 2 6 3 2" xfId="14995" xr:uid="{8E5FA3A3-6AEE-4E6E-9676-F50F41BF55A5}"/>
    <cellStyle name="Note 3 2 2 6 4" xfId="10777" xr:uid="{AD6D81C6-85CB-43F3-B1A2-763A0243A92F}"/>
    <cellStyle name="Note 3 2 2 7" xfId="2694" xr:uid="{00000000-0005-0000-0000-000076210000}"/>
    <cellStyle name="Note 3 2 2 7 2" xfId="6979" xr:uid="{00000000-0005-0000-0000-000077210000}"/>
    <cellStyle name="Note 3 2 2 7 2 2" xfId="15408" xr:uid="{018DF154-5A3D-4F93-90D4-E4FAD7A23930}"/>
    <cellStyle name="Note 3 2 2 7 3" xfId="11190" xr:uid="{2CB772AA-7E55-49D7-9861-A08751E1F7A8}"/>
    <cellStyle name="Note 3 2 2 8" xfId="2753" xr:uid="{00000000-0005-0000-0000-000078210000}"/>
    <cellStyle name="Note 3 2 2 9" xfId="2834" xr:uid="{00000000-0005-0000-0000-000079210000}"/>
    <cellStyle name="Note 3 2 2 9 2" xfId="7059" xr:uid="{00000000-0005-0000-0000-00007A210000}"/>
    <cellStyle name="Note 3 2 2 9 2 2" xfId="15488" xr:uid="{3CC6185B-B575-4E0F-952D-63ADD5AF135D}"/>
    <cellStyle name="Note 3 2 2 9 3" xfId="11270" xr:uid="{CA9802B4-A070-4202-80EC-BA0CF26AA368}"/>
    <cellStyle name="Note 3 2 3" xfId="558" xr:uid="{00000000-0005-0000-0000-00007B210000}"/>
    <cellStyle name="Note 3 2 3 10" xfId="9127" xr:uid="{A4C992E3-F80A-45BB-B00D-FF30FF343873}"/>
    <cellStyle name="Note 3 2 3 2" xfId="1018" xr:uid="{00000000-0005-0000-0000-00007C210000}"/>
    <cellStyle name="Note 3 2 3 2 2" xfId="3250" xr:uid="{00000000-0005-0000-0000-00007D210000}"/>
    <cellStyle name="Note 3 2 3 2 2 2" xfId="7474" xr:uid="{00000000-0005-0000-0000-00007E210000}"/>
    <cellStyle name="Note 3 2 3 2 2 2 2" xfId="15903" xr:uid="{8A2D05B7-D173-43D1-8293-540A29855500}"/>
    <cellStyle name="Note 3 2 3 2 2 3" xfId="11685" xr:uid="{0C22CFDB-9B7B-44E0-83BB-5B907D09C4A3}"/>
    <cellStyle name="Note 3 2 3 2 3" xfId="5329" xr:uid="{00000000-0005-0000-0000-00007F210000}"/>
    <cellStyle name="Note 3 2 3 2 3 2" xfId="13758" xr:uid="{43A34B98-8EDD-4E31-8D19-61033627C51F}"/>
    <cellStyle name="Note 3 2 3 2 4" xfId="9540" xr:uid="{A214B110-1F26-4988-A2FF-C4DAB2ADF750}"/>
    <cellStyle name="Note 3 2 3 3" xfId="1433" xr:uid="{00000000-0005-0000-0000-000080210000}"/>
    <cellStyle name="Note 3 2 3 3 2" xfId="3663" xr:uid="{00000000-0005-0000-0000-000081210000}"/>
    <cellStyle name="Note 3 2 3 3 2 2" xfId="7887" xr:uid="{00000000-0005-0000-0000-000082210000}"/>
    <cellStyle name="Note 3 2 3 3 2 2 2" xfId="16316" xr:uid="{590CFA55-AB84-47C2-B91A-9A698F4CBD31}"/>
    <cellStyle name="Note 3 2 3 3 2 3" xfId="12098" xr:uid="{580D0759-7BAA-4F26-A9FB-C85B1CA25EA5}"/>
    <cellStyle name="Note 3 2 3 3 3" xfId="5742" xr:uid="{00000000-0005-0000-0000-000083210000}"/>
    <cellStyle name="Note 3 2 3 3 3 2" xfId="14171" xr:uid="{5ECF510A-37C5-4364-A378-5B81E8323A6D}"/>
    <cellStyle name="Note 3 2 3 3 4" xfId="9953" xr:uid="{655219F4-D955-406B-8369-7C17B9FA4840}"/>
    <cellStyle name="Note 3 2 3 4" xfId="1847" xr:uid="{00000000-0005-0000-0000-000084210000}"/>
    <cellStyle name="Note 3 2 3 4 2" xfId="4076" xr:uid="{00000000-0005-0000-0000-000085210000}"/>
    <cellStyle name="Note 3 2 3 4 2 2" xfId="8300" xr:uid="{00000000-0005-0000-0000-000086210000}"/>
    <cellStyle name="Note 3 2 3 4 2 2 2" xfId="16729" xr:uid="{E4AF53F3-B3E1-4160-BBA8-5BEAD1D35C30}"/>
    <cellStyle name="Note 3 2 3 4 2 3" xfId="12511" xr:uid="{1D9DDFC3-61F4-4E40-A8C4-4386540C1EC2}"/>
    <cellStyle name="Note 3 2 3 4 3" xfId="6155" xr:uid="{00000000-0005-0000-0000-000087210000}"/>
    <cellStyle name="Note 3 2 3 4 3 2" xfId="14584" xr:uid="{FA63F92B-6064-483C-8CAE-FEC7C578E541}"/>
    <cellStyle name="Note 3 2 3 4 4" xfId="10366" xr:uid="{13EE5589-E4DB-465B-A5FF-5239A78760A3}"/>
    <cellStyle name="Note 3 2 3 5" xfId="2260" xr:uid="{00000000-0005-0000-0000-000088210000}"/>
    <cellStyle name="Note 3 2 3 5 2" xfId="4489" xr:uid="{00000000-0005-0000-0000-000089210000}"/>
    <cellStyle name="Note 3 2 3 5 2 2" xfId="8713" xr:uid="{00000000-0005-0000-0000-00008A210000}"/>
    <cellStyle name="Note 3 2 3 5 2 2 2" xfId="17142" xr:uid="{7A72E1A7-1693-499B-9967-8206FC70FC98}"/>
    <cellStyle name="Note 3 2 3 5 2 3" xfId="12924" xr:uid="{830FA934-DC32-4AF7-94AC-50F2173AB62C}"/>
    <cellStyle name="Note 3 2 3 5 3" xfId="6568" xr:uid="{00000000-0005-0000-0000-00008B210000}"/>
    <cellStyle name="Note 3 2 3 5 3 2" xfId="14997" xr:uid="{37A350DF-0B30-468A-BB0A-74D533957C03}"/>
    <cellStyle name="Note 3 2 3 5 4" xfId="10779" xr:uid="{E5272AE9-4608-47C2-9271-D1574F32ED3C}"/>
    <cellStyle name="Note 3 2 3 6" xfId="2696" xr:uid="{00000000-0005-0000-0000-00008C210000}"/>
    <cellStyle name="Note 3 2 3 6 2" xfId="6981" xr:uid="{00000000-0005-0000-0000-00008D210000}"/>
    <cellStyle name="Note 3 2 3 6 2 2" xfId="15410" xr:uid="{1C58C034-6325-4FEA-85D4-9D35FD94912F}"/>
    <cellStyle name="Note 3 2 3 6 3" xfId="11192" xr:uid="{79D88581-3F70-4C09-A3D0-8C93828EF9C5}"/>
    <cellStyle name="Note 3 2 3 7" xfId="2755" xr:uid="{00000000-0005-0000-0000-00008E210000}"/>
    <cellStyle name="Note 3 2 3 8" xfId="2836" xr:uid="{00000000-0005-0000-0000-00008F210000}"/>
    <cellStyle name="Note 3 2 3 8 2" xfId="7061" xr:uid="{00000000-0005-0000-0000-000090210000}"/>
    <cellStyle name="Note 3 2 3 8 2 2" xfId="15490" xr:uid="{E063DFF1-4F18-4D6E-9C64-B18AA65E6847}"/>
    <cellStyle name="Note 3 2 3 8 3" xfId="11272" xr:uid="{57F3E90E-DF71-45B0-AA5E-2F862764FE0E}"/>
    <cellStyle name="Note 3 2 3 9" xfId="4916" xr:uid="{00000000-0005-0000-0000-000091210000}"/>
    <cellStyle name="Note 3 2 3 9 2" xfId="13345" xr:uid="{1D1DF36D-5508-4636-8049-E6A47D164EDA}"/>
    <cellStyle name="Note 3 2 4" xfId="1015" xr:uid="{00000000-0005-0000-0000-000092210000}"/>
    <cellStyle name="Note 3 2 4 2" xfId="3247" xr:uid="{00000000-0005-0000-0000-000093210000}"/>
    <cellStyle name="Note 3 2 4 2 2" xfId="7471" xr:uid="{00000000-0005-0000-0000-000094210000}"/>
    <cellStyle name="Note 3 2 4 2 2 2" xfId="15900" xr:uid="{4045284C-3BB4-4BDF-9F5A-903176BBD82C}"/>
    <cellStyle name="Note 3 2 4 2 3" xfId="11682" xr:uid="{458D518F-DFF3-4909-A564-545CDB31A3F7}"/>
    <cellStyle name="Note 3 2 4 3" xfId="5326" xr:uid="{00000000-0005-0000-0000-000095210000}"/>
    <cellStyle name="Note 3 2 4 3 2" xfId="13755" xr:uid="{4194EF76-54D2-44BD-9810-D9F0095FED85}"/>
    <cellStyle name="Note 3 2 4 4" xfId="9537" xr:uid="{6583A819-F1D6-4CC6-BE08-23F0525F60C9}"/>
    <cellStyle name="Note 3 2 5" xfId="1430" xr:uid="{00000000-0005-0000-0000-000096210000}"/>
    <cellStyle name="Note 3 2 5 2" xfId="3660" xr:uid="{00000000-0005-0000-0000-000097210000}"/>
    <cellStyle name="Note 3 2 5 2 2" xfId="7884" xr:uid="{00000000-0005-0000-0000-000098210000}"/>
    <cellStyle name="Note 3 2 5 2 2 2" xfId="16313" xr:uid="{9B8CC671-FEDA-4596-AA49-A9C945CC30C9}"/>
    <cellStyle name="Note 3 2 5 2 3" xfId="12095" xr:uid="{E66E8C60-7060-47BA-A9A7-621A6E86D52F}"/>
    <cellStyle name="Note 3 2 5 3" xfId="5739" xr:uid="{00000000-0005-0000-0000-000099210000}"/>
    <cellStyle name="Note 3 2 5 3 2" xfId="14168" xr:uid="{48AB15BE-DB3B-4311-8832-3099632DEAC6}"/>
    <cellStyle name="Note 3 2 5 4" xfId="9950" xr:uid="{AD6F17DB-9D9B-4D30-942F-07B9D474B136}"/>
    <cellStyle name="Note 3 2 6" xfId="1844" xr:uid="{00000000-0005-0000-0000-00009A210000}"/>
    <cellStyle name="Note 3 2 6 2" xfId="4073" xr:uid="{00000000-0005-0000-0000-00009B210000}"/>
    <cellStyle name="Note 3 2 6 2 2" xfId="8297" xr:uid="{00000000-0005-0000-0000-00009C210000}"/>
    <cellStyle name="Note 3 2 6 2 2 2" xfId="16726" xr:uid="{7C85E476-5B1A-4837-B5F3-31AF7FBD11D6}"/>
    <cellStyle name="Note 3 2 6 2 3" xfId="12508" xr:uid="{A269BA30-99BE-41A9-B2A1-0960EA26CB99}"/>
    <cellStyle name="Note 3 2 6 3" xfId="6152" xr:uid="{00000000-0005-0000-0000-00009D210000}"/>
    <cellStyle name="Note 3 2 6 3 2" xfId="14581" xr:uid="{9762FAA5-1601-4254-AF2B-AD63D7756433}"/>
    <cellStyle name="Note 3 2 6 4" xfId="10363" xr:uid="{9C7B1B17-D77C-4164-A351-1E686006E552}"/>
    <cellStyle name="Note 3 2 7" xfId="2257" xr:uid="{00000000-0005-0000-0000-00009E210000}"/>
    <cellStyle name="Note 3 2 7 2" xfId="4486" xr:uid="{00000000-0005-0000-0000-00009F210000}"/>
    <cellStyle name="Note 3 2 7 2 2" xfId="8710" xr:uid="{00000000-0005-0000-0000-0000A0210000}"/>
    <cellStyle name="Note 3 2 7 2 2 2" xfId="17139" xr:uid="{21AC23C9-F050-4685-9B8D-FAB7BF1D2124}"/>
    <cellStyle name="Note 3 2 7 2 3" xfId="12921" xr:uid="{24639893-989F-42A5-9AFB-F01489B29A35}"/>
    <cellStyle name="Note 3 2 7 3" xfId="6565" xr:uid="{00000000-0005-0000-0000-0000A1210000}"/>
    <cellStyle name="Note 3 2 7 3 2" xfId="14994" xr:uid="{D83F6B27-D1A5-45EC-A4F9-4E2F2DEAB6C6}"/>
    <cellStyle name="Note 3 2 7 4" xfId="10776" xr:uid="{55BE8934-13BF-4E2B-8C40-FE1A583357F7}"/>
    <cellStyle name="Note 3 2 8" xfId="2693" xr:uid="{00000000-0005-0000-0000-0000A2210000}"/>
    <cellStyle name="Note 3 2 8 2" xfId="6978" xr:uid="{00000000-0005-0000-0000-0000A3210000}"/>
    <cellStyle name="Note 3 2 8 2 2" xfId="15407" xr:uid="{79251E79-1477-42E0-B672-5A1683EC5F59}"/>
    <cellStyle name="Note 3 2 8 3" xfId="11189" xr:uid="{9F5D9B12-42CE-46E1-8EB8-332C0B5A2234}"/>
    <cellStyle name="Note 3 2 9" xfId="2752" xr:uid="{00000000-0005-0000-0000-0000A4210000}"/>
    <cellStyle name="Note 3 3" xfId="559" xr:uid="{00000000-0005-0000-0000-0000A5210000}"/>
    <cellStyle name="Note 3 3 10" xfId="4917" xr:uid="{00000000-0005-0000-0000-0000A6210000}"/>
    <cellStyle name="Note 3 3 10 2" xfId="13346" xr:uid="{EF3B1DFF-8C5C-4346-B525-AB90AED7739E}"/>
    <cellStyle name="Note 3 3 11" xfId="9128" xr:uid="{303F160D-F8EC-41DD-8476-42868CF9D420}"/>
    <cellStyle name="Note 3 3 2" xfId="560" xr:uid="{00000000-0005-0000-0000-0000A7210000}"/>
    <cellStyle name="Note 3 3 2 10" xfId="9129" xr:uid="{B9A868F2-213C-4C5E-9AE5-70B0963C68CE}"/>
    <cellStyle name="Note 3 3 2 2" xfId="1020" xr:uid="{00000000-0005-0000-0000-0000A8210000}"/>
    <cellStyle name="Note 3 3 2 2 2" xfId="3252" xr:uid="{00000000-0005-0000-0000-0000A9210000}"/>
    <cellStyle name="Note 3 3 2 2 2 2" xfId="7476" xr:uid="{00000000-0005-0000-0000-0000AA210000}"/>
    <cellStyle name="Note 3 3 2 2 2 2 2" xfId="15905" xr:uid="{CA6BEC9A-8C31-45B9-960C-7089AEDF9A41}"/>
    <cellStyle name="Note 3 3 2 2 2 3" xfId="11687" xr:uid="{AAA378F0-F6AB-419A-A3BC-EA7DEB7747B5}"/>
    <cellStyle name="Note 3 3 2 2 3" xfId="5331" xr:uid="{00000000-0005-0000-0000-0000AB210000}"/>
    <cellStyle name="Note 3 3 2 2 3 2" xfId="13760" xr:uid="{511D29EF-B87A-4319-ABA7-6B5A5083A416}"/>
    <cellStyle name="Note 3 3 2 2 4" xfId="9542" xr:uid="{2A57DCF6-12E5-4385-96D6-FB95C8DD3417}"/>
    <cellStyle name="Note 3 3 2 3" xfId="1435" xr:uid="{00000000-0005-0000-0000-0000AC210000}"/>
    <cellStyle name="Note 3 3 2 3 2" xfId="3665" xr:uid="{00000000-0005-0000-0000-0000AD210000}"/>
    <cellStyle name="Note 3 3 2 3 2 2" xfId="7889" xr:uid="{00000000-0005-0000-0000-0000AE210000}"/>
    <cellStyle name="Note 3 3 2 3 2 2 2" xfId="16318" xr:uid="{8557F081-8E13-495C-803E-0A592DC97F4E}"/>
    <cellStyle name="Note 3 3 2 3 2 3" xfId="12100" xr:uid="{CD8B0216-2BF3-43E0-9DE4-E1B06C46B847}"/>
    <cellStyle name="Note 3 3 2 3 3" xfId="5744" xr:uid="{00000000-0005-0000-0000-0000AF210000}"/>
    <cellStyle name="Note 3 3 2 3 3 2" xfId="14173" xr:uid="{00C62C61-2FF5-410A-BAB6-96716C41B92B}"/>
    <cellStyle name="Note 3 3 2 3 4" xfId="9955" xr:uid="{5FB5E0BC-5088-4203-868C-B8FC36223424}"/>
    <cellStyle name="Note 3 3 2 4" xfId="1849" xr:uid="{00000000-0005-0000-0000-0000B0210000}"/>
    <cellStyle name="Note 3 3 2 4 2" xfId="4078" xr:uid="{00000000-0005-0000-0000-0000B1210000}"/>
    <cellStyle name="Note 3 3 2 4 2 2" xfId="8302" xr:uid="{00000000-0005-0000-0000-0000B2210000}"/>
    <cellStyle name="Note 3 3 2 4 2 2 2" xfId="16731" xr:uid="{7D3BB07F-DC0E-4060-AE4B-E8DC6F2B915E}"/>
    <cellStyle name="Note 3 3 2 4 2 3" xfId="12513" xr:uid="{07211835-C949-4567-924D-794979D59A9A}"/>
    <cellStyle name="Note 3 3 2 4 3" xfId="6157" xr:uid="{00000000-0005-0000-0000-0000B3210000}"/>
    <cellStyle name="Note 3 3 2 4 3 2" xfId="14586" xr:uid="{75589EA2-73DF-46C4-AF63-C068E62632A9}"/>
    <cellStyle name="Note 3 3 2 4 4" xfId="10368" xr:uid="{BED0C698-4C3C-40D7-8E52-762630EB8BD8}"/>
    <cellStyle name="Note 3 3 2 5" xfId="2262" xr:uid="{00000000-0005-0000-0000-0000B4210000}"/>
    <cellStyle name="Note 3 3 2 5 2" xfId="4491" xr:uid="{00000000-0005-0000-0000-0000B5210000}"/>
    <cellStyle name="Note 3 3 2 5 2 2" xfId="8715" xr:uid="{00000000-0005-0000-0000-0000B6210000}"/>
    <cellStyle name="Note 3 3 2 5 2 2 2" xfId="17144" xr:uid="{AFD52968-578A-4BBB-9C3D-F4C8F2B3D37A}"/>
    <cellStyle name="Note 3 3 2 5 2 3" xfId="12926" xr:uid="{2245B4CC-CE08-4735-9148-B0093099AD90}"/>
    <cellStyle name="Note 3 3 2 5 3" xfId="6570" xr:uid="{00000000-0005-0000-0000-0000B7210000}"/>
    <cellStyle name="Note 3 3 2 5 3 2" xfId="14999" xr:uid="{81C4926F-15C6-43A6-A609-C5C11A16F381}"/>
    <cellStyle name="Note 3 3 2 5 4" xfId="10781" xr:uid="{2E8CE22F-40A0-4736-9CC7-1700E58FB2FF}"/>
    <cellStyle name="Note 3 3 2 6" xfId="2698" xr:uid="{00000000-0005-0000-0000-0000B8210000}"/>
    <cellStyle name="Note 3 3 2 6 2" xfId="6983" xr:uid="{00000000-0005-0000-0000-0000B9210000}"/>
    <cellStyle name="Note 3 3 2 6 2 2" xfId="15412" xr:uid="{783A080E-1320-46EC-BE7D-D826300438A9}"/>
    <cellStyle name="Note 3 3 2 6 3" xfId="11194" xr:uid="{689FFE2F-DE6D-4537-938A-F68F7061446A}"/>
    <cellStyle name="Note 3 3 2 7" xfId="2757" xr:uid="{00000000-0005-0000-0000-0000BA210000}"/>
    <cellStyle name="Note 3 3 2 8" xfId="2838" xr:uid="{00000000-0005-0000-0000-0000BB210000}"/>
    <cellStyle name="Note 3 3 2 8 2" xfId="7063" xr:uid="{00000000-0005-0000-0000-0000BC210000}"/>
    <cellStyle name="Note 3 3 2 8 2 2" xfId="15492" xr:uid="{7D72EC11-5586-497F-A845-938BA864B9D0}"/>
    <cellStyle name="Note 3 3 2 8 3" xfId="11274" xr:uid="{F0CC23F7-43AB-46AF-86C2-BAD1342DBC8E}"/>
    <cellStyle name="Note 3 3 2 9" xfId="4918" xr:uid="{00000000-0005-0000-0000-0000BD210000}"/>
    <cellStyle name="Note 3 3 2 9 2" xfId="13347" xr:uid="{693A1C45-D46A-401E-9509-70C51B23A097}"/>
    <cellStyle name="Note 3 3 3" xfId="1019" xr:uid="{00000000-0005-0000-0000-0000BE210000}"/>
    <cellStyle name="Note 3 3 3 2" xfId="3251" xr:uid="{00000000-0005-0000-0000-0000BF210000}"/>
    <cellStyle name="Note 3 3 3 2 2" xfId="7475" xr:uid="{00000000-0005-0000-0000-0000C0210000}"/>
    <cellStyle name="Note 3 3 3 2 2 2" xfId="15904" xr:uid="{D6AAF715-5717-4A4E-AE0F-DE48A65E09E9}"/>
    <cellStyle name="Note 3 3 3 2 3" xfId="11686" xr:uid="{BB564083-0862-4201-BE53-A5A806ED329B}"/>
    <cellStyle name="Note 3 3 3 3" xfId="5330" xr:uid="{00000000-0005-0000-0000-0000C1210000}"/>
    <cellStyle name="Note 3 3 3 3 2" xfId="13759" xr:uid="{D3FBA439-EE28-423A-AE20-4610608E0982}"/>
    <cellStyle name="Note 3 3 3 4" xfId="9541" xr:uid="{D34B0493-B598-494D-A8E1-207C6F1925E8}"/>
    <cellStyle name="Note 3 3 4" xfId="1434" xr:uid="{00000000-0005-0000-0000-0000C2210000}"/>
    <cellStyle name="Note 3 3 4 2" xfId="3664" xr:uid="{00000000-0005-0000-0000-0000C3210000}"/>
    <cellStyle name="Note 3 3 4 2 2" xfId="7888" xr:uid="{00000000-0005-0000-0000-0000C4210000}"/>
    <cellStyle name="Note 3 3 4 2 2 2" xfId="16317" xr:uid="{92E975C6-1C47-480B-96DF-009E01873AB9}"/>
    <cellStyle name="Note 3 3 4 2 3" xfId="12099" xr:uid="{085C98AE-C85B-4183-8D1F-340620750E5B}"/>
    <cellStyle name="Note 3 3 4 3" xfId="5743" xr:uid="{00000000-0005-0000-0000-0000C5210000}"/>
    <cellStyle name="Note 3 3 4 3 2" xfId="14172" xr:uid="{2D0C069F-0ACB-4B47-BAC0-619ED8084FF6}"/>
    <cellStyle name="Note 3 3 4 4" xfId="9954" xr:uid="{DF1536CF-C03F-4785-97C5-7222F13C0738}"/>
    <cellStyle name="Note 3 3 5" xfId="1848" xr:uid="{00000000-0005-0000-0000-0000C6210000}"/>
    <cellStyle name="Note 3 3 5 2" xfId="4077" xr:uid="{00000000-0005-0000-0000-0000C7210000}"/>
    <cellStyle name="Note 3 3 5 2 2" xfId="8301" xr:uid="{00000000-0005-0000-0000-0000C8210000}"/>
    <cellStyle name="Note 3 3 5 2 2 2" xfId="16730" xr:uid="{98153700-98E7-4939-AD86-92F43315F43E}"/>
    <cellStyle name="Note 3 3 5 2 3" xfId="12512" xr:uid="{9EBCB275-78C8-4734-B116-8D7EDB348E18}"/>
    <cellStyle name="Note 3 3 5 3" xfId="6156" xr:uid="{00000000-0005-0000-0000-0000C9210000}"/>
    <cellStyle name="Note 3 3 5 3 2" xfId="14585" xr:uid="{DE7909D3-6581-484F-82EE-CFF6C3674233}"/>
    <cellStyle name="Note 3 3 5 4" xfId="10367" xr:uid="{1B250DAB-DBEC-471D-9937-29ED093E70D7}"/>
    <cellStyle name="Note 3 3 6" xfId="2261" xr:uid="{00000000-0005-0000-0000-0000CA210000}"/>
    <cellStyle name="Note 3 3 6 2" xfId="4490" xr:uid="{00000000-0005-0000-0000-0000CB210000}"/>
    <cellStyle name="Note 3 3 6 2 2" xfId="8714" xr:uid="{00000000-0005-0000-0000-0000CC210000}"/>
    <cellStyle name="Note 3 3 6 2 2 2" xfId="17143" xr:uid="{D38C6EFD-A6C8-4ED6-827D-A0CC050EFD05}"/>
    <cellStyle name="Note 3 3 6 2 3" xfId="12925" xr:uid="{BC5A0998-01CC-4F94-B5D2-D02D28664931}"/>
    <cellStyle name="Note 3 3 6 3" xfId="6569" xr:uid="{00000000-0005-0000-0000-0000CD210000}"/>
    <cellStyle name="Note 3 3 6 3 2" xfId="14998" xr:uid="{7F8F17D1-F5AF-4058-B997-68B5FA99364E}"/>
    <cellStyle name="Note 3 3 6 4" xfId="10780" xr:uid="{61FAC8E9-A31A-44BC-A471-09DA1E8371E5}"/>
    <cellStyle name="Note 3 3 7" xfId="2697" xr:uid="{00000000-0005-0000-0000-0000CE210000}"/>
    <cellStyle name="Note 3 3 7 2" xfId="6982" xr:uid="{00000000-0005-0000-0000-0000CF210000}"/>
    <cellStyle name="Note 3 3 7 2 2" xfId="15411" xr:uid="{49C1A6E7-A546-4DF2-9A5B-FEB3E539331D}"/>
    <cellStyle name="Note 3 3 7 3" xfId="11193" xr:uid="{B8A51F47-D895-4A83-A14C-1EE40F45FC5B}"/>
    <cellStyle name="Note 3 3 8" xfId="2756" xr:uid="{00000000-0005-0000-0000-0000D0210000}"/>
    <cellStyle name="Note 3 3 9" xfId="2837" xr:uid="{00000000-0005-0000-0000-0000D1210000}"/>
    <cellStyle name="Note 3 3 9 2" xfId="7062" xr:uid="{00000000-0005-0000-0000-0000D2210000}"/>
    <cellStyle name="Note 3 3 9 2 2" xfId="15491" xr:uid="{D6D5E7CF-4323-4493-BAA5-940501E603E4}"/>
    <cellStyle name="Note 3 3 9 3" xfId="11273" xr:uid="{4461AE1D-1E16-4CD9-97E8-784B8BB24E12}"/>
    <cellStyle name="Note 3 4" xfId="561" xr:uid="{00000000-0005-0000-0000-0000D3210000}"/>
    <cellStyle name="Note 3 4 10" xfId="9130" xr:uid="{4925AC8A-E2B8-4683-8335-43FF81BBA434}"/>
    <cellStyle name="Note 3 4 2" xfId="1021" xr:uid="{00000000-0005-0000-0000-0000D4210000}"/>
    <cellStyle name="Note 3 4 2 2" xfId="3253" xr:uid="{00000000-0005-0000-0000-0000D5210000}"/>
    <cellStyle name="Note 3 4 2 2 2" xfId="7477" xr:uid="{00000000-0005-0000-0000-0000D6210000}"/>
    <cellStyle name="Note 3 4 2 2 2 2" xfId="15906" xr:uid="{34055160-D7C6-481A-B828-C16701FF28B5}"/>
    <cellStyle name="Note 3 4 2 2 3" xfId="11688" xr:uid="{9B3B65A6-7E33-4887-9BA6-9C1D5FE81B65}"/>
    <cellStyle name="Note 3 4 2 3" xfId="5332" xr:uid="{00000000-0005-0000-0000-0000D7210000}"/>
    <cellStyle name="Note 3 4 2 3 2" xfId="13761" xr:uid="{040D146B-6EB9-422D-9361-AEA84337713C}"/>
    <cellStyle name="Note 3 4 2 4" xfId="9543" xr:uid="{F8B2922F-FBF6-43C0-85B1-87CF44F8E03E}"/>
    <cellStyle name="Note 3 4 3" xfId="1436" xr:uid="{00000000-0005-0000-0000-0000D8210000}"/>
    <cellStyle name="Note 3 4 3 2" xfId="3666" xr:uid="{00000000-0005-0000-0000-0000D9210000}"/>
    <cellStyle name="Note 3 4 3 2 2" xfId="7890" xr:uid="{00000000-0005-0000-0000-0000DA210000}"/>
    <cellStyle name="Note 3 4 3 2 2 2" xfId="16319" xr:uid="{24103589-68F9-4CD4-B5AF-C9DD723447AB}"/>
    <cellStyle name="Note 3 4 3 2 3" xfId="12101" xr:uid="{F3AFF79C-E9EE-451C-81EA-D6ED7C3A5664}"/>
    <cellStyle name="Note 3 4 3 3" xfId="5745" xr:uid="{00000000-0005-0000-0000-0000DB210000}"/>
    <cellStyle name="Note 3 4 3 3 2" xfId="14174" xr:uid="{E2E61826-A97D-4DD9-9D55-E50F7D489E02}"/>
    <cellStyle name="Note 3 4 3 4" xfId="9956" xr:uid="{EB531D51-105A-4F65-B9B0-5A6C6235605E}"/>
    <cellStyle name="Note 3 4 4" xfId="1850" xr:uid="{00000000-0005-0000-0000-0000DC210000}"/>
    <cellStyle name="Note 3 4 4 2" xfId="4079" xr:uid="{00000000-0005-0000-0000-0000DD210000}"/>
    <cellStyle name="Note 3 4 4 2 2" xfId="8303" xr:uid="{00000000-0005-0000-0000-0000DE210000}"/>
    <cellStyle name="Note 3 4 4 2 2 2" xfId="16732" xr:uid="{8788FFEB-3FE7-42EC-87CA-94FD494D5A4B}"/>
    <cellStyle name="Note 3 4 4 2 3" xfId="12514" xr:uid="{E0A11079-0C3C-4E40-9526-70A756CCA693}"/>
    <cellStyle name="Note 3 4 4 3" xfId="6158" xr:uid="{00000000-0005-0000-0000-0000DF210000}"/>
    <cellStyle name="Note 3 4 4 3 2" xfId="14587" xr:uid="{DBACF92A-EAD2-4503-A56C-ED0D0E198934}"/>
    <cellStyle name="Note 3 4 4 4" xfId="10369" xr:uid="{067FFDAB-AFCF-4C90-9C69-51A2BDCC6BFB}"/>
    <cellStyle name="Note 3 4 5" xfId="2263" xr:uid="{00000000-0005-0000-0000-0000E0210000}"/>
    <cellStyle name="Note 3 4 5 2" xfId="4492" xr:uid="{00000000-0005-0000-0000-0000E1210000}"/>
    <cellStyle name="Note 3 4 5 2 2" xfId="8716" xr:uid="{00000000-0005-0000-0000-0000E2210000}"/>
    <cellStyle name="Note 3 4 5 2 2 2" xfId="17145" xr:uid="{EEED7B84-6E89-4C68-B13D-4B02BE47AA8D}"/>
    <cellStyle name="Note 3 4 5 2 3" xfId="12927" xr:uid="{A8D3FAF7-62D3-49B0-AC72-B9674A95744C}"/>
    <cellStyle name="Note 3 4 5 3" xfId="6571" xr:uid="{00000000-0005-0000-0000-0000E3210000}"/>
    <cellStyle name="Note 3 4 5 3 2" xfId="15000" xr:uid="{BBCED472-9858-4F91-8AEF-D2C6D74DABC4}"/>
    <cellStyle name="Note 3 4 5 4" xfId="10782" xr:uid="{8D8D5E69-2072-49F8-8350-B7BF934429D5}"/>
    <cellStyle name="Note 3 4 6" xfId="2699" xr:uid="{00000000-0005-0000-0000-0000E4210000}"/>
    <cellStyle name="Note 3 4 6 2" xfId="6984" xr:uid="{00000000-0005-0000-0000-0000E5210000}"/>
    <cellStyle name="Note 3 4 6 2 2" xfId="15413" xr:uid="{A9A72ED2-4417-4C1D-A6A5-F21F9D00610D}"/>
    <cellStyle name="Note 3 4 6 3" xfId="11195" xr:uid="{E6B2BC80-1D9B-4453-B07C-BD349B2E0F70}"/>
    <cellStyle name="Note 3 4 7" xfId="2758" xr:uid="{00000000-0005-0000-0000-0000E6210000}"/>
    <cellStyle name="Note 3 4 8" xfId="2839" xr:uid="{00000000-0005-0000-0000-0000E7210000}"/>
    <cellStyle name="Note 3 4 8 2" xfId="7064" xr:uid="{00000000-0005-0000-0000-0000E8210000}"/>
    <cellStyle name="Note 3 4 8 2 2" xfId="15493" xr:uid="{0162F45E-CF74-4AA0-B810-87188D04B5F6}"/>
    <cellStyle name="Note 3 4 8 3" xfId="11275" xr:uid="{AE30880E-7578-46A2-AF93-579D4E6CBB55}"/>
    <cellStyle name="Note 3 4 9" xfId="4919" xr:uid="{00000000-0005-0000-0000-0000E9210000}"/>
    <cellStyle name="Note 3 4 9 2" xfId="13348" xr:uid="{FB5DAD9F-3419-4150-91A4-22FDD6D4AA81}"/>
    <cellStyle name="Note 3 5" xfId="562" xr:uid="{00000000-0005-0000-0000-0000EA210000}"/>
    <cellStyle name="Note 3 5 10" xfId="9131" xr:uid="{1FDCC28F-5A98-4BE5-BBCE-2ABE32ABCE7D}"/>
    <cellStyle name="Note 3 5 2" xfId="1022" xr:uid="{00000000-0005-0000-0000-0000EB210000}"/>
    <cellStyle name="Note 3 5 2 2" xfId="3254" xr:uid="{00000000-0005-0000-0000-0000EC210000}"/>
    <cellStyle name="Note 3 5 2 2 2" xfId="7478" xr:uid="{00000000-0005-0000-0000-0000ED210000}"/>
    <cellStyle name="Note 3 5 2 2 2 2" xfId="15907" xr:uid="{C412F3AD-2180-4E33-9484-9C10313258D9}"/>
    <cellStyle name="Note 3 5 2 2 3" xfId="11689" xr:uid="{FC378D8C-8A48-4460-8DEC-8460C97EE24F}"/>
    <cellStyle name="Note 3 5 2 3" xfId="5333" xr:uid="{00000000-0005-0000-0000-0000EE210000}"/>
    <cellStyle name="Note 3 5 2 3 2" xfId="13762" xr:uid="{413089E7-C8B0-4948-A5FB-8E56462C1022}"/>
    <cellStyle name="Note 3 5 2 4" xfId="9544" xr:uid="{ADBEA29D-1B7B-4DA4-9F77-5C793E4AD839}"/>
    <cellStyle name="Note 3 5 3" xfId="1437" xr:uid="{00000000-0005-0000-0000-0000EF210000}"/>
    <cellStyle name="Note 3 5 3 2" xfId="3667" xr:uid="{00000000-0005-0000-0000-0000F0210000}"/>
    <cellStyle name="Note 3 5 3 2 2" xfId="7891" xr:uid="{00000000-0005-0000-0000-0000F1210000}"/>
    <cellStyle name="Note 3 5 3 2 2 2" xfId="16320" xr:uid="{531B0193-E96C-4CF0-9D45-E6A76C7411B5}"/>
    <cellStyle name="Note 3 5 3 2 3" xfId="12102" xr:uid="{8894F20E-8ACE-40C1-8542-1C6BFDB40654}"/>
    <cellStyle name="Note 3 5 3 3" xfId="5746" xr:uid="{00000000-0005-0000-0000-0000F2210000}"/>
    <cellStyle name="Note 3 5 3 3 2" xfId="14175" xr:uid="{C51BBEF8-0E6A-410C-86AF-3C63C5171DA1}"/>
    <cellStyle name="Note 3 5 3 4" xfId="9957" xr:uid="{85F705F0-CAE6-45D7-8471-C8CD0E3F3A67}"/>
    <cellStyle name="Note 3 5 4" xfId="1851" xr:uid="{00000000-0005-0000-0000-0000F3210000}"/>
    <cellStyle name="Note 3 5 4 2" xfId="4080" xr:uid="{00000000-0005-0000-0000-0000F4210000}"/>
    <cellStyle name="Note 3 5 4 2 2" xfId="8304" xr:uid="{00000000-0005-0000-0000-0000F5210000}"/>
    <cellStyle name="Note 3 5 4 2 2 2" xfId="16733" xr:uid="{B726C4B3-170F-4DFE-9A98-06C974694903}"/>
    <cellStyle name="Note 3 5 4 2 3" xfId="12515" xr:uid="{5E35124D-36E8-4B00-A0E7-1E4A6B5BE714}"/>
    <cellStyle name="Note 3 5 4 3" xfId="6159" xr:uid="{00000000-0005-0000-0000-0000F6210000}"/>
    <cellStyle name="Note 3 5 4 3 2" xfId="14588" xr:uid="{B5AD5175-5BF1-40AA-A944-F333A5A0D5D5}"/>
    <cellStyle name="Note 3 5 4 4" xfId="10370" xr:uid="{120B2643-73C2-4B64-812A-286A54D0877B}"/>
    <cellStyle name="Note 3 5 5" xfId="2264" xr:uid="{00000000-0005-0000-0000-0000F7210000}"/>
    <cellStyle name="Note 3 5 5 2" xfId="4493" xr:uid="{00000000-0005-0000-0000-0000F8210000}"/>
    <cellStyle name="Note 3 5 5 2 2" xfId="8717" xr:uid="{00000000-0005-0000-0000-0000F9210000}"/>
    <cellStyle name="Note 3 5 5 2 2 2" xfId="17146" xr:uid="{20F790CF-2EFD-479C-A5DA-5ADB190E40A8}"/>
    <cellStyle name="Note 3 5 5 2 3" xfId="12928" xr:uid="{76083D01-C0AC-46A1-9FAB-0FBE2F1714FB}"/>
    <cellStyle name="Note 3 5 5 3" xfId="6572" xr:uid="{00000000-0005-0000-0000-0000FA210000}"/>
    <cellStyle name="Note 3 5 5 3 2" xfId="15001" xr:uid="{36F0BCB7-633D-4A74-AC2A-09815E2BA222}"/>
    <cellStyle name="Note 3 5 5 4" xfId="10783" xr:uid="{783396B9-5C59-407D-804E-367EEABF9F31}"/>
    <cellStyle name="Note 3 5 6" xfId="2700" xr:uid="{00000000-0005-0000-0000-0000FB210000}"/>
    <cellStyle name="Note 3 5 6 2" xfId="6985" xr:uid="{00000000-0005-0000-0000-0000FC210000}"/>
    <cellStyle name="Note 3 5 6 2 2" xfId="15414" xr:uid="{DC0FA0C4-D6B6-4223-BBBF-9E8B3B14A351}"/>
    <cellStyle name="Note 3 5 6 3" xfId="11196" xr:uid="{998C7ED5-56AE-44D4-B7F7-09B4032504DE}"/>
    <cellStyle name="Note 3 5 7" xfId="2759" xr:uid="{00000000-0005-0000-0000-0000FD210000}"/>
    <cellStyle name="Note 3 5 8" xfId="2840" xr:uid="{00000000-0005-0000-0000-0000FE210000}"/>
    <cellStyle name="Note 3 5 8 2" xfId="7065" xr:uid="{00000000-0005-0000-0000-0000FF210000}"/>
    <cellStyle name="Note 3 5 8 2 2" xfId="15494" xr:uid="{1C5D77E3-100D-4BC2-8879-501F40837616}"/>
    <cellStyle name="Note 3 5 8 3" xfId="11276" xr:uid="{E02C7483-9F24-42A9-AA18-B8118C729F70}"/>
    <cellStyle name="Note 3 5 9" xfId="4920" xr:uid="{00000000-0005-0000-0000-000000220000}"/>
    <cellStyle name="Note 3 5 9 2" xfId="13349" xr:uid="{B6E2E2CF-1F47-41EC-9B61-BDFBE5BF627E}"/>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18638186-2C49-484F-B2FD-C61488101974}"/>
    <cellStyle name="Percent 4" xfId="4503" xr:uid="{00000000-0005-0000-0000-000006220000}"/>
    <cellStyle name="Percent 4 2" xfId="12935" xr:uid="{3235F3C0-BF1E-4227-BD90-8D3F4165AC07}"/>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8777</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2" t="s">
        <v>1389</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2" t="s">
        <v>1393</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35" customHeight="1">
      <c r="A14" s="327"/>
      <c r="B14" s="325"/>
      <c r="C14" s="326"/>
      <c r="E14" s="1858" t="s">
        <v>2166</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35"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58" t="s">
        <v>1521</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35"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35" customHeight="1">
      <c r="A28" s="327"/>
      <c r="B28" s="325"/>
      <c r="C28" s="326"/>
      <c r="E28" s="1858" t="s">
        <v>2167</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35"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0" t="s">
        <v>1394</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2406</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2407</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1093</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1392</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35" customHeight="1">
      <c r="A42" s="149"/>
      <c r="B42"/>
      <c r="C42" s="5"/>
      <c r="D42" s="149"/>
      <c r="E42" s="149" t="s">
        <v>689</v>
      </c>
      <c r="F42" s="1858" t="s">
        <v>1359</v>
      </c>
    </row>
    <row r="43" spans="1:38" s="1858"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65" t="s">
        <v>1473</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35"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8" t="s">
        <v>1474</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3" t="s">
        <v>1395</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609</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64" t="s">
        <v>1475</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8" t="s">
        <v>1361</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35" customHeight="1">
      <c r="A69" s="149"/>
      <c r="C69" s="5"/>
      <c r="D69" s="149"/>
      <c r="E69" s="149"/>
      <c r="F69" s="9" t="s">
        <v>541</v>
      </c>
      <c r="G69" s="1858" t="s">
        <v>1362</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8" t="s">
        <v>1363</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541</v>
      </c>
      <c r="G74" s="1858" t="s">
        <v>1364</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1365</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1366</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1367</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1368</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1369</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1"/>
      <c r="E100" s="1862" t="s">
        <v>1370</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398</v>
      </c>
    </row>
    <row r="164" spans="3:20">
      <c r="D164" s="2"/>
      <c r="E164" s="149" t="s">
        <v>1006</v>
      </c>
      <c r="F164" s="149"/>
    </row>
    <row r="165" spans="3:20">
      <c r="D165" s="2"/>
      <c r="E165" s="2"/>
    </row>
    <row r="166" spans="3:20">
      <c r="D166" s="183" t="s">
        <v>449</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8" t="s">
        <v>1371</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8" t="s">
        <v>1346</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1442</v>
      </c>
      <c r="I342" s="183"/>
      <c r="J342" s="149"/>
      <c r="K342" s="149"/>
      <c r="L342" s="149"/>
      <c r="M342" s="149"/>
      <c r="N342" s="149"/>
      <c r="O342" s="149"/>
      <c r="P342" s="149"/>
      <c r="Q342" s="149"/>
      <c r="R342" s="149"/>
      <c r="S342" s="149"/>
    </row>
    <row r="343" spans="2:37" s="717" customFormat="1" ht="13.35" customHeight="1">
      <c r="B343" s="5"/>
      <c r="E343" s="1863" t="s">
        <v>1449</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1451</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1450</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7" t="s">
        <v>1440</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1489</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1501</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A2" sqref="A2"/>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80" t="s">
        <v>1878</v>
      </c>
      <c r="B1" s="3280"/>
      <c r="C1" s="3280"/>
      <c r="D1" s="3280"/>
      <c r="E1" s="3280"/>
      <c r="F1" s="3280"/>
      <c r="G1" s="3280"/>
      <c r="H1" s="3280"/>
      <c r="I1" s="3280"/>
    </row>
    <row r="2" spans="1:11" ht="15">
      <c r="A2" s="1336"/>
      <c r="B2" s="1336"/>
      <c r="E2" s="1337"/>
      <c r="I2" s="1339"/>
      <c r="K2" s="1340"/>
    </row>
    <row r="3" spans="1:11">
      <c r="A3" s="1341" t="s">
        <v>1585</v>
      </c>
      <c r="B3" s="1341"/>
      <c r="C3" s="1334" t="s">
        <v>2178</v>
      </c>
      <c r="E3" s="1826">
        <f>ROUND(Application!AM564+'Basis &amp; Credits'!AB77,0)</f>
        <v>52616369</v>
      </c>
      <c r="F3" s="1342"/>
      <c r="K3" s="1413"/>
    </row>
    <row r="4" spans="1:11" s="1343" customFormat="1" ht="15" customHeight="1">
      <c r="C4" s="1343" t="s">
        <v>1879</v>
      </c>
      <c r="E4" s="1419">
        <f>Application!AD1037</f>
        <v>0.14035087719298245</v>
      </c>
      <c r="F4" s="1344"/>
      <c r="H4" s="1345"/>
      <c r="K4" s="1632"/>
    </row>
    <row r="5" spans="1:11" s="1346" customFormat="1" ht="15" customHeight="1">
      <c r="A5" s="3281"/>
      <c r="B5" s="3281"/>
      <c r="D5" s="1346" t="s">
        <v>2179</v>
      </c>
      <c r="E5" s="1347">
        <f>IF('CDLAC Points System'!C274="Yes",0.2,0)</f>
        <v>0.2</v>
      </c>
      <c r="F5" s="1344"/>
      <c r="H5" s="1345"/>
      <c r="K5" s="1633"/>
    </row>
    <row r="6" spans="1:11" s="1346" customFormat="1" ht="15" customHeight="1">
      <c r="A6" s="1496"/>
      <c r="B6" s="1496"/>
      <c r="D6" s="1346" t="s">
        <v>2180</v>
      </c>
      <c r="E6" s="1347" t="str">
        <f>IF(AND((Application!W464&gt;=(0.5*Application!G753)),Application!D210="Special Needs",(OR(Application!M354="Yes",Application!M355="Yes"))),0.2," ")</f>
        <v xml:space="preserve"> </v>
      </c>
      <c r="F6" s="1344"/>
      <c r="H6" s="1345"/>
      <c r="K6" s="1633"/>
    </row>
    <row r="7" spans="1:11" ht="15">
      <c r="A7" s="1336"/>
      <c r="B7" s="1336"/>
      <c r="C7" s="1334" t="s">
        <v>2182</v>
      </c>
      <c r="E7" s="1417">
        <f>E3-(E3*(E4+(MAX(E5,E6))))</f>
        <v>34708341.65614035</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0</v>
      </c>
      <c r="G12" s="1361">
        <v>1</v>
      </c>
      <c r="H12" s="1362"/>
      <c r="I12" s="1363">
        <f>E12*G12</f>
        <v>0</v>
      </c>
      <c r="J12" s="1354"/>
    </row>
    <row r="13" spans="1:11" ht="15">
      <c r="A13" s="1336"/>
      <c r="B13" s="1336"/>
      <c r="C13" s="1354" t="s">
        <v>1888</v>
      </c>
      <c r="D13" s="1354"/>
      <c r="E13" s="1414">
        <f>Application!BX635+Application!BX644+Application!DC658</f>
        <v>6</v>
      </c>
      <c r="G13" s="1361">
        <v>1.25</v>
      </c>
      <c r="H13" s="1362"/>
      <c r="I13" s="1363">
        <f>E13*G13</f>
        <v>7.5</v>
      </c>
      <c r="J13" s="1354"/>
    </row>
    <row r="14" spans="1:11" ht="15">
      <c r="A14" s="1336"/>
      <c r="B14" s="1336"/>
      <c r="C14" s="1354" t="s">
        <v>1889</v>
      </c>
      <c r="D14" s="1354"/>
      <c r="E14" s="1414">
        <f>Application!CC635+Application!CC644+Application!DH658</f>
        <v>128</v>
      </c>
      <c r="G14" s="1361">
        <f>1.5+0.25*0</f>
        <v>1.5</v>
      </c>
      <c r="H14" s="1362"/>
      <c r="I14" s="1363">
        <f>IF(E14/E16&lt;=30%,E14*G14,TRUNC(0.3*E16)*G14+(E14-TRUNC(0.3*E16))*G13)</f>
        <v>170</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134</v>
      </c>
      <c r="G16" s="1337"/>
      <c r="I16" s="1418">
        <f>SUM(I11:I15)</f>
        <v>177.5</v>
      </c>
    </row>
    <row r="17" spans="1:9" ht="15">
      <c r="A17" s="1336"/>
      <c r="B17" s="1336"/>
      <c r="E17" s="1337"/>
      <c r="I17" s="1365"/>
    </row>
    <row r="18" spans="1:9" ht="15">
      <c r="A18" s="1341" t="s">
        <v>1590</v>
      </c>
      <c r="B18" s="1341"/>
      <c r="C18" s="1366" t="s">
        <v>1891</v>
      </c>
      <c r="D18" s="1338"/>
      <c r="E18" s="1367">
        <f>E7/I16</f>
        <v>195539.95299234</v>
      </c>
      <c r="F18" s="1368"/>
      <c r="G18" s="1369"/>
      <c r="H18" s="1370"/>
      <c r="I18" s="1365"/>
    </row>
    <row r="21" spans="1:9" ht="14.25" customHeight="1">
      <c r="A21" s="3282" t="s">
        <v>2177</v>
      </c>
      <c r="B21" s="3282"/>
      <c r="C21" s="3282"/>
      <c r="D21" s="3282"/>
      <c r="E21" s="3282"/>
      <c r="F21" s="3282"/>
      <c r="G21" s="3282"/>
      <c r="H21" s="3282"/>
      <c r="I21" s="3282"/>
    </row>
    <row r="22" spans="1:9">
      <c r="A22" s="3282"/>
      <c r="B22" s="3282"/>
      <c r="C22" s="3282"/>
      <c r="D22" s="3282"/>
      <c r="E22" s="3282"/>
      <c r="F22" s="3282"/>
      <c r="G22" s="3282"/>
      <c r="H22" s="3282"/>
      <c r="I22" s="3282"/>
    </row>
    <row r="23" spans="1:9">
      <c r="A23" s="3282"/>
      <c r="B23" s="3282"/>
      <c r="C23" s="3282"/>
      <c r="D23" s="3282"/>
      <c r="E23" s="3282"/>
      <c r="F23" s="3282"/>
      <c r="G23" s="3282"/>
      <c r="H23" s="3282"/>
      <c r="I23" s="3282"/>
    </row>
    <row r="24" spans="1:9">
      <c r="A24" s="3282"/>
      <c r="B24" s="3282"/>
      <c r="C24" s="3282"/>
      <c r="D24" s="3282"/>
      <c r="E24" s="3282"/>
      <c r="F24" s="3282"/>
      <c r="G24" s="3282"/>
      <c r="H24" s="3282"/>
      <c r="I24" s="3282"/>
    </row>
    <row r="26" spans="1:9" ht="20.100000000000001" customHeight="1">
      <c r="A26" s="1334"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sqref="A1:AN2"/>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25" t="s">
        <v>1522</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6"/>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27" t="str">
        <f xml:space="preserve"> IF(T25=100%,'Sources and Basis Breakdown'!G2,'Sources and Basis Breakdown'!F2)</f>
        <v>30% PVC for New Const/
Rehabilitation
DDA/QCT
Building(s)</v>
      </c>
      <c r="U7" s="3327"/>
      <c r="V7" s="3327"/>
      <c r="W7" s="3327"/>
      <c r="X7" s="3327"/>
      <c r="Y7" s="3327" t="str">
        <f>IF(T25=100%," ",'Sources and Basis Breakdown'!G2)</f>
        <v>30% PVC for New Const/
Rehabilitation
NON-DDA/
NON-QCT Building(s)</v>
      </c>
      <c r="Z7" s="3327"/>
      <c r="AA7" s="3327"/>
      <c r="AB7" s="3327"/>
      <c r="AC7" s="3327"/>
      <c r="AD7" s="3327" t="str">
        <f xml:space="preserve"> IF(T25=100%, 'Sources and Basis Breakdown'!J2,'Sources and Basis Breakdown'!I2)</f>
        <v>30% PVC for Acquisition
DDA/QCT Building(s)</v>
      </c>
      <c r="AE7" s="3327"/>
      <c r="AF7" s="3327"/>
      <c r="AG7" s="3327"/>
      <c r="AH7" s="3327"/>
      <c r="AI7" s="3327" t="str">
        <f>IF(T25=100%," ",'Sources and Basis Breakdown'!J2)</f>
        <v>30% PVC for Acquisition
NON-DDA/
NON-QCT Building(s)</v>
      </c>
      <c r="AJ7" s="3327"/>
      <c r="AK7" s="3327"/>
      <c r="AL7" s="3327"/>
      <c r="AM7" s="332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7"/>
      <c r="U8" s="3327"/>
      <c r="V8" s="3327"/>
      <c r="W8" s="3327"/>
      <c r="X8" s="3327"/>
      <c r="Y8" s="3327"/>
      <c r="Z8" s="3327"/>
      <c r="AA8" s="3327"/>
      <c r="AB8" s="3327"/>
      <c r="AC8" s="3327"/>
      <c r="AD8" s="3327"/>
      <c r="AE8" s="3327"/>
      <c r="AF8" s="3327"/>
      <c r="AG8" s="3327"/>
      <c r="AH8" s="3327"/>
      <c r="AI8" s="3327"/>
      <c r="AJ8" s="3327"/>
      <c r="AK8" s="3327"/>
      <c r="AL8" s="3327"/>
      <c r="AM8" s="332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7"/>
      <c r="U9" s="3327"/>
      <c r="V9" s="3327"/>
      <c r="W9" s="3327"/>
      <c r="X9" s="3327"/>
      <c r="Y9" s="3327"/>
      <c r="Z9" s="3327"/>
      <c r="AA9" s="3327"/>
      <c r="AB9" s="3327"/>
      <c r="AC9" s="3327"/>
      <c r="AD9" s="3327"/>
      <c r="AE9" s="3327"/>
      <c r="AF9" s="3327"/>
      <c r="AG9" s="3327"/>
      <c r="AH9" s="3327"/>
      <c r="AI9" s="3327"/>
      <c r="AJ9" s="3327"/>
      <c r="AK9" s="3327"/>
      <c r="AL9" s="3327"/>
      <c r="AM9" s="332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27"/>
      <c r="U10" s="3327"/>
      <c r="V10" s="3327"/>
      <c r="W10" s="3327"/>
      <c r="X10" s="3327"/>
      <c r="Y10" s="3327"/>
      <c r="Z10" s="3327"/>
      <c r="AA10" s="3327"/>
      <c r="AB10" s="3327"/>
      <c r="AC10" s="3327"/>
      <c r="AD10" s="3327"/>
      <c r="AE10" s="3327"/>
      <c r="AF10" s="3327"/>
      <c r="AG10" s="3327"/>
      <c r="AH10" s="3327"/>
      <c r="AI10" s="3327"/>
      <c r="AJ10" s="3327"/>
      <c r="AK10" s="3327"/>
      <c r="AL10" s="3327"/>
      <c r="AM10" s="332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5" t="s">
        <v>392</v>
      </c>
      <c r="C11" s="3296"/>
      <c r="D11" s="3296"/>
      <c r="E11" s="3296"/>
      <c r="F11" s="3296"/>
      <c r="G11" s="3296"/>
      <c r="H11" s="3296"/>
      <c r="I11" s="3296"/>
      <c r="J11" s="3296"/>
      <c r="K11" s="3296"/>
      <c r="L11" s="3296"/>
      <c r="M11" s="3296"/>
      <c r="N11" s="3296"/>
      <c r="O11" s="3296"/>
      <c r="P11" s="3296"/>
      <c r="Q11" s="3296"/>
      <c r="R11" s="3296"/>
      <c r="S11" s="3297"/>
      <c r="T11" s="3328">
        <f>IF('Sources and Basis Breakdown'!F107=0,'Sources and Basis Breakdown'!E107,'Sources and Basis Breakdown'!F107)</f>
        <v>73809303</v>
      </c>
      <c r="U11" s="3329"/>
      <c r="V11" s="3329"/>
      <c r="W11" s="3329"/>
      <c r="X11" s="3329"/>
      <c r="Y11" s="3328">
        <f>IF(Y7=" ",0,IF('Sources and Basis Breakdown'!G107+'Sources and Basis Breakdown'!F107='Sources and Basis Breakdown'!E107,'Sources and Basis Breakdown'!G107,0))</f>
        <v>0</v>
      </c>
      <c r="Z11" s="3329"/>
      <c r="AA11" s="3329"/>
      <c r="AB11" s="3329"/>
      <c r="AC11" s="3329"/>
      <c r="AD11" s="3329">
        <f>IF('Sources and Basis Breakdown'!I107=0,'Sources and Basis Breakdown'!H107,'Sources and Basis Breakdown'!I107)</f>
        <v>0</v>
      </c>
      <c r="AE11" s="3329"/>
      <c r="AF11" s="3329"/>
      <c r="AG11" s="3329"/>
      <c r="AH11" s="3329"/>
      <c r="AI11" s="3329">
        <f>IF(Y7=" ",0,IF('Sources and Basis Breakdown'!I107+'Sources and Basis Breakdown'!J107='Sources and Basis Breakdown'!H107,'Sources and Basis Breakdown'!J107,0))</f>
        <v>0</v>
      </c>
      <c r="AJ11" s="3329"/>
      <c r="AK11" s="3329"/>
      <c r="AL11" s="3329"/>
      <c r="AM11" s="332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0" t="s">
        <v>529</v>
      </c>
      <c r="C12" s="3321"/>
      <c r="D12" s="3321"/>
      <c r="E12" s="3321"/>
      <c r="F12" s="3321"/>
      <c r="G12" s="3321"/>
      <c r="H12" s="3321"/>
      <c r="I12" s="3321"/>
      <c r="J12" s="3321"/>
      <c r="K12" s="3321"/>
      <c r="L12" s="3321"/>
      <c r="M12" s="3321"/>
      <c r="N12" s="3321"/>
      <c r="O12" s="3321"/>
      <c r="P12" s="3321"/>
      <c r="Q12" s="3321"/>
      <c r="R12" s="3321"/>
      <c r="S12" s="3322"/>
      <c r="T12" s="3283"/>
      <c r="U12" s="3284"/>
      <c r="V12" s="3284"/>
      <c r="W12" s="3284"/>
      <c r="X12" s="3285"/>
      <c r="Y12" s="3283"/>
      <c r="Z12" s="3284"/>
      <c r="AA12" s="3284"/>
      <c r="AB12" s="3284"/>
      <c r="AC12" s="3285"/>
      <c r="AD12" s="3283"/>
      <c r="AE12" s="3284"/>
      <c r="AF12" s="3284"/>
      <c r="AG12" s="3284"/>
      <c r="AH12" s="3285"/>
      <c r="AI12" s="3283"/>
      <c r="AJ12" s="3284"/>
      <c r="AK12" s="3284"/>
      <c r="AL12" s="3284"/>
      <c r="AM12" s="328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3" t="s">
        <v>530</v>
      </c>
      <c r="D13" s="3323"/>
      <c r="E13" s="3323"/>
      <c r="F13" s="3323"/>
      <c r="G13" s="3323"/>
      <c r="H13" s="3323"/>
      <c r="I13" s="3323"/>
      <c r="J13" s="3323"/>
      <c r="K13" s="3323"/>
      <c r="L13" s="3323"/>
      <c r="M13" s="3323"/>
      <c r="N13" s="3323"/>
      <c r="O13" s="3323"/>
      <c r="P13" s="3323"/>
      <c r="Q13" s="3323"/>
      <c r="R13" s="3323"/>
      <c r="S13" s="3324"/>
      <c r="T13" s="3330"/>
      <c r="U13" s="3331"/>
      <c r="V13" s="3331"/>
      <c r="W13" s="3331"/>
      <c r="X13" s="3331"/>
      <c r="Y13" s="3330"/>
      <c r="Z13" s="3331"/>
      <c r="AA13" s="3331"/>
      <c r="AB13" s="3331"/>
      <c r="AC13" s="3331"/>
      <c r="AD13" s="3331"/>
      <c r="AE13" s="3331"/>
      <c r="AF13" s="3331"/>
      <c r="AG13" s="3331"/>
      <c r="AH13" s="3331"/>
      <c r="AI13" s="3331"/>
      <c r="AJ13" s="3331"/>
      <c r="AK13" s="3331"/>
      <c r="AL13" s="3331"/>
      <c r="AM13" s="333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3" t="s">
        <v>531</v>
      </c>
      <c r="D14" s="3323"/>
      <c r="E14" s="3323"/>
      <c r="F14" s="3323"/>
      <c r="G14" s="3323"/>
      <c r="H14" s="3323"/>
      <c r="I14" s="3323"/>
      <c r="J14" s="3323"/>
      <c r="K14" s="3323"/>
      <c r="L14" s="3323"/>
      <c r="M14" s="3323"/>
      <c r="N14" s="3323"/>
      <c r="O14" s="3323"/>
      <c r="P14" s="3323"/>
      <c r="Q14" s="3323"/>
      <c r="R14" s="3323"/>
      <c r="S14" s="3324"/>
      <c r="T14" s="3286"/>
      <c r="U14" s="3287"/>
      <c r="V14" s="3287"/>
      <c r="W14" s="3287"/>
      <c r="X14" s="3287"/>
      <c r="Y14" s="3286"/>
      <c r="Z14" s="3287"/>
      <c r="AA14" s="3287"/>
      <c r="AB14" s="3287"/>
      <c r="AC14" s="3287"/>
      <c r="AD14" s="3287"/>
      <c r="AE14" s="3287"/>
      <c r="AF14" s="3287"/>
      <c r="AG14" s="3287"/>
      <c r="AH14" s="3287"/>
      <c r="AI14" s="3287"/>
      <c r="AJ14" s="3287"/>
      <c r="AK14" s="3287"/>
      <c r="AL14" s="3287"/>
      <c r="AM14" s="328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3" t="s">
        <v>532</v>
      </c>
      <c r="D15" s="3323"/>
      <c r="E15" s="3323"/>
      <c r="F15" s="3323"/>
      <c r="G15" s="3323"/>
      <c r="H15" s="3323"/>
      <c r="I15" s="3323"/>
      <c r="J15" s="3323"/>
      <c r="K15" s="3323"/>
      <c r="L15" s="3323"/>
      <c r="M15" s="3323"/>
      <c r="N15" s="3323"/>
      <c r="O15" s="3323"/>
      <c r="P15" s="3323"/>
      <c r="Q15" s="3323"/>
      <c r="R15" s="3323"/>
      <c r="S15" s="3324"/>
      <c r="T15" s="3286"/>
      <c r="U15" s="3287"/>
      <c r="V15" s="3287"/>
      <c r="W15" s="3287"/>
      <c r="X15" s="3287"/>
      <c r="Y15" s="3286"/>
      <c r="Z15" s="3287"/>
      <c r="AA15" s="3287"/>
      <c r="AB15" s="3287"/>
      <c r="AC15" s="3287"/>
      <c r="AD15" s="3287"/>
      <c r="AE15" s="3287"/>
      <c r="AF15" s="3287"/>
      <c r="AG15" s="3287"/>
      <c r="AH15" s="3287"/>
      <c r="AI15" s="3287"/>
      <c r="AJ15" s="3287"/>
      <c r="AK15" s="3287"/>
      <c r="AL15" s="3287"/>
      <c r="AM15" s="328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3" t="s">
        <v>863</v>
      </c>
      <c r="D16" s="3323"/>
      <c r="E16" s="3323"/>
      <c r="F16" s="3323"/>
      <c r="G16" s="3323"/>
      <c r="H16" s="3323"/>
      <c r="I16" s="3323"/>
      <c r="J16" s="3323"/>
      <c r="K16" s="3323"/>
      <c r="L16" s="3323"/>
      <c r="M16" s="3323"/>
      <c r="N16" s="3323"/>
      <c r="O16" s="3323"/>
      <c r="P16" s="3323"/>
      <c r="Q16" s="3323"/>
      <c r="R16" s="3323"/>
      <c r="S16" s="3324"/>
      <c r="T16" s="3286"/>
      <c r="U16" s="3287"/>
      <c r="V16" s="3287"/>
      <c r="W16" s="3287"/>
      <c r="X16" s="3287"/>
      <c r="Y16" s="3286"/>
      <c r="Z16" s="3287"/>
      <c r="AA16" s="3287"/>
      <c r="AB16" s="3287"/>
      <c r="AC16" s="3287"/>
      <c r="AD16" s="3287"/>
      <c r="AE16" s="3287"/>
      <c r="AF16" s="3287"/>
      <c r="AG16" s="3287"/>
      <c r="AH16" s="3287"/>
      <c r="AI16" s="3287"/>
      <c r="AJ16" s="3287"/>
      <c r="AK16" s="3287"/>
      <c r="AL16" s="3287"/>
      <c r="AM16" s="328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3" t="s">
        <v>533</v>
      </c>
      <c r="D17" s="3323"/>
      <c r="E17" s="3323"/>
      <c r="F17" s="3323"/>
      <c r="G17" s="3323"/>
      <c r="H17" s="3323"/>
      <c r="I17" s="3323"/>
      <c r="J17" s="3323"/>
      <c r="K17" s="3323"/>
      <c r="L17" s="3323"/>
      <c r="M17" s="3323"/>
      <c r="N17" s="3323"/>
      <c r="O17" s="3323"/>
      <c r="P17" s="3323"/>
      <c r="Q17" s="3323"/>
      <c r="R17" s="3323"/>
      <c r="S17" s="3324"/>
      <c r="T17" s="3286"/>
      <c r="U17" s="3287"/>
      <c r="V17" s="3287"/>
      <c r="W17" s="3287"/>
      <c r="X17" s="3287"/>
      <c r="Y17" s="3286"/>
      <c r="Z17" s="3287"/>
      <c r="AA17" s="3287"/>
      <c r="AB17" s="3287"/>
      <c r="AC17" s="3287"/>
      <c r="AD17" s="3287"/>
      <c r="AE17" s="3287"/>
      <c r="AF17" s="3287"/>
      <c r="AG17" s="3287"/>
      <c r="AH17" s="3287"/>
      <c r="AI17" s="3287"/>
      <c r="AJ17" s="3287"/>
      <c r="AK17" s="3287"/>
      <c r="AL17" s="3287"/>
      <c r="AM17" s="328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8" t="s">
        <v>1038</v>
      </c>
      <c r="D18" s="3318"/>
      <c r="E18" s="3318"/>
      <c r="F18" s="3318"/>
      <c r="G18" s="3318"/>
      <c r="H18" s="3318"/>
      <c r="I18" s="3318"/>
      <c r="J18" s="3318"/>
      <c r="K18" s="3318"/>
      <c r="L18" s="3318"/>
      <c r="M18" s="3318"/>
      <c r="N18" s="3318"/>
      <c r="O18" s="3318"/>
      <c r="P18" s="3318"/>
      <c r="Q18" s="3318"/>
      <c r="R18" s="3318"/>
      <c r="S18" s="3319"/>
      <c r="T18" s="3286"/>
      <c r="U18" s="3287"/>
      <c r="V18" s="3287"/>
      <c r="W18" s="3287"/>
      <c r="X18" s="3287"/>
      <c r="Y18" s="3286"/>
      <c r="Z18" s="3287"/>
      <c r="AA18" s="3287"/>
      <c r="AB18" s="3287"/>
      <c r="AC18" s="3287"/>
      <c r="AD18" s="3287"/>
      <c r="AE18" s="3287"/>
      <c r="AF18" s="3287"/>
      <c r="AG18" s="3287"/>
      <c r="AH18" s="3287"/>
      <c r="AI18" s="3287"/>
      <c r="AJ18" s="3287"/>
      <c r="AK18" s="3287"/>
      <c r="AL18" s="3287"/>
      <c r="AM18" s="328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8" t="s">
        <v>1038</v>
      </c>
      <c r="D19" s="3318"/>
      <c r="E19" s="3318"/>
      <c r="F19" s="3318"/>
      <c r="G19" s="3318"/>
      <c r="H19" s="3318"/>
      <c r="I19" s="3318"/>
      <c r="J19" s="3318"/>
      <c r="K19" s="3318"/>
      <c r="L19" s="3318"/>
      <c r="M19" s="3318"/>
      <c r="N19" s="3318"/>
      <c r="O19" s="3318"/>
      <c r="P19" s="3318"/>
      <c r="Q19" s="3318"/>
      <c r="R19" s="3318"/>
      <c r="S19" s="3319"/>
      <c r="T19" s="3286"/>
      <c r="U19" s="3287"/>
      <c r="V19" s="3287"/>
      <c r="W19" s="3287"/>
      <c r="X19" s="3287"/>
      <c r="Y19" s="3286"/>
      <c r="Z19" s="3287"/>
      <c r="AA19" s="3287"/>
      <c r="AB19" s="3287"/>
      <c r="AC19" s="3287"/>
      <c r="AD19" s="3287"/>
      <c r="AE19" s="3287"/>
      <c r="AF19" s="3287"/>
      <c r="AG19" s="3287"/>
      <c r="AH19" s="3287"/>
      <c r="AI19" s="3287"/>
      <c r="AJ19" s="3287"/>
      <c r="AK19" s="3287"/>
      <c r="AL19" s="3287"/>
      <c r="AM19" s="328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5" t="s">
        <v>534</v>
      </c>
      <c r="C20" s="3296"/>
      <c r="D20" s="3296"/>
      <c r="E20" s="3296"/>
      <c r="F20" s="3296"/>
      <c r="G20" s="3296"/>
      <c r="H20" s="3296"/>
      <c r="I20" s="3296"/>
      <c r="J20" s="3296"/>
      <c r="K20" s="3296"/>
      <c r="L20" s="3296"/>
      <c r="M20" s="3296"/>
      <c r="N20" s="3296"/>
      <c r="O20" s="3296"/>
      <c r="P20" s="3296"/>
      <c r="Q20" s="3296"/>
      <c r="R20" s="3296"/>
      <c r="S20" s="3297"/>
      <c r="T20" s="3288">
        <f>SUM(T13:X19)</f>
        <v>0</v>
      </c>
      <c r="U20" s="3289"/>
      <c r="V20" s="3289"/>
      <c r="W20" s="3289"/>
      <c r="X20" s="3289"/>
      <c r="Y20" s="3288">
        <f>SUM(Y13:AC19)</f>
        <v>0</v>
      </c>
      <c r="Z20" s="3289"/>
      <c r="AA20" s="3289"/>
      <c r="AB20" s="3289"/>
      <c r="AC20" s="3289"/>
      <c r="AD20" s="3290">
        <f>SUM(AD13:AH19)</f>
        <v>0</v>
      </c>
      <c r="AE20" s="3291"/>
      <c r="AF20" s="3291"/>
      <c r="AG20" s="3291"/>
      <c r="AH20" s="3288"/>
      <c r="AI20" s="3290">
        <f>SUM(AI13:AM19)</f>
        <v>0</v>
      </c>
      <c r="AJ20" s="3291"/>
      <c r="AK20" s="3291"/>
      <c r="AL20" s="3291"/>
      <c r="AM20" s="328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5" t="s">
        <v>1494</v>
      </c>
      <c r="C21" s="3296"/>
      <c r="D21" s="3296"/>
      <c r="E21" s="3296"/>
      <c r="F21" s="3296"/>
      <c r="G21" s="3296"/>
      <c r="H21" s="3296"/>
      <c r="I21" s="3296"/>
      <c r="J21" s="3296"/>
      <c r="K21" s="3296"/>
      <c r="L21" s="3296"/>
      <c r="M21" s="3296"/>
      <c r="N21" s="3296"/>
      <c r="O21" s="3296"/>
      <c r="P21" s="3296"/>
      <c r="Q21" s="3296"/>
      <c r="R21" s="3296"/>
      <c r="S21" s="3297"/>
      <c r="T21" s="3286"/>
      <c r="U21" s="3287"/>
      <c r="V21" s="3287"/>
      <c r="W21" s="3287"/>
      <c r="X21" s="3287"/>
      <c r="Y21" s="3286"/>
      <c r="Z21" s="3287"/>
      <c r="AA21" s="3287"/>
      <c r="AB21" s="3287"/>
      <c r="AC21" s="3287"/>
      <c r="AD21" s="3283"/>
      <c r="AE21" s="3284"/>
      <c r="AF21" s="3284"/>
      <c r="AG21" s="3284"/>
      <c r="AH21" s="3285"/>
      <c r="AI21" s="3283"/>
      <c r="AJ21" s="3284"/>
      <c r="AK21" s="3284"/>
      <c r="AL21" s="3284"/>
      <c r="AM21" s="328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5" t="s">
        <v>535</v>
      </c>
      <c r="C22" s="3296"/>
      <c r="D22" s="3296"/>
      <c r="E22" s="3296"/>
      <c r="F22" s="3296"/>
      <c r="G22" s="3296"/>
      <c r="H22" s="3296"/>
      <c r="I22" s="3296"/>
      <c r="J22" s="3296"/>
      <c r="K22" s="3296"/>
      <c r="L22" s="3296"/>
      <c r="M22" s="3296"/>
      <c r="N22" s="3296"/>
      <c r="O22" s="3296"/>
      <c r="P22" s="3296"/>
      <c r="Q22" s="3296"/>
      <c r="R22" s="3296"/>
      <c r="S22" s="3297"/>
      <c r="T22" s="3332">
        <f>(T20+T21)*-1</f>
        <v>0</v>
      </c>
      <c r="U22" s="3333"/>
      <c r="V22" s="3333"/>
      <c r="W22" s="3333"/>
      <c r="X22" s="3333"/>
      <c r="Y22" s="3332">
        <f>(Y20+Y21)*-1</f>
        <v>0</v>
      </c>
      <c r="Z22" s="3333"/>
      <c r="AA22" s="3333"/>
      <c r="AB22" s="3333"/>
      <c r="AC22" s="3333"/>
      <c r="AD22" s="3334">
        <f>(AD20)*-1</f>
        <v>0</v>
      </c>
      <c r="AE22" s="3335"/>
      <c r="AF22" s="3335"/>
      <c r="AG22" s="3335"/>
      <c r="AH22" s="3332"/>
      <c r="AI22" s="3334">
        <f>(AI20)*-1</f>
        <v>0</v>
      </c>
      <c r="AJ22" s="3335"/>
      <c r="AK22" s="3335"/>
      <c r="AL22" s="3335"/>
      <c r="AM22" s="333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98" t="s">
        <v>536</v>
      </c>
      <c r="C23" s="3299"/>
      <c r="D23" s="3299"/>
      <c r="E23" s="3299"/>
      <c r="F23" s="3299"/>
      <c r="G23" s="3299"/>
      <c r="H23" s="3299"/>
      <c r="I23" s="3299"/>
      <c r="J23" s="3299"/>
      <c r="K23" s="3299"/>
      <c r="L23" s="3299"/>
      <c r="M23" s="3299"/>
      <c r="N23" s="3299"/>
      <c r="O23" s="3299"/>
      <c r="P23" s="3299"/>
      <c r="Q23" s="3299"/>
      <c r="R23" s="3299"/>
      <c r="S23" s="3300"/>
      <c r="T23" s="3288">
        <f>T11+T22</f>
        <v>73809303</v>
      </c>
      <c r="U23" s="3289"/>
      <c r="V23" s="3289"/>
      <c r="W23" s="3289"/>
      <c r="X23" s="3289"/>
      <c r="Y23" s="3288">
        <f>Y11+Y22</f>
        <v>0</v>
      </c>
      <c r="Z23" s="3289"/>
      <c r="AA23" s="3289"/>
      <c r="AB23" s="3289"/>
      <c r="AC23" s="3289"/>
      <c r="AD23" s="3288">
        <f>AD11+AD22</f>
        <v>0</v>
      </c>
      <c r="AE23" s="3289"/>
      <c r="AF23" s="3289"/>
      <c r="AG23" s="3289"/>
      <c r="AH23" s="3289"/>
      <c r="AI23" s="3288">
        <f>AI11+AI22</f>
        <v>0</v>
      </c>
      <c r="AJ23" s="3289"/>
      <c r="AK23" s="3289"/>
      <c r="AL23" s="3289"/>
      <c r="AM23" s="328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5" t="s">
        <v>1039</v>
      </c>
      <c r="C24" s="3296"/>
      <c r="D24" s="3296"/>
      <c r="E24" s="3296"/>
      <c r="F24" s="3296"/>
      <c r="G24" s="3296"/>
      <c r="H24" s="3296"/>
      <c r="I24" s="3296"/>
      <c r="J24" s="3296"/>
      <c r="K24" s="3296"/>
      <c r="L24" s="3296"/>
      <c r="M24" s="3296"/>
      <c r="N24" s="3296"/>
      <c r="O24" s="3296"/>
      <c r="P24" s="3296"/>
      <c r="Q24" s="3296"/>
      <c r="R24" s="3296"/>
      <c r="S24" s="3297"/>
      <c r="T24" s="3290">
        <f>Application!AJ1032</f>
        <v>106074396.8</v>
      </c>
      <c r="U24" s="3291"/>
      <c r="V24" s="3291"/>
      <c r="W24" s="3291"/>
      <c r="X24" s="3291"/>
      <c r="Y24" s="3291"/>
      <c r="Z24" s="3291"/>
      <c r="AA24" s="3291"/>
      <c r="AB24" s="3291"/>
      <c r="AC24" s="3291"/>
      <c r="AD24" s="3291"/>
      <c r="AE24" s="3291"/>
      <c r="AF24" s="3291"/>
      <c r="AG24" s="3291"/>
      <c r="AH24" s="3291"/>
      <c r="AI24" s="3291"/>
      <c r="AJ24" s="3291"/>
      <c r="AK24" s="3291"/>
      <c r="AL24" s="3291"/>
      <c r="AM24" s="328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02" t="s">
        <v>1495</v>
      </c>
      <c r="C25" s="3303"/>
      <c r="D25" s="3303"/>
      <c r="E25" s="3303"/>
      <c r="F25" s="3303"/>
      <c r="G25" s="3303"/>
      <c r="H25" s="3303"/>
      <c r="I25" s="3303"/>
      <c r="J25" s="3303"/>
      <c r="K25" s="3303"/>
      <c r="L25" s="3303"/>
      <c r="M25" s="3303"/>
      <c r="N25" s="3303"/>
      <c r="O25" s="3303"/>
      <c r="P25" s="3303"/>
      <c r="Q25" s="3303"/>
      <c r="R25" s="3303"/>
      <c r="S25" s="3304"/>
      <c r="T25" s="3336">
        <f>IF(OR(Application!T195="yes",Application!T194="yes"),1.3,1)</f>
        <v>1.3</v>
      </c>
      <c r="U25" s="3337"/>
      <c r="V25" s="3337"/>
      <c r="W25" s="3337"/>
      <c r="X25" s="3337"/>
      <c r="Y25" s="3336">
        <v>1</v>
      </c>
      <c r="Z25" s="3337"/>
      <c r="AA25" s="3337"/>
      <c r="AB25" s="3337"/>
      <c r="AC25" s="3337"/>
      <c r="AD25" s="3336">
        <v>1</v>
      </c>
      <c r="AE25" s="3337"/>
      <c r="AF25" s="3337"/>
      <c r="AG25" s="3337"/>
      <c r="AH25" s="3338"/>
      <c r="AI25" s="3336">
        <v>1</v>
      </c>
      <c r="AJ25" s="3337"/>
      <c r="AK25" s="3337"/>
      <c r="AL25" s="3337"/>
      <c r="AM25" s="333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5" t="s">
        <v>537</v>
      </c>
      <c r="C26" s="3296"/>
      <c r="D26" s="3296"/>
      <c r="E26" s="3296"/>
      <c r="F26" s="3296"/>
      <c r="G26" s="3296"/>
      <c r="H26" s="3296"/>
      <c r="I26" s="3296"/>
      <c r="J26" s="3296"/>
      <c r="K26" s="3296"/>
      <c r="L26" s="3296"/>
      <c r="M26" s="3296"/>
      <c r="N26" s="3296"/>
      <c r="O26" s="3296"/>
      <c r="P26" s="3296"/>
      <c r="Q26" s="3296"/>
      <c r="R26" s="3296"/>
      <c r="S26" s="3297"/>
      <c r="T26" s="3339">
        <f>T23*T25</f>
        <v>95952093.900000006</v>
      </c>
      <c r="U26" s="3340"/>
      <c r="V26" s="3340"/>
      <c r="W26" s="3340"/>
      <c r="X26" s="3340"/>
      <c r="Y26" s="3339">
        <f>Y23*Y25</f>
        <v>0</v>
      </c>
      <c r="Z26" s="3340"/>
      <c r="AA26" s="3340"/>
      <c r="AB26" s="3340"/>
      <c r="AC26" s="3340"/>
      <c r="AD26" s="3339">
        <f>AD23*AD25</f>
        <v>0</v>
      </c>
      <c r="AE26" s="3340"/>
      <c r="AF26" s="3340"/>
      <c r="AG26" s="3340"/>
      <c r="AH26" s="3340"/>
      <c r="AI26" s="3339">
        <f>AI23*AI25</f>
        <v>0</v>
      </c>
      <c r="AJ26" s="3340"/>
      <c r="AK26" s="3340"/>
      <c r="AL26" s="3340"/>
      <c r="AM26" s="334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05" t="s">
        <v>446</v>
      </c>
      <c r="C27" s="3306"/>
      <c r="D27" s="3306"/>
      <c r="E27" s="3306"/>
      <c r="F27" s="3306"/>
      <c r="G27" s="3306"/>
      <c r="H27" s="3306"/>
      <c r="I27" s="3306"/>
      <c r="J27" s="3306"/>
      <c r="K27" s="3306"/>
      <c r="L27" s="3306"/>
      <c r="M27" s="3306"/>
      <c r="N27" s="3306"/>
      <c r="O27" s="3306"/>
      <c r="P27" s="3306"/>
      <c r="Q27" s="3306"/>
      <c r="R27" s="3306"/>
      <c r="S27" s="3307"/>
      <c r="T27" s="3316">
        <f>Application!$AG$444</f>
        <v>1</v>
      </c>
      <c r="U27" s="3317"/>
      <c r="V27" s="3317"/>
      <c r="W27" s="3317"/>
      <c r="X27" s="3317"/>
      <c r="Y27" s="3316">
        <f>Application!$AG$444</f>
        <v>1</v>
      </c>
      <c r="Z27" s="3317"/>
      <c r="AA27" s="3317"/>
      <c r="AB27" s="3317"/>
      <c r="AC27" s="3317"/>
      <c r="AD27" s="3316">
        <f>Application!$AG$444</f>
        <v>1</v>
      </c>
      <c r="AE27" s="3317"/>
      <c r="AF27" s="3317"/>
      <c r="AG27" s="3317"/>
      <c r="AH27" s="3317"/>
      <c r="AI27" s="3316">
        <f>Application!$AG$444</f>
        <v>1</v>
      </c>
      <c r="AJ27" s="3317"/>
      <c r="AK27" s="3317"/>
      <c r="AL27" s="3317"/>
      <c r="AM27" s="331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5" t="s">
        <v>538</v>
      </c>
      <c r="C28" s="3296"/>
      <c r="D28" s="3296"/>
      <c r="E28" s="3296"/>
      <c r="F28" s="3296"/>
      <c r="G28" s="3296"/>
      <c r="H28" s="3296"/>
      <c r="I28" s="3296"/>
      <c r="J28" s="3296"/>
      <c r="K28" s="3296"/>
      <c r="L28" s="3296"/>
      <c r="M28" s="3296"/>
      <c r="N28" s="3296"/>
      <c r="O28" s="3296"/>
      <c r="P28" s="3296"/>
      <c r="Q28" s="3296"/>
      <c r="R28" s="3296"/>
      <c r="S28" s="3297"/>
      <c r="T28" s="3308">
        <f>IF(ISERROR((T26*T27)),0,(T26*T27))</f>
        <v>95952093.900000006</v>
      </c>
      <c r="U28" s="3309"/>
      <c r="V28" s="3309"/>
      <c r="W28" s="3309"/>
      <c r="X28" s="3309"/>
      <c r="Y28" s="3308">
        <f>IF(ISERROR((Y26*Y27)),0,(Y26*Y27))</f>
        <v>0</v>
      </c>
      <c r="Z28" s="3309"/>
      <c r="AA28" s="3309"/>
      <c r="AB28" s="3309"/>
      <c r="AC28" s="3309"/>
      <c r="AD28" s="3308">
        <f>IF(ISERROR((AD26*AD27)),0,(AD26*AD27))</f>
        <v>0</v>
      </c>
      <c r="AE28" s="3309"/>
      <c r="AF28" s="3309"/>
      <c r="AG28" s="3309"/>
      <c r="AH28" s="3309"/>
      <c r="AI28" s="3308">
        <f>IF(ISERROR((AI26*AI27)),0,(AI26*AI27))</f>
        <v>0</v>
      </c>
      <c r="AJ28" s="3309"/>
      <c r="AK28" s="3309"/>
      <c r="AL28" s="3309"/>
      <c r="AM28" s="330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5" t="s">
        <v>555</v>
      </c>
      <c r="C29" s="3296"/>
      <c r="D29" s="3296"/>
      <c r="E29" s="3296"/>
      <c r="F29" s="3296"/>
      <c r="G29" s="3296"/>
      <c r="H29" s="3296"/>
      <c r="I29" s="3296"/>
      <c r="J29" s="3296"/>
      <c r="K29" s="3296"/>
      <c r="L29" s="3296"/>
      <c r="M29" s="3296"/>
      <c r="N29" s="3296"/>
      <c r="O29" s="3296"/>
      <c r="P29" s="3296"/>
      <c r="Q29" s="3296"/>
      <c r="R29" s="3296"/>
      <c r="S29" s="3297"/>
      <c r="T29" s="3290">
        <f>T28+Y28+AD28+AI28</f>
        <v>95952093.900000006</v>
      </c>
      <c r="U29" s="3291"/>
      <c r="V29" s="3291"/>
      <c r="W29" s="3291"/>
      <c r="X29" s="3291"/>
      <c r="Y29" s="3291"/>
      <c r="Z29" s="3291"/>
      <c r="AA29" s="3291"/>
      <c r="AB29" s="3291"/>
      <c r="AC29" s="3291"/>
      <c r="AD29" s="3291"/>
      <c r="AE29" s="3291"/>
      <c r="AF29" s="3291"/>
      <c r="AG29" s="3291"/>
      <c r="AH29" s="3291"/>
      <c r="AI29" s="3291"/>
      <c r="AJ29" s="3291"/>
      <c r="AK29" s="3291"/>
      <c r="AL29" s="3291"/>
      <c r="AM29" s="328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1" t="s">
        <v>1497</v>
      </c>
      <c r="C30" s="3301"/>
      <c r="D30" s="3301"/>
      <c r="E30" s="3301"/>
      <c r="F30" s="3301"/>
      <c r="G30" s="3301"/>
      <c r="H30" s="3301"/>
      <c r="I30" s="3301"/>
      <c r="J30" s="3301"/>
      <c r="K30" s="3301"/>
      <c r="L30" s="3301"/>
      <c r="M30" s="3301"/>
      <c r="N30" s="3301"/>
      <c r="O30" s="3301"/>
      <c r="P30" s="3301"/>
      <c r="Q30" s="3301"/>
      <c r="R30" s="3301"/>
      <c r="S30" s="3301"/>
      <c r="T30" s="3301"/>
      <c r="U30" s="3301"/>
      <c r="V30" s="3301"/>
      <c r="W30" s="3301"/>
      <c r="X30" s="3301"/>
      <c r="Y30" s="3301"/>
      <c r="Z30" s="3301"/>
      <c r="AA30" s="3301"/>
      <c r="AB30" s="3301"/>
      <c r="AC30" s="3301"/>
      <c r="AD30" s="3301"/>
      <c r="AE30" s="3301"/>
      <c r="AF30" s="3301"/>
      <c r="AG30" s="3301"/>
      <c r="AH30" s="3301"/>
      <c r="AI30" s="3301"/>
      <c r="AJ30" s="3301"/>
      <c r="AK30" s="3301"/>
      <c r="AL30" s="3301"/>
      <c r="AM30" s="330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1" t="s">
        <v>1496</v>
      </c>
      <c r="C31" s="3301"/>
      <c r="D31" s="3301"/>
      <c r="E31" s="3301"/>
      <c r="F31" s="3301"/>
      <c r="G31" s="3301"/>
      <c r="H31" s="3301"/>
      <c r="I31" s="3301"/>
      <c r="J31" s="3301"/>
      <c r="K31" s="3301"/>
      <c r="L31" s="3301"/>
      <c r="M31" s="3301"/>
      <c r="N31" s="3301"/>
      <c r="O31" s="3301"/>
      <c r="P31" s="3301"/>
      <c r="Q31" s="3301"/>
      <c r="R31" s="3301"/>
      <c r="S31" s="3301"/>
      <c r="T31" s="3301"/>
      <c r="U31" s="3301"/>
      <c r="V31" s="3301"/>
      <c r="W31" s="3301"/>
      <c r="X31" s="3301"/>
      <c r="Y31" s="3301"/>
      <c r="Z31" s="3301"/>
      <c r="AA31" s="3301"/>
      <c r="AB31" s="3301"/>
      <c r="AC31" s="3301"/>
      <c r="AD31" s="3301"/>
      <c r="AE31" s="3301"/>
      <c r="AF31" s="3301"/>
      <c r="AG31" s="3301"/>
      <c r="AH31" s="3301"/>
      <c r="AI31" s="3301"/>
      <c r="AJ31" s="3301"/>
      <c r="AK31" s="3301"/>
      <c r="AL31" s="3301"/>
      <c r="AM31" s="330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7" t="s">
        <v>1345</v>
      </c>
      <c r="Z35" s="3327"/>
      <c r="AA35" s="3327"/>
      <c r="AB35" s="3327"/>
      <c r="AC35" s="3327"/>
      <c r="AD35" s="3353" t="s">
        <v>380</v>
      </c>
      <c r="AE35" s="3353"/>
      <c r="AF35" s="3353"/>
      <c r="AG35" s="3353"/>
      <c r="AH35" s="335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7"/>
      <c r="Z36" s="3327"/>
      <c r="AA36" s="3327"/>
      <c r="AB36" s="3327"/>
      <c r="AC36" s="3327"/>
      <c r="AD36" s="3353"/>
      <c r="AE36" s="3353"/>
      <c r="AF36" s="3353"/>
      <c r="AG36" s="3353"/>
      <c r="AH36" s="335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7"/>
      <c r="Z37" s="3327"/>
      <c r="AA37" s="3327"/>
      <c r="AB37" s="3327"/>
      <c r="AC37" s="3327"/>
      <c r="AD37" s="3353"/>
      <c r="AE37" s="3353"/>
      <c r="AF37" s="3353"/>
      <c r="AG37" s="3353"/>
      <c r="AH37" s="335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5" t="s">
        <v>538</v>
      </c>
      <c r="C38" s="3296"/>
      <c r="D38" s="3296"/>
      <c r="E38" s="3296"/>
      <c r="F38" s="3296"/>
      <c r="G38" s="3296"/>
      <c r="H38" s="3296"/>
      <c r="I38" s="3296"/>
      <c r="J38" s="3296"/>
      <c r="K38" s="3296"/>
      <c r="L38" s="3296"/>
      <c r="M38" s="3296"/>
      <c r="N38" s="3296"/>
      <c r="O38" s="3296"/>
      <c r="P38" s="3296"/>
      <c r="Q38" s="3296"/>
      <c r="R38" s="3296"/>
      <c r="S38" s="3296"/>
      <c r="T38" s="3296"/>
      <c r="U38" s="3296"/>
      <c r="V38" s="3296"/>
      <c r="W38" s="3296"/>
      <c r="X38" s="3297"/>
      <c r="Y38" s="3289">
        <f>IF(T24&gt;=(T23+Y23+AD23+AI23),T28+Y28,0)</f>
        <v>95952093.900000006</v>
      </c>
      <c r="Z38" s="3289"/>
      <c r="AA38" s="3289"/>
      <c r="AB38" s="3289"/>
      <c r="AC38" s="3289"/>
      <c r="AD38" s="3289">
        <f>IF(T24&gt;=(T23+Y23+AD23+AI23),AD28+AI28,0)</f>
        <v>0</v>
      </c>
      <c r="AE38" s="3289"/>
      <c r="AF38" s="3289"/>
      <c r="AG38" s="3289"/>
      <c r="AH38" s="328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5" t="s">
        <v>2176</v>
      </c>
      <c r="C39" s="3296"/>
      <c r="D39" s="3296"/>
      <c r="E39" s="3296"/>
      <c r="F39" s="3296"/>
      <c r="G39" s="3296"/>
      <c r="H39" s="3296"/>
      <c r="I39" s="3296"/>
      <c r="J39" s="3296"/>
      <c r="K39" s="3296"/>
      <c r="L39" s="3296"/>
      <c r="M39" s="3296"/>
      <c r="N39" s="3296"/>
      <c r="O39" s="3296"/>
      <c r="P39" s="3296"/>
      <c r="Q39" s="3296"/>
      <c r="R39" s="3296"/>
      <c r="S39" s="3296"/>
      <c r="T39" s="3296"/>
      <c r="U39" s="3296"/>
      <c r="V39" s="3296"/>
      <c r="W39" s="3296"/>
      <c r="X39" s="3297"/>
      <c r="Y39" s="3354">
        <v>0.04</v>
      </c>
      <c r="Z39" s="3354"/>
      <c r="AA39" s="3354"/>
      <c r="AB39" s="3354"/>
      <c r="AC39" s="3354"/>
      <c r="AD39" s="3354">
        <v>0.04</v>
      </c>
      <c r="AE39" s="3354"/>
      <c r="AF39" s="3354"/>
      <c r="AG39" s="3354"/>
      <c r="AH39" s="335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5" t="s">
        <v>676</v>
      </c>
      <c r="C40" s="3296"/>
      <c r="D40" s="3296"/>
      <c r="E40" s="3296"/>
      <c r="F40" s="3296"/>
      <c r="G40" s="3296"/>
      <c r="H40" s="3296"/>
      <c r="I40" s="3296"/>
      <c r="J40" s="3296"/>
      <c r="K40" s="3296"/>
      <c r="L40" s="3296"/>
      <c r="M40" s="3296"/>
      <c r="N40" s="3296"/>
      <c r="O40" s="3296"/>
      <c r="P40" s="3296"/>
      <c r="Q40" s="3296"/>
      <c r="R40" s="3296"/>
      <c r="S40" s="3296"/>
      <c r="T40" s="3296"/>
      <c r="U40" s="3296"/>
      <c r="V40" s="3296"/>
      <c r="W40" s="3296"/>
      <c r="X40" s="3297"/>
      <c r="Y40" s="3289">
        <f>ROUND(Y38*Y39,0)</f>
        <v>3838084</v>
      </c>
      <c r="Z40" s="3289"/>
      <c r="AA40" s="3289"/>
      <c r="AB40" s="3289"/>
      <c r="AC40" s="3289"/>
      <c r="AD40" s="3288">
        <f>ROUND(AD38*AD39,0)</f>
        <v>0</v>
      </c>
      <c r="AE40" s="3289"/>
      <c r="AF40" s="3289"/>
      <c r="AG40" s="3289"/>
      <c r="AH40" s="328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5" t="s">
        <v>677</v>
      </c>
      <c r="C41" s="3296"/>
      <c r="D41" s="3296"/>
      <c r="E41" s="3296"/>
      <c r="F41" s="3296"/>
      <c r="G41" s="3296"/>
      <c r="H41" s="3296"/>
      <c r="I41" s="3296"/>
      <c r="J41" s="3296"/>
      <c r="K41" s="3296"/>
      <c r="L41" s="3296"/>
      <c r="M41" s="3296"/>
      <c r="N41" s="3296"/>
      <c r="O41" s="3296"/>
      <c r="P41" s="3296"/>
      <c r="Q41" s="3296"/>
      <c r="R41" s="3296"/>
      <c r="S41" s="3296"/>
      <c r="T41" s="3296"/>
      <c r="U41" s="3296"/>
      <c r="V41" s="3296"/>
      <c r="W41" s="3296"/>
      <c r="X41" s="3297"/>
      <c r="Y41" s="3310">
        <f>Y40+AD40</f>
        <v>3838084</v>
      </c>
      <c r="Z41" s="3311"/>
      <c r="AA41" s="3311"/>
      <c r="AB41" s="3311"/>
      <c r="AC41" s="3311"/>
      <c r="AD41" s="3311"/>
      <c r="AE41" s="3311"/>
      <c r="AF41" s="3311"/>
      <c r="AG41" s="3311"/>
      <c r="AH41" s="331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3" t="s">
        <v>1511</v>
      </c>
      <c r="B44" s="3293"/>
      <c r="C44" s="3293"/>
      <c r="D44" s="3293"/>
      <c r="E44" s="3293"/>
      <c r="F44" s="3293"/>
      <c r="G44" s="3293"/>
      <c r="H44" s="3293"/>
      <c r="I44" s="3293"/>
      <c r="J44" s="3293"/>
      <c r="K44" s="3293"/>
      <c r="L44" s="3293"/>
      <c r="M44" s="3293"/>
      <c r="N44" s="3293"/>
      <c r="O44" s="3293"/>
      <c r="P44" s="3293"/>
      <c r="Q44" s="3293"/>
      <c r="R44" s="3293"/>
      <c r="S44" s="3293"/>
      <c r="T44" s="3293"/>
      <c r="U44" s="3293"/>
      <c r="V44" s="3293"/>
      <c r="W44" s="3293"/>
      <c r="X44" s="3293"/>
      <c r="Y44" s="3293"/>
      <c r="Z44" s="3293"/>
      <c r="AA44" s="3293"/>
      <c r="AB44" s="3293"/>
      <c r="AC44" s="3293"/>
      <c r="AD44" s="3293"/>
      <c r="AE44" s="3293"/>
      <c r="AF44" s="3293"/>
      <c r="AG44" s="3293"/>
      <c r="AH44" s="3293"/>
      <c r="AI44" s="3293"/>
      <c r="AJ44" s="3293"/>
      <c r="AK44" s="3293"/>
      <c r="AL44" s="3293"/>
      <c r="AM44" s="3293"/>
      <c r="AN44" s="3293"/>
      <c r="AO44" s="3293"/>
      <c r="AP44" s="3293"/>
      <c r="AQ44" s="3293"/>
      <c r="AR44" s="3293"/>
      <c r="AS44" s="3293"/>
      <c r="AT44" s="3293"/>
      <c r="AU44" s="3293"/>
      <c r="AV44" s="3293"/>
      <c r="AW44" s="3293"/>
      <c r="AX44" s="3293"/>
      <c r="AY44" s="3293"/>
      <c r="AZ44" s="3293"/>
      <c r="BA44" s="3293"/>
      <c r="BB44" s="3293"/>
      <c r="BC44" s="3293"/>
      <c r="BD44" s="3293"/>
      <c r="BE44" s="3293"/>
      <c r="BF44" s="3293"/>
      <c r="BG44" s="3293"/>
      <c r="BH44" s="3293"/>
      <c r="BI44" s="3293"/>
      <c r="BJ44" s="3293"/>
      <c r="BK44" s="3293"/>
      <c r="BL44" s="3293"/>
      <c r="BM44" s="3293"/>
      <c r="BN44" s="3293"/>
      <c r="BO44" s="3293"/>
      <c r="BP44" s="3293"/>
      <c r="BQ44" s="3293"/>
      <c r="BR44" s="3293"/>
      <c r="BS44" s="3293"/>
      <c r="BT44" s="3293"/>
      <c r="BU44" s="3293"/>
      <c r="BV44" s="3293"/>
      <c r="BW44" s="3293"/>
      <c r="BX44" s="329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3">
        <f>'Sources and Uses Budget'!B105-'Sources and Uses Budget'!B15</f>
        <v>80692123</v>
      </c>
      <c r="AC47" s="3314"/>
      <c r="AD47" s="3314"/>
      <c r="AE47" s="3314"/>
      <c r="AF47" s="331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3">
        <f>Application!AO649-MIN('Sources and Uses Budget'!B15,Application!AG394)</f>
        <v>38968682</v>
      </c>
      <c r="AC48" s="3314"/>
      <c r="AD48" s="3314"/>
      <c r="AE48" s="3314"/>
      <c r="AF48" s="331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3">
        <f>AB47-AB48</f>
        <v>41723441</v>
      </c>
      <c r="AC49" s="3314"/>
      <c r="AD49" s="3314"/>
      <c r="AE49" s="3314"/>
      <c r="AF49" s="331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6">
        <f>0.87*0.99989999</f>
        <v>0.86991299129999999</v>
      </c>
      <c r="AC50" s="3347"/>
      <c r="AD50" s="3347"/>
      <c r="AE50" s="3347"/>
      <c r="AF50" s="334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9" t="s">
        <v>2372</v>
      </c>
      <c r="F51" s="3349"/>
      <c r="G51" s="3349"/>
      <c r="H51" s="3349"/>
      <c r="I51" s="3349"/>
      <c r="J51" s="3349"/>
      <c r="K51" s="3349"/>
      <c r="L51" s="3349"/>
      <c r="M51" s="3349"/>
      <c r="N51" s="3349"/>
      <c r="O51" s="3349"/>
      <c r="P51" s="3349"/>
      <c r="Q51" s="3349"/>
      <c r="R51" s="3349"/>
      <c r="S51" s="3349"/>
      <c r="T51" s="3349"/>
      <c r="U51" s="3349"/>
      <c r="V51" s="3349"/>
      <c r="W51" s="3349"/>
      <c r="X51" s="3349"/>
      <c r="Y51" s="3349"/>
      <c r="Z51" s="334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9"/>
      <c r="F52" s="3349"/>
      <c r="G52" s="3349"/>
      <c r="H52" s="3349"/>
      <c r="I52" s="3349"/>
      <c r="J52" s="3349"/>
      <c r="K52" s="3349"/>
      <c r="L52" s="3349"/>
      <c r="M52" s="3349"/>
      <c r="N52" s="3349"/>
      <c r="O52" s="3349"/>
      <c r="P52" s="3349"/>
      <c r="Q52" s="3349"/>
      <c r="R52" s="3349"/>
      <c r="S52" s="3349"/>
      <c r="T52" s="3349"/>
      <c r="U52" s="3349"/>
      <c r="V52" s="3349"/>
      <c r="W52" s="3349"/>
      <c r="X52" s="3349"/>
      <c r="Y52" s="3349"/>
      <c r="Z52" s="334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3">
        <f>ROUND(IF(ISERROR((AB49/AB50)),0,(AB49/AB50)),0)</f>
        <v>47962775</v>
      </c>
      <c r="AC54" s="3314"/>
      <c r="AD54" s="3314"/>
      <c r="AE54" s="3314"/>
      <c r="AF54" s="331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3">
        <f>(AB54/10)</f>
        <v>4796277.5</v>
      </c>
      <c r="AC55" s="3314"/>
      <c r="AD55" s="3314"/>
      <c r="AE55" s="3314"/>
      <c r="AF55" s="331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50">
        <f>(IF((Y41&lt;AB55),Y41,AB55))</f>
        <v>3838084</v>
      </c>
      <c r="AC56" s="3351"/>
      <c r="AD56" s="3351"/>
      <c r="AE56" s="3351"/>
      <c r="AF56" s="335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3">
        <f>ROUND((10*AB56*AB50),0)</f>
        <v>33387991</v>
      </c>
      <c r="AC57" s="3314"/>
      <c r="AD57" s="3314"/>
      <c r="AE57" s="3314"/>
      <c r="AF57" s="331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41">
        <f>AB49-AB57</f>
        <v>8335450</v>
      </c>
      <c r="AC59" s="3341"/>
      <c r="AD59" s="3341"/>
      <c r="AE59" s="3341"/>
      <c r="AF59" s="334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3" t="str">
        <f>IF(Application!AP204="yes","Farmworker State Credit", "State Credit" )</f>
        <v>State Credit</v>
      </c>
      <c r="B61" s="3293"/>
      <c r="C61" s="3293"/>
      <c r="D61" s="3293"/>
      <c r="E61" s="3293"/>
      <c r="F61" s="3293"/>
      <c r="G61" s="3293"/>
      <c r="H61" s="3293"/>
      <c r="I61" s="3293"/>
      <c r="J61" s="3293"/>
      <c r="K61" s="3293"/>
      <c r="L61" s="3293"/>
      <c r="M61" s="3293"/>
      <c r="N61" s="3293"/>
      <c r="O61" s="3293"/>
      <c r="P61" s="3293"/>
      <c r="Q61" s="3293"/>
      <c r="R61" s="3293"/>
      <c r="S61" s="3293"/>
      <c r="T61" s="3293"/>
      <c r="U61" s="3293"/>
      <c r="V61" s="3293"/>
      <c r="W61" s="3293"/>
      <c r="X61" s="3293"/>
      <c r="Y61" s="3293"/>
      <c r="Z61" s="3293"/>
      <c r="AA61" s="3293"/>
      <c r="AB61" s="3293"/>
      <c r="AC61" s="3293"/>
      <c r="AD61" s="3293"/>
      <c r="AE61" s="3293"/>
      <c r="AF61" s="3293"/>
      <c r="AG61" s="3293"/>
      <c r="AH61" s="3293"/>
      <c r="AI61" s="3293"/>
      <c r="AJ61" s="3293"/>
      <c r="AK61" s="3293"/>
      <c r="AL61" s="3293"/>
      <c r="AM61" s="3293"/>
      <c r="AN61" s="3293"/>
      <c r="AO61" s="3293"/>
      <c r="AP61" s="3293"/>
      <c r="AQ61" s="3293"/>
      <c r="AR61" s="3293"/>
      <c r="AS61" s="3293"/>
      <c r="AT61" s="3293"/>
      <c r="AU61" s="3293"/>
      <c r="AV61" s="3293"/>
      <c r="AW61" s="3293"/>
      <c r="AX61" s="3293"/>
      <c r="AY61" s="3293"/>
      <c r="AZ61" s="3293"/>
      <c r="BA61" s="3293"/>
      <c r="BB61" s="3293"/>
      <c r="BC61" s="3293"/>
      <c r="BD61" s="3293"/>
      <c r="BE61" s="3293"/>
      <c r="BF61" s="3293"/>
      <c r="BG61" s="3293"/>
      <c r="BH61" s="3293"/>
      <c r="BI61" s="3293"/>
      <c r="BJ61" s="3293"/>
      <c r="BK61" s="3293"/>
      <c r="BL61" s="3293"/>
      <c r="BM61" s="3293"/>
      <c r="BN61" s="3293"/>
      <c r="BO61" s="3293"/>
      <c r="BP61" s="3293"/>
      <c r="BQ61" s="3293"/>
      <c r="BR61" s="3293"/>
      <c r="BS61" s="3293"/>
      <c r="BT61" s="3293"/>
      <c r="BU61" s="3293"/>
      <c r="BV61" s="3293"/>
      <c r="BW61" s="3293"/>
      <c r="BX61" s="329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42" t="s">
        <v>1067</v>
      </c>
      <c r="Z63" s="3342"/>
      <c r="AA63" s="3342"/>
      <c r="AB63" s="3342"/>
      <c r="AC63" s="3342"/>
      <c r="AD63" s="3342" t="s">
        <v>380</v>
      </c>
      <c r="AE63" s="3342"/>
      <c r="AF63" s="3342"/>
      <c r="AG63" s="3342"/>
      <c r="AH63" s="334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43">
        <f>IF(Application!Z204="(select)",0,((T23*T27)+Y28))</f>
        <v>73809303</v>
      </c>
      <c r="Z64" s="3344"/>
      <c r="AA64" s="3344"/>
      <c r="AB64" s="3344"/>
      <c r="AC64" s="3345"/>
      <c r="AD64" s="3343">
        <f>IF(AND(Application!AP204="yes",Application!M357="yes"),AD28+AI28,0)</f>
        <v>0</v>
      </c>
      <c r="AE64" s="3344"/>
      <c r="AF64" s="3344"/>
      <c r="AG64" s="3344"/>
      <c r="AH64" s="334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2368</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2369</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60">
        <f>IF(Application!AP204="yes",0.75,IF(Application!Z203="15% set-aside",0.13,IF(Application!Z203="15% set-aside with qualifying low value rehab",0.95,0.3)))</f>
        <v>0.3</v>
      </c>
      <c r="Z67" s="3360"/>
      <c r="AA67" s="3360"/>
      <c r="AB67" s="3360"/>
      <c r="AC67" s="3360"/>
      <c r="AD67" s="3360">
        <f>IF(Application!AP204="yes",0.75,IF(Application!Z203="15% set-aside with qualifying low value rehab", 0.95,0.13))</f>
        <v>0.13</v>
      </c>
      <c r="AE67" s="3360"/>
      <c r="AF67" s="3360"/>
      <c r="AG67" s="3360"/>
      <c r="AH67" s="336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61">
        <f>ROUND(Y64*Y67,0)</f>
        <v>22142791</v>
      </c>
      <c r="Z68" s="3362"/>
      <c r="AA68" s="3362"/>
      <c r="AB68" s="3362"/>
      <c r="AC68" s="3362"/>
      <c r="AD68" s="3361" t="str">
        <f>IF(Application!D210="At-Risk",AD64*AD67,"$0")</f>
        <v>$0</v>
      </c>
      <c r="AE68" s="3362"/>
      <c r="AF68" s="3362"/>
      <c r="AG68" s="3362"/>
      <c r="AH68" s="336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6">
        <f>0.85*0.9999001</f>
        <v>0.8499150849999999</v>
      </c>
      <c r="AC71" s="3347"/>
      <c r="AD71" s="3347"/>
      <c r="AE71" s="3347"/>
      <c r="AF71" s="334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63" t="s">
        <v>1482</v>
      </c>
      <c r="F72" s="3363"/>
      <c r="G72" s="3363"/>
      <c r="H72" s="3363"/>
      <c r="I72" s="3363"/>
      <c r="J72" s="3363"/>
      <c r="K72" s="3363"/>
      <c r="L72" s="3363"/>
      <c r="M72" s="3363"/>
      <c r="N72" s="3363"/>
      <c r="O72" s="3363"/>
      <c r="P72" s="3363"/>
      <c r="Q72" s="3363"/>
      <c r="R72" s="3363"/>
      <c r="S72" s="3363"/>
      <c r="T72" s="3363"/>
      <c r="U72" s="3363"/>
      <c r="V72" s="3363"/>
      <c r="W72" s="3363"/>
      <c r="X72" s="3363"/>
      <c r="Y72" s="3363"/>
      <c r="Z72" s="3363"/>
      <c r="AA72" s="336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63"/>
      <c r="F73" s="3363"/>
      <c r="G73" s="3363"/>
      <c r="H73" s="3363"/>
      <c r="I73" s="3363"/>
      <c r="J73" s="3363"/>
      <c r="K73" s="3363"/>
      <c r="L73" s="3363"/>
      <c r="M73" s="3363"/>
      <c r="N73" s="3363"/>
      <c r="O73" s="3363"/>
      <c r="P73" s="3363"/>
      <c r="Q73" s="3363"/>
      <c r="R73" s="3363"/>
      <c r="S73" s="3363"/>
      <c r="T73" s="3363"/>
      <c r="U73" s="3363"/>
      <c r="V73" s="3363"/>
      <c r="W73" s="3363"/>
      <c r="X73" s="3363"/>
      <c r="Y73" s="3363"/>
      <c r="Z73" s="3363"/>
      <c r="AA73" s="336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63"/>
      <c r="F74" s="3363"/>
      <c r="G74" s="3363"/>
      <c r="H74" s="3363"/>
      <c r="I74" s="3363"/>
      <c r="J74" s="3363"/>
      <c r="K74" s="3363"/>
      <c r="L74" s="3363"/>
      <c r="M74" s="3363"/>
      <c r="N74" s="3363"/>
      <c r="O74" s="3363"/>
      <c r="P74" s="3363"/>
      <c r="Q74" s="3363"/>
      <c r="R74" s="3363"/>
      <c r="S74" s="3363"/>
      <c r="T74" s="3363"/>
      <c r="U74" s="3363"/>
      <c r="V74" s="3363"/>
      <c r="W74" s="3363"/>
      <c r="X74" s="3363"/>
      <c r="Y74" s="3363"/>
      <c r="Z74" s="3363"/>
      <c r="AA74" s="336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5">
        <f>ROUND(IF(ISERROR((AB59/AB71)),0,(AB59/AB71)),0)</f>
        <v>9807392</v>
      </c>
      <c r="AC76" s="3355"/>
      <c r="AD76" s="3355"/>
      <c r="AE76" s="3355"/>
      <c r="AF76" s="335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6">
        <f>IF((Y68+AD68&lt;AB76),Y68+AD68,AB76)</f>
        <v>9807392</v>
      </c>
      <c r="AC77" s="3357"/>
      <c r="AD77" s="3357"/>
      <c r="AE77" s="3357"/>
      <c r="AF77" s="335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9">
        <f>AB77*AB71</f>
        <v>8335450.4053083193</v>
      </c>
      <c r="AC78" s="3359"/>
      <c r="AD78" s="3359"/>
      <c r="AE78" s="3359"/>
      <c r="AF78" s="335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41">
        <f>AB49-(AB57+AB78)</f>
        <v>-0.4053083211183548</v>
      </c>
      <c r="AC80" s="3341"/>
      <c r="AD80" s="3341"/>
      <c r="AE80" s="3341"/>
      <c r="AF80" s="334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3"/>
      <c r="B83" s="3293"/>
      <c r="C83" s="3293"/>
      <c r="D83" s="3293"/>
      <c r="E83" s="3293"/>
      <c r="F83" s="3293"/>
      <c r="G83" s="3293"/>
      <c r="H83" s="3293"/>
      <c r="I83" s="3293"/>
      <c r="J83" s="3293"/>
      <c r="K83" s="3293"/>
      <c r="L83" s="3293"/>
      <c r="M83" s="3293"/>
      <c r="N83" s="3293"/>
      <c r="O83" s="3293"/>
      <c r="P83" s="3293"/>
      <c r="Q83" s="3293"/>
      <c r="R83" s="3293"/>
      <c r="S83" s="3293"/>
      <c r="T83" s="3293"/>
      <c r="U83" s="3293"/>
      <c r="V83" s="3293"/>
      <c r="W83" s="3293"/>
      <c r="X83" s="3293"/>
      <c r="Y83" s="3293"/>
      <c r="Z83" s="3293"/>
      <c r="AA83" s="3293"/>
      <c r="AB83" s="3293"/>
      <c r="AC83" s="3293"/>
      <c r="AD83" s="3293"/>
      <c r="AE83" s="3293"/>
      <c r="AF83" s="3293"/>
      <c r="AG83" s="3293"/>
      <c r="AH83" s="3293"/>
      <c r="AI83" s="3293"/>
      <c r="AJ83" s="3293"/>
      <c r="AK83" s="3293"/>
      <c r="AL83" s="3293"/>
      <c r="AM83" s="3293"/>
      <c r="AN83" s="3293"/>
      <c r="AO83" s="3293"/>
      <c r="AP83" s="3293"/>
      <c r="AQ83" s="3293"/>
      <c r="AR83" s="3293"/>
      <c r="AS83" s="3293"/>
      <c r="AT83" s="3293"/>
      <c r="AU83" s="3293"/>
      <c r="AV83" s="3293"/>
      <c r="AW83" s="3293"/>
      <c r="AX83" s="3293"/>
      <c r="AY83" s="3293"/>
      <c r="AZ83" s="3293"/>
      <c r="BA83" s="3293"/>
      <c r="BB83" s="3293"/>
      <c r="BC83" s="3293"/>
      <c r="BD83" s="3293"/>
      <c r="BE83" s="3293"/>
      <c r="BF83" s="3293"/>
      <c r="BG83" s="3293"/>
      <c r="BH83" s="3293"/>
      <c r="BI83" s="3293"/>
      <c r="BJ83" s="3293"/>
      <c r="BK83" s="3293"/>
      <c r="BL83" s="3293"/>
      <c r="BM83" s="3293"/>
      <c r="BN83" s="3293"/>
      <c r="BO83" s="3293"/>
      <c r="BP83" s="3293"/>
      <c r="BQ83" s="3293"/>
      <c r="BR83" s="3293"/>
      <c r="BS83" s="3293"/>
      <c r="BT83" s="3293"/>
      <c r="BU83" s="3293"/>
      <c r="BV83" s="3293"/>
      <c r="BW83" s="3293"/>
      <c r="BX83" s="3293"/>
    </row>
    <row r="84" spans="1:98" ht="13.5" thickTop="1"/>
    <row r="85" spans="1:98" ht="12.75">
      <c r="A85" s="794"/>
      <c r="C85" s="334"/>
      <c r="Z85" s="619"/>
      <c r="AA85" s="619"/>
      <c r="AB85" s="619"/>
      <c r="AC85" s="619"/>
      <c r="AD85" s="619"/>
      <c r="AE85" s="619"/>
      <c r="AF85" s="619"/>
      <c r="AG85" s="619"/>
      <c r="AH85" s="619"/>
    </row>
    <row r="86" spans="1:98" ht="12.75">
      <c r="D86" s="334"/>
      <c r="Z86" s="619"/>
      <c r="AA86" s="619"/>
      <c r="AB86" s="3294"/>
      <c r="AC86" s="3294"/>
      <c r="AD86" s="3294"/>
      <c r="AE86" s="3294"/>
      <c r="AF86" s="3294"/>
      <c r="AG86" s="619"/>
      <c r="AH86" s="619"/>
    </row>
    <row r="87" spans="1:98" ht="13.5" thickBot="1">
      <c r="D87" s="334"/>
      <c r="Z87" s="619"/>
      <c r="AA87" s="619"/>
      <c r="AB87" s="3292"/>
      <c r="AC87" s="3292"/>
      <c r="AD87" s="3292"/>
      <c r="AE87" s="3292"/>
      <c r="AF87" s="329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sqref="A1:K2"/>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66" t="s">
        <v>1935</v>
      </c>
      <c r="B1" s="3366"/>
      <c r="C1" s="3366"/>
      <c r="D1" s="3366"/>
      <c r="E1" s="3366"/>
      <c r="F1" s="3366"/>
      <c r="G1" s="3366"/>
      <c r="H1" s="3366"/>
      <c r="I1" s="3366"/>
      <c r="J1" s="3366"/>
      <c r="K1" s="336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6"/>
      <c r="B2" s="3366"/>
      <c r="C2" s="3366"/>
      <c r="D2" s="3366"/>
      <c r="E2" s="3366"/>
      <c r="F2" s="3366"/>
      <c r="G2" s="3366"/>
      <c r="H2" s="3366"/>
      <c r="I2" s="3366"/>
      <c r="J2" s="3366"/>
      <c r="K2" s="336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7" t="s">
        <v>1936</v>
      </c>
      <c r="D4" s="3367"/>
      <c r="E4" s="3367"/>
      <c r="F4" s="3367"/>
      <c r="G4" s="3367"/>
      <c r="H4" s="3367"/>
      <c r="I4" s="3367"/>
      <c r="J4" s="3367"/>
    </row>
    <row r="5" spans="1:33">
      <c r="C5" s="3367"/>
      <c r="D5" s="3367"/>
      <c r="E5" s="3367"/>
      <c r="F5" s="3367"/>
      <c r="G5" s="3367"/>
      <c r="H5" s="3367"/>
      <c r="I5" s="3367"/>
      <c r="J5" s="3367"/>
    </row>
    <row r="6" spans="1:33">
      <c r="C6" s="1426"/>
      <c r="D6" s="1426"/>
      <c r="E6" s="1426"/>
      <c r="F6" s="1426"/>
      <c r="G6" s="1426"/>
      <c r="H6" s="1426"/>
      <c r="I6" s="1426"/>
      <c r="J6" s="1426"/>
    </row>
    <row r="7" spans="1:33">
      <c r="C7" s="1427" t="s">
        <v>1937</v>
      </c>
      <c r="D7" s="1426"/>
      <c r="E7" s="3368" t="str">
        <f>Application!H16</f>
        <v>Central Valley Coalition for Affordable Housing</v>
      </c>
      <c r="F7" s="3368"/>
      <c r="G7" s="3368"/>
      <c r="H7" s="1426"/>
      <c r="I7" s="1427" t="s">
        <v>1938</v>
      </c>
      <c r="J7" s="1428">
        <f>Application!AG437+Application!AG439</f>
        <v>133</v>
      </c>
    </row>
    <row r="8" spans="1:33">
      <c r="C8" s="1427" t="s">
        <v>1939</v>
      </c>
      <c r="D8" s="1426"/>
      <c r="E8" s="3368" t="str">
        <f>Application!H18</f>
        <v>Shiloh Terrace</v>
      </c>
      <c r="F8" s="3368"/>
      <c r="G8" s="3368"/>
      <c r="H8" s="1426"/>
      <c r="I8" s="1427" t="s">
        <v>1940</v>
      </c>
      <c r="J8" s="1429">
        <f>Application!CS663</f>
        <v>393</v>
      </c>
    </row>
    <row r="9" spans="1:33" ht="14.25" customHeight="1">
      <c r="C9" s="1427" t="s">
        <v>1941</v>
      </c>
      <c r="D9" s="1426"/>
      <c r="E9" s="3369" t="str">
        <f>Application!D210</f>
        <v>Large Family</v>
      </c>
      <c r="F9" s="3369"/>
      <c r="G9" s="3369"/>
      <c r="H9" s="1426"/>
      <c r="I9" s="1427" t="s">
        <v>1942</v>
      </c>
      <c r="J9" s="1430"/>
      <c r="N9" s="1431"/>
    </row>
    <row r="10" spans="1:33" ht="26.85" customHeight="1">
      <c r="C10" s="3367" t="s">
        <v>1943</v>
      </c>
      <c r="D10" s="3367"/>
      <c r="E10" s="3370" t="str">
        <f>Application!D213</f>
        <v>N/A</v>
      </c>
      <c r="F10" s="3370"/>
      <c r="G10" s="3370"/>
      <c r="H10" s="1426"/>
      <c r="I10" s="1432" t="s">
        <v>1944</v>
      </c>
      <c r="J10" s="1433">
        <f>IF(J9&gt;0,J8-J9,J8)</f>
        <v>393</v>
      </c>
      <c r="N10" s="1431"/>
    </row>
    <row r="11" spans="1:33">
      <c r="C11" s="1434"/>
      <c r="N11" s="1431"/>
    </row>
    <row r="12" spans="1:33" ht="15" customHeight="1">
      <c r="C12" s="3371" t="s">
        <v>1945</v>
      </c>
      <c r="D12" s="3372"/>
      <c r="E12" s="3373"/>
      <c r="F12" s="3364" t="s">
        <v>1946</v>
      </c>
      <c r="G12" s="3364" t="s">
        <v>1947</v>
      </c>
      <c r="H12" s="3377" t="s">
        <v>2158</v>
      </c>
      <c r="I12" s="3364" t="s">
        <v>2157</v>
      </c>
      <c r="J12" s="3364" t="s">
        <v>1948</v>
      </c>
      <c r="N12" s="1431"/>
    </row>
    <row r="13" spans="1:33" ht="68.25" customHeight="1">
      <c r="C13" s="3374"/>
      <c r="D13" s="3375"/>
      <c r="E13" s="3376"/>
      <c r="F13" s="3365"/>
      <c r="G13" s="3365"/>
      <c r="H13" s="3378"/>
      <c r="I13" s="3365"/>
      <c r="J13" s="3365"/>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2642</v>
      </c>
      <c r="G17" s="1443">
        <v>13300</v>
      </c>
      <c r="H17" s="1442" t="s">
        <v>2218</v>
      </c>
      <c r="I17" s="1442" t="s">
        <v>2644</v>
      </c>
      <c r="J17" s="1442" t="s">
        <v>2616</v>
      </c>
    </row>
    <row r="18" spans="3:10">
      <c r="C18" s="1439" t="s">
        <v>1955</v>
      </c>
      <c r="D18" s="1425" t="s">
        <v>1956</v>
      </c>
      <c r="E18" s="1425"/>
      <c r="F18" s="1440" t="s">
        <v>2643</v>
      </c>
      <c r="G18" s="1443">
        <v>13300</v>
      </c>
      <c r="H18" s="1442" t="s">
        <v>2218</v>
      </c>
      <c r="I18" s="1442" t="s">
        <v>2644</v>
      </c>
      <c r="J18" s="1442" t="s">
        <v>2616</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26600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2660124</v>
      </c>
      <c r="G4" s="354">
        <f>E4*$C$4</f>
        <v>2726627.0999999996</v>
      </c>
      <c r="I4" s="354">
        <f>G4*$C$4</f>
        <v>2794792.7774999994</v>
      </c>
      <c r="K4" s="354">
        <f>I4*$C$4</f>
        <v>2864662.596937499</v>
      </c>
      <c r="M4" s="354">
        <f>K4*$C$4</f>
        <v>2936279.1618609363</v>
      </c>
      <c r="O4" s="354">
        <f>M4*$C$4</f>
        <v>3009686.1409074594</v>
      </c>
      <c r="Q4" s="354">
        <f>O4*$C$4</f>
        <v>3084928.2944301455</v>
      </c>
      <c r="S4" s="354">
        <f>Q4*$C$4</f>
        <v>3162051.5017908989</v>
      </c>
      <c r="U4" s="354">
        <f>S4*$C$4</f>
        <v>3241102.7893356709</v>
      </c>
      <c r="W4" s="354">
        <f>U4*$C$4</f>
        <v>3322130.3590690624</v>
      </c>
      <c r="Y4" s="354">
        <f>W4*$C$4</f>
        <v>3405183.6180457887</v>
      </c>
      <c r="AA4" s="354">
        <f>Y4*$C$4</f>
        <v>3490313.2084969333</v>
      </c>
      <c r="AC4" s="354">
        <f>AA4*$C$4</f>
        <v>3577571.0387093564</v>
      </c>
      <c r="AE4" s="354">
        <f>AC4*$C$4</f>
        <v>3667010.3146770899</v>
      </c>
      <c r="AG4" s="354">
        <f>AE4*$C$4</f>
        <v>3758685.5725440169</v>
      </c>
    </row>
    <row r="5" spans="1:34" s="339" customFormat="1" ht="14.25">
      <c r="B5" s="339" t="s">
        <v>900</v>
      </c>
      <c r="C5" s="375">
        <f>IF(Application!$D$210="Special Needs",0.1,0.05)</f>
        <v>0.05</v>
      </c>
      <c r="E5" s="356">
        <f>-E4*$C$5</f>
        <v>-133006.20000000001</v>
      </c>
      <c r="F5" s="356"/>
      <c r="G5" s="356">
        <f>-G4*$C$5</f>
        <v>-136331.35499999998</v>
      </c>
      <c r="H5" s="356"/>
      <c r="I5" s="356">
        <f>-I4*$C$5</f>
        <v>-139739.63887499998</v>
      </c>
      <c r="J5" s="356"/>
      <c r="K5" s="356">
        <f>-K4*$C$5</f>
        <v>-143233.12984687494</v>
      </c>
      <c r="L5" s="356"/>
      <c r="M5" s="356">
        <f>-M4*$C$5</f>
        <v>-146813.95809304682</v>
      </c>
      <c r="N5" s="356"/>
      <c r="O5" s="356">
        <f>-O4*$C$5</f>
        <v>-150484.30704537299</v>
      </c>
      <c r="P5" s="356"/>
      <c r="Q5" s="356">
        <f>-Q4*$C$5</f>
        <v>-154246.41472150729</v>
      </c>
      <c r="R5" s="356"/>
      <c r="S5" s="356">
        <f>-S4*$C$5</f>
        <v>-158102.57508954496</v>
      </c>
      <c r="T5" s="356"/>
      <c r="U5" s="356">
        <f>-U4*$C$5</f>
        <v>-162055.13946678356</v>
      </c>
      <c r="V5" s="356"/>
      <c r="W5" s="356">
        <f>-W4*$C$5</f>
        <v>-166106.51795345312</v>
      </c>
      <c r="X5" s="356"/>
      <c r="Y5" s="356">
        <f>-Y4*$C$5</f>
        <v>-170259.18090228946</v>
      </c>
      <c r="Z5" s="356"/>
      <c r="AA5" s="356">
        <f>-AA4*$C$5</f>
        <v>-174515.66042484669</v>
      </c>
      <c r="AB5" s="356"/>
      <c r="AC5" s="356">
        <f>-AC4*$C$5</f>
        <v>-178878.55193546784</v>
      </c>
      <c r="AD5" s="356"/>
      <c r="AE5" s="356">
        <f>-AE4*$C$5</f>
        <v>-183350.5157338545</v>
      </c>
      <c r="AF5" s="356"/>
      <c r="AG5" s="356">
        <f>-AG4*$C$5</f>
        <v>-187934.27862720087</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25728</v>
      </c>
      <c r="F8" s="357"/>
      <c r="G8" s="357">
        <f>E8*$C$8</f>
        <v>26371.199999999997</v>
      </c>
      <c r="H8" s="357"/>
      <c r="I8" s="357">
        <f>G8*$C$8</f>
        <v>27030.479999999996</v>
      </c>
      <c r="J8" s="357"/>
      <c r="K8" s="357">
        <f>I8*$C$8</f>
        <v>27706.241999999995</v>
      </c>
      <c r="L8" s="357"/>
      <c r="M8" s="357">
        <f>K8*$C$8</f>
        <v>28398.898049999993</v>
      </c>
      <c r="N8" s="357"/>
      <c r="O8" s="357">
        <f>M8*$C$8</f>
        <v>29108.870501249989</v>
      </c>
      <c r="P8" s="357"/>
      <c r="Q8" s="357">
        <f>O8*$C$8</f>
        <v>29836.592263781236</v>
      </c>
      <c r="R8" s="357"/>
      <c r="S8" s="357">
        <f>Q8*$C$8</f>
        <v>30582.507070375763</v>
      </c>
      <c r="T8" s="357"/>
      <c r="U8" s="357">
        <f>S8*$C$8</f>
        <v>31347.069747135156</v>
      </c>
      <c r="V8" s="357"/>
      <c r="W8" s="357">
        <f>U8*$C$8</f>
        <v>32130.746490813533</v>
      </c>
      <c r="X8" s="357"/>
      <c r="Y8" s="357">
        <f>W8*$C$8</f>
        <v>32934.01515308387</v>
      </c>
      <c r="Z8" s="357"/>
      <c r="AA8" s="357">
        <f>Y8*$C$8</f>
        <v>33757.365531910968</v>
      </c>
      <c r="AB8" s="357"/>
      <c r="AC8" s="357">
        <f>AA8*$C$8</f>
        <v>34601.29967020874</v>
      </c>
      <c r="AD8" s="357"/>
      <c r="AE8" s="357">
        <f>AC8*$C$8</f>
        <v>35466.332161963954</v>
      </c>
      <c r="AF8" s="357"/>
      <c r="AG8" s="357">
        <f>AE8*$C$8</f>
        <v>36352.990466013049</v>
      </c>
    </row>
    <row r="9" spans="1:34" s="339" customFormat="1" ht="14.25">
      <c r="B9" s="339" t="s">
        <v>900</v>
      </c>
      <c r="C9" s="375">
        <f>IF(Application!$D$210="Special Needs",0.1,0.05)</f>
        <v>0.05</v>
      </c>
      <c r="E9" s="373">
        <f>-E8*$C$9</f>
        <v>-1286.4000000000001</v>
      </c>
      <c r="F9" s="356"/>
      <c r="G9" s="373">
        <f>-G8*$C$9</f>
        <v>-1318.56</v>
      </c>
      <c r="H9" s="356"/>
      <c r="I9" s="373">
        <f>-I8*$C$9</f>
        <v>-1351.5239999999999</v>
      </c>
      <c r="J9" s="356"/>
      <c r="K9" s="373">
        <f>-K8*$C$9</f>
        <v>-1385.3120999999999</v>
      </c>
      <c r="L9" s="356"/>
      <c r="M9" s="373">
        <f>-M8*$C$9</f>
        <v>-1419.9449024999997</v>
      </c>
      <c r="N9" s="356"/>
      <c r="O9" s="373">
        <f>-O8*$C$9</f>
        <v>-1455.4435250624995</v>
      </c>
      <c r="P9" s="356"/>
      <c r="Q9" s="373">
        <f>-Q8*$C$9</f>
        <v>-1491.829613189062</v>
      </c>
      <c r="R9" s="356"/>
      <c r="S9" s="373">
        <f>-S8*$C$9</f>
        <v>-1529.1253535187882</v>
      </c>
      <c r="T9" s="356"/>
      <c r="U9" s="373">
        <f>-U8*$C$9</f>
        <v>-1567.3534873567578</v>
      </c>
      <c r="V9" s="356"/>
      <c r="W9" s="373">
        <f>-W8*$C$9</f>
        <v>-1606.5373245406768</v>
      </c>
      <c r="X9" s="356"/>
      <c r="Y9" s="373">
        <f>-Y8*$C$9</f>
        <v>-1646.7007576541937</v>
      </c>
      <c r="Z9" s="356"/>
      <c r="AA9" s="373">
        <f>-AA8*$C$9</f>
        <v>-1687.8682765955484</v>
      </c>
      <c r="AB9" s="356"/>
      <c r="AC9" s="373">
        <f>-AC8*$C$9</f>
        <v>-1730.0649835104371</v>
      </c>
      <c r="AD9" s="356"/>
      <c r="AE9" s="373">
        <f>-AE8*$C$9</f>
        <v>-1773.3166080981978</v>
      </c>
      <c r="AF9" s="356"/>
      <c r="AG9" s="373">
        <f>-AG8*$C$9</f>
        <v>-1817.6495233006526</v>
      </c>
    </row>
    <row r="10" spans="1:34" s="358" customFormat="1" ht="15">
      <c r="A10" s="358" t="s">
        <v>921</v>
      </c>
      <c r="C10" s="349"/>
      <c r="E10" s="358">
        <f>SUM(E4:E9)</f>
        <v>2551559.4</v>
      </c>
      <c r="G10" s="358">
        <f>SUM(G4:G9)</f>
        <v>2615348.3849999998</v>
      </c>
      <c r="I10" s="358">
        <f>SUM(I4:I9)</f>
        <v>2680732.094624999</v>
      </c>
      <c r="K10" s="358">
        <f>SUM(K4:K9)</f>
        <v>2747750.3969906238</v>
      </c>
      <c r="M10" s="358">
        <f>SUM(M4:M9)</f>
        <v>2816444.1569153895</v>
      </c>
      <c r="O10" s="358">
        <f>SUM(O4:O9)</f>
        <v>2886855.2608382739</v>
      </c>
      <c r="Q10" s="358">
        <f>SUM(Q4:Q9)</f>
        <v>2959026.6423592307</v>
      </c>
      <c r="S10" s="358">
        <f>SUM(S4:S9)</f>
        <v>3033002.3084182106</v>
      </c>
      <c r="U10" s="358">
        <f>SUM(U4:U9)</f>
        <v>3108827.3661286659</v>
      </c>
      <c r="W10" s="358">
        <f>SUM(W4:W9)</f>
        <v>3186548.0502818818</v>
      </c>
      <c r="Y10" s="358">
        <f>SUM(Y4:Y9)</f>
        <v>3266211.7515389286</v>
      </c>
      <c r="AA10" s="358">
        <f>SUM(AA4:AA9)</f>
        <v>3347867.0453274022</v>
      </c>
      <c r="AC10" s="358">
        <f>SUM(AC4:AC9)</f>
        <v>3431563.7214605869</v>
      </c>
      <c r="AE10" s="358">
        <f>SUM(AE4:AE9)</f>
        <v>3517352.8144971011</v>
      </c>
      <c r="AG10" s="358">
        <f>SUM(AG4:AG9)</f>
        <v>3605286.6348595284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35000</v>
      </c>
      <c r="G14" s="354">
        <f>E14*$C$13</f>
        <v>36225</v>
      </c>
      <c r="I14" s="354">
        <f>G14*$C$13</f>
        <v>37492.875</v>
      </c>
      <c r="K14" s="354">
        <f>I14*$C$13</f>
        <v>38805.125625000001</v>
      </c>
      <c r="M14" s="354">
        <f>K14*$C$13</f>
        <v>40163.305021875</v>
      </c>
      <c r="O14" s="354">
        <f>M14*$C$13</f>
        <v>41569.020697640619</v>
      </c>
      <c r="Q14" s="354">
        <f>O14*$C$13</f>
        <v>43023.936422058039</v>
      </c>
      <c r="S14" s="354">
        <f>Q14*$C$13</f>
        <v>44529.774196830069</v>
      </c>
      <c r="U14" s="354">
        <f>S14*$C$13</f>
        <v>46088.316293719115</v>
      </c>
      <c r="W14" s="354">
        <f>U14*$C$13</f>
        <v>47701.407363999278</v>
      </c>
      <c r="Y14" s="354">
        <f>W14*$C$13</f>
        <v>49370.956621739249</v>
      </c>
      <c r="AA14" s="354">
        <f>Y14*$C$13</f>
        <v>51098.940103500121</v>
      </c>
      <c r="AC14" s="354">
        <f>AA14*$C$13</f>
        <v>52887.403007122623</v>
      </c>
      <c r="AE14" s="354">
        <f>AC14*$C$13</f>
        <v>54738.462112371912</v>
      </c>
      <c r="AG14" s="354">
        <f>AE14*$C$13</f>
        <v>56654.308286304928</v>
      </c>
    </row>
    <row r="15" spans="1:34" s="339" customFormat="1" ht="14.25">
      <c r="A15" s="339" t="s">
        <v>354</v>
      </c>
      <c r="C15" s="368"/>
      <c r="E15" s="357">
        <f>Application!W847</f>
        <v>96480</v>
      </c>
      <c r="F15" s="357"/>
      <c r="G15" s="357">
        <f t="shared" ref="G15:AG20" si="0">E15*$C$13</f>
        <v>99856.799999999988</v>
      </c>
      <c r="H15" s="357"/>
      <c r="I15" s="357">
        <f t="shared" si="0"/>
        <v>103351.78799999999</v>
      </c>
      <c r="J15" s="357"/>
      <c r="K15" s="357">
        <f t="shared" si="0"/>
        <v>106969.10057999998</v>
      </c>
      <c r="L15" s="357"/>
      <c r="M15" s="357">
        <f t="shared" si="0"/>
        <v>110713.01910029998</v>
      </c>
      <c r="N15" s="357"/>
      <c r="O15" s="357">
        <f t="shared" si="0"/>
        <v>114587.97476881047</v>
      </c>
      <c r="P15" s="357"/>
      <c r="Q15" s="357">
        <f t="shared" si="0"/>
        <v>118598.55388571882</v>
      </c>
      <c r="R15" s="357"/>
      <c r="S15" s="357">
        <f t="shared" si="0"/>
        <v>122749.50327171898</v>
      </c>
      <c r="T15" s="357"/>
      <c r="U15" s="357">
        <f t="shared" si="0"/>
        <v>127045.73588622913</v>
      </c>
      <c r="V15" s="357"/>
      <c r="W15" s="357">
        <f t="shared" si="0"/>
        <v>131492.33664224713</v>
      </c>
      <c r="X15" s="357"/>
      <c r="Y15" s="357">
        <f t="shared" si="0"/>
        <v>136094.56842472576</v>
      </c>
      <c r="Z15" s="357"/>
      <c r="AA15" s="357">
        <f t="shared" si="0"/>
        <v>140857.87831959114</v>
      </c>
      <c r="AB15" s="357"/>
      <c r="AC15" s="357">
        <f t="shared" si="0"/>
        <v>145787.90406077681</v>
      </c>
      <c r="AD15" s="357"/>
      <c r="AE15" s="357">
        <f t="shared" si="0"/>
        <v>150890.48070290399</v>
      </c>
      <c r="AF15" s="357"/>
      <c r="AG15" s="357">
        <f t="shared" si="0"/>
        <v>156171.64752750561</v>
      </c>
    </row>
    <row r="16" spans="1:34" s="339" customFormat="1" ht="14.25">
      <c r="A16" s="339" t="s">
        <v>593</v>
      </c>
      <c r="C16" s="368"/>
      <c r="E16" s="357">
        <f>Application!W853</f>
        <v>230000</v>
      </c>
      <c r="F16" s="357"/>
      <c r="G16" s="357">
        <f t="shared" si="0"/>
        <v>238049.99999999997</v>
      </c>
      <c r="H16" s="357"/>
      <c r="I16" s="357">
        <f t="shared" si="0"/>
        <v>246381.74999999994</v>
      </c>
      <c r="J16" s="357"/>
      <c r="K16" s="357">
        <f t="shared" si="0"/>
        <v>255005.11124999993</v>
      </c>
      <c r="L16" s="357"/>
      <c r="M16" s="357">
        <f t="shared" si="0"/>
        <v>263930.29014374991</v>
      </c>
      <c r="N16" s="357"/>
      <c r="O16" s="357">
        <f t="shared" si="0"/>
        <v>273167.85029878112</v>
      </c>
      <c r="P16" s="357"/>
      <c r="Q16" s="357">
        <f t="shared" si="0"/>
        <v>282728.72505923844</v>
      </c>
      <c r="R16" s="357"/>
      <c r="S16" s="357">
        <f t="shared" si="0"/>
        <v>292624.23043631174</v>
      </c>
      <c r="T16" s="357"/>
      <c r="U16" s="357">
        <f t="shared" si="0"/>
        <v>302866.07850158261</v>
      </c>
      <c r="V16" s="357"/>
      <c r="W16" s="357">
        <f t="shared" si="0"/>
        <v>313466.39124913799</v>
      </c>
      <c r="X16" s="357"/>
      <c r="Y16" s="357">
        <f t="shared" si="0"/>
        <v>324437.7149428578</v>
      </c>
      <c r="Z16" s="357"/>
      <c r="AA16" s="357">
        <f t="shared" si="0"/>
        <v>335793.03496585781</v>
      </c>
      <c r="AB16" s="357"/>
      <c r="AC16" s="357">
        <f t="shared" si="0"/>
        <v>347545.79118966282</v>
      </c>
      <c r="AD16" s="357"/>
      <c r="AE16" s="357">
        <f t="shared" si="0"/>
        <v>359709.89388130099</v>
      </c>
      <c r="AF16" s="357"/>
      <c r="AG16" s="357">
        <f t="shared" si="0"/>
        <v>372299.74016714649</v>
      </c>
    </row>
    <row r="17" spans="1:33" s="339" customFormat="1" ht="14.25">
      <c r="A17" s="339" t="s">
        <v>904</v>
      </c>
      <c r="C17" s="368"/>
      <c r="E17" s="357">
        <f>Application!W860</f>
        <v>140000</v>
      </c>
      <c r="F17" s="357"/>
      <c r="G17" s="357">
        <f t="shared" si="0"/>
        <v>144900</v>
      </c>
      <c r="H17" s="357"/>
      <c r="I17" s="357">
        <f t="shared" si="0"/>
        <v>149971.5</v>
      </c>
      <c r="J17" s="357"/>
      <c r="K17" s="357">
        <f t="shared" si="0"/>
        <v>155220.5025</v>
      </c>
      <c r="L17" s="357"/>
      <c r="M17" s="357">
        <f t="shared" si="0"/>
        <v>160653.2200875</v>
      </c>
      <c r="N17" s="357"/>
      <c r="O17" s="357">
        <f t="shared" si="0"/>
        <v>166276.08279056248</v>
      </c>
      <c r="P17" s="357"/>
      <c r="Q17" s="357">
        <f t="shared" si="0"/>
        <v>172095.74568823216</v>
      </c>
      <c r="R17" s="357"/>
      <c r="S17" s="357">
        <f t="shared" si="0"/>
        <v>178119.09678732028</v>
      </c>
      <c r="T17" s="357"/>
      <c r="U17" s="357">
        <f t="shared" si="0"/>
        <v>184353.26517487646</v>
      </c>
      <c r="V17" s="357"/>
      <c r="W17" s="357">
        <f t="shared" si="0"/>
        <v>190805.62945599711</v>
      </c>
      <c r="X17" s="357"/>
      <c r="Y17" s="357">
        <f t="shared" si="0"/>
        <v>197483.826486957</v>
      </c>
      <c r="Z17" s="357"/>
      <c r="AA17" s="357">
        <f t="shared" si="0"/>
        <v>204395.76041400048</v>
      </c>
      <c r="AB17" s="357"/>
      <c r="AC17" s="357">
        <f t="shared" si="0"/>
        <v>211549.61202849049</v>
      </c>
      <c r="AD17" s="357"/>
      <c r="AE17" s="357">
        <f t="shared" si="0"/>
        <v>218953.84844948765</v>
      </c>
      <c r="AF17" s="357"/>
      <c r="AG17" s="357">
        <f t="shared" si="0"/>
        <v>226617.23314521971</v>
      </c>
    </row>
    <row r="18" spans="1:33" s="339" customFormat="1" ht="14.25">
      <c r="A18" s="339" t="s">
        <v>160</v>
      </c>
      <c r="C18" s="368"/>
      <c r="E18" s="357">
        <f>Application!W861</f>
        <v>30000</v>
      </c>
      <c r="F18" s="357"/>
      <c r="G18" s="357">
        <f t="shared" si="0"/>
        <v>31049.999999999996</v>
      </c>
      <c r="H18" s="357"/>
      <c r="I18" s="357">
        <f t="shared" si="0"/>
        <v>32136.749999999993</v>
      </c>
      <c r="J18" s="357"/>
      <c r="K18" s="357">
        <f t="shared" si="0"/>
        <v>33261.53624999999</v>
      </c>
      <c r="L18" s="357"/>
      <c r="M18" s="357">
        <f t="shared" si="0"/>
        <v>34425.690018749985</v>
      </c>
      <c r="N18" s="357"/>
      <c r="O18" s="357">
        <f t="shared" si="0"/>
        <v>35630.58916940623</v>
      </c>
      <c r="P18" s="357"/>
      <c r="Q18" s="357">
        <f t="shared" si="0"/>
        <v>36877.659790335449</v>
      </c>
      <c r="R18" s="357"/>
      <c r="S18" s="357">
        <f t="shared" si="0"/>
        <v>38168.377882997185</v>
      </c>
      <c r="T18" s="357"/>
      <c r="U18" s="357">
        <f t="shared" si="0"/>
        <v>39504.271108902081</v>
      </c>
      <c r="V18" s="357"/>
      <c r="W18" s="357">
        <f t="shared" si="0"/>
        <v>40886.920597713652</v>
      </c>
      <c r="X18" s="357"/>
      <c r="Y18" s="357">
        <f t="shared" si="0"/>
        <v>42317.962818633627</v>
      </c>
      <c r="Z18" s="357"/>
      <c r="AA18" s="357">
        <f t="shared" si="0"/>
        <v>43799.0915172858</v>
      </c>
      <c r="AB18" s="357"/>
      <c r="AC18" s="357">
        <f t="shared" si="0"/>
        <v>45332.059720390796</v>
      </c>
      <c r="AD18" s="357"/>
      <c r="AE18" s="357">
        <f t="shared" si="0"/>
        <v>46918.681810604474</v>
      </c>
      <c r="AF18" s="357"/>
      <c r="AG18" s="357">
        <f t="shared" si="0"/>
        <v>48560.835673975627</v>
      </c>
    </row>
    <row r="19" spans="1:33" s="339" customFormat="1" ht="14.25">
      <c r="A19" s="339" t="s">
        <v>408</v>
      </c>
      <c r="C19" s="368"/>
      <c r="E19" s="357">
        <f>Application!W870</f>
        <v>239020</v>
      </c>
      <c r="F19" s="357"/>
      <c r="G19" s="357">
        <f t="shared" si="0"/>
        <v>247385.69999999998</v>
      </c>
      <c r="H19" s="357"/>
      <c r="I19" s="357">
        <f t="shared" si="0"/>
        <v>256044.19949999996</v>
      </c>
      <c r="J19" s="357"/>
      <c r="K19" s="357">
        <f t="shared" si="0"/>
        <v>265005.74648249993</v>
      </c>
      <c r="L19" s="357"/>
      <c r="M19" s="357">
        <f t="shared" si="0"/>
        <v>274280.9476093874</v>
      </c>
      <c r="N19" s="357"/>
      <c r="O19" s="357">
        <f t="shared" si="0"/>
        <v>283880.78077571595</v>
      </c>
      <c r="P19" s="357"/>
      <c r="Q19" s="357">
        <f t="shared" si="0"/>
        <v>293816.60810286598</v>
      </c>
      <c r="R19" s="357"/>
      <c r="S19" s="357">
        <f t="shared" si="0"/>
        <v>304100.18938646629</v>
      </c>
      <c r="T19" s="357"/>
      <c r="U19" s="357">
        <f t="shared" si="0"/>
        <v>314743.6960149926</v>
      </c>
      <c r="V19" s="357"/>
      <c r="W19" s="357">
        <f t="shared" si="0"/>
        <v>325759.72537551733</v>
      </c>
      <c r="X19" s="357"/>
      <c r="Y19" s="357">
        <f t="shared" si="0"/>
        <v>337161.31576366042</v>
      </c>
      <c r="Z19" s="357"/>
      <c r="AA19" s="357">
        <f t="shared" si="0"/>
        <v>348961.96181538852</v>
      </c>
      <c r="AB19" s="357"/>
      <c r="AC19" s="357">
        <f t="shared" si="0"/>
        <v>361175.63047892711</v>
      </c>
      <c r="AD19" s="357"/>
      <c r="AE19" s="357">
        <f t="shared" si="0"/>
        <v>373816.77754568955</v>
      </c>
      <c r="AF19" s="357"/>
      <c r="AG19" s="357">
        <f t="shared" si="0"/>
        <v>386900.36475978867</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770500</v>
      </c>
      <c r="G21" s="358">
        <f>SUM(G14:G20)</f>
        <v>797467.49999999988</v>
      </c>
      <c r="I21" s="358">
        <f>SUM(I14:I20)</f>
        <v>825378.86249999993</v>
      </c>
      <c r="K21" s="358">
        <f>SUM(K14:K20)</f>
        <v>854267.12268749997</v>
      </c>
      <c r="M21" s="358">
        <f>SUM(M14:M20)</f>
        <v>884166.47198156221</v>
      </c>
      <c r="O21" s="358">
        <f>SUM(O14:O20)</f>
        <v>915112.29850091692</v>
      </c>
      <c r="Q21" s="358">
        <f>SUM(Q14:Q20)</f>
        <v>947141.2289484489</v>
      </c>
      <c r="S21" s="358">
        <f>SUM(S14:S20)</f>
        <v>980291.17196164455</v>
      </c>
      <c r="U21" s="358">
        <f>SUM(U14:U20)</f>
        <v>1014601.362980302</v>
      </c>
      <c r="W21" s="358">
        <f>SUM(W14:W20)</f>
        <v>1050112.4106846126</v>
      </c>
      <c r="Y21" s="358">
        <f>SUM(Y14:Y20)</f>
        <v>1086866.3450585739</v>
      </c>
      <c r="AA21" s="358">
        <f>SUM(AA14:AA20)</f>
        <v>1124906.6671356237</v>
      </c>
      <c r="AC21" s="358">
        <f>SUM(AC14:AC20)</f>
        <v>1164278.4004853708</v>
      </c>
      <c r="AE21" s="358">
        <f>SUM(AE14:AE20)</f>
        <v>1205028.1445023585</v>
      </c>
      <c r="AG21" s="358">
        <f>SUM(AG14:AG20)</f>
        <v>1247204.1295599411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2156</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26600</v>
      </c>
      <c r="F26" s="357"/>
      <c r="G26" s="357">
        <f>E26*$C$26</f>
        <v>27530.999999999996</v>
      </c>
      <c r="H26" s="357"/>
      <c r="I26" s="357">
        <f>G26*$C$26</f>
        <v>28494.584999999995</v>
      </c>
      <c r="J26" s="357"/>
      <c r="K26" s="357">
        <f>I26*$C$26</f>
        <v>29491.895474999994</v>
      </c>
      <c r="L26" s="357"/>
      <c r="M26" s="357">
        <f>K26*$C$26</f>
        <v>30524.111816624991</v>
      </c>
      <c r="N26" s="357"/>
      <c r="O26" s="357">
        <f>M26*$C$26</f>
        <v>31592.455730206864</v>
      </c>
      <c r="P26" s="357"/>
      <c r="Q26" s="357">
        <f>O26*$C$26</f>
        <v>32698.191680764103</v>
      </c>
      <c r="R26" s="357"/>
      <c r="S26" s="357">
        <f>Q26*$C$26</f>
        <v>33842.628389590842</v>
      </c>
      <c r="T26" s="357"/>
      <c r="U26" s="357">
        <f>S26*$C$26</f>
        <v>35027.120383226516</v>
      </c>
      <c r="V26" s="357"/>
      <c r="W26" s="357">
        <f>U26*$C$26</f>
        <v>36253.069596639441</v>
      </c>
      <c r="X26" s="357"/>
      <c r="Y26" s="357">
        <f>W26*$C$26</f>
        <v>37521.927032521817</v>
      </c>
      <c r="Z26" s="357"/>
      <c r="AA26" s="357">
        <f>Y26*$C$26</f>
        <v>38835.19447866008</v>
      </c>
      <c r="AB26" s="357"/>
      <c r="AC26" s="357">
        <f>AA26*$C$26</f>
        <v>40194.426285413181</v>
      </c>
      <c r="AD26" s="357"/>
      <c r="AE26" s="357">
        <f>AC26*$C$26</f>
        <v>41601.231205402641</v>
      </c>
      <c r="AF26" s="357"/>
      <c r="AG26" s="357">
        <f>AE26*$C$26</f>
        <v>43057.274297591728</v>
      </c>
    </row>
    <row r="27" spans="1:33" s="339" customFormat="1" ht="14.25">
      <c r="A27" s="339" t="s">
        <v>908</v>
      </c>
      <c r="C27" s="376"/>
      <c r="E27" s="357">
        <f>Application!AC887</f>
        <v>33500</v>
      </c>
      <c r="F27" s="357"/>
      <c r="G27" s="357">
        <f>$E$27</f>
        <v>33500</v>
      </c>
      <c r="H27" s="357"/>
      <c r="I27" s="357">
        <f>$E$27</f>
        <v>33500</v>
      </c>
      <c r="J27" s="357"/>
      <c r="K27" s="357">
        <f>$E$27</f>
        <v>33500</v>
      </c>
      <c r="L27" s="357"/>
      <c r="M27" s="357">
        <f>$E$27</f>
        <v>33500</v>
      </c>
      <c r="N27" s="357"/>
      <c r="O27" s="357">
        <f>$E$27</f>
        <v>33500</v>
      </c>
      <c r="P27" s="357"/>
      <c r="Q27" s="357">
        <f>$E$27</f>
        <v>33500</v>
      </c>
      <c r="R27" s="357"/>
      <c r="S27" s="357">
        <f>$E$27</f>
        <v>33500</v>
      </c>
      <c r="T27" s="357"/>
      <c r="U27" s="357">
        <f>$E$27</f>
        <v>33500</v>
      </c>
      <c r="V27" s="357"/>
      <c r="W27" s="357">
        <f>$E$27</f>
        <v>33500</v>
      </c>
      <c r="X27" s="357"/>
      <c r="Y27" s="357">
        <f>$E$27</f>
        <v>33500</v>
      </c>
      <c r="Z27" s="357"/>
      <c r="AA27" s="357">
        <f>$E$27</f>
        <v>33500</v>
      </c>
      <c r="AB27" s="357"/>
      <c r="AC27" s="357">
        <f>$E$27</f>
        <v>33500</v>
      </c>
      <c r="AD27" s="357"/>
      <c r="AE27" s="357">
        <f>$E$27</f>
        <v>33500</v>
      </c>
      <c r="AF27" s="357"/>
      <c r="AG27" s="357">
        <f>$E$27</f>
        <v>33500</v>
      </c>
    </row>
    <row r="28" spans="1:33" s="339" customFormat="1" ht="14.25">
      <c r="A28" s="339" t="s">
        <v>2154</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838100</v>
      </c>
      <c r="G34" s="358">
        <f>SUM(G21:G32)</f>
        <v>865998.49999999988</v>
      </c>
      <c r="I34" s="358">
        <f>SUM(I21:I32)</f>
        <v>894873.44749999989</v>
      </c>
      <c r="K34" s="358">
        <f>SUM(K21:K32)</f>
        <v>924759.0181625</v>
      </c>
      <c r="M34" s="358">
        <f>SUM(M21:M32)</f>
        <v>955690.5837981872</v>
      </c>
      <c r="O34" s="358">
        <f>SUM(O21:O32)</f>
        <v>987704.75423112384</v>
      </c>
      <c r="Q34" s="358">
        <f>SUM(Q21:Q32)</f>
        <v>1020839.420629213</v>
      </c>
      <c r="S34" s="358">
        <f>SUM(S21:S32)</f>
        <v>1055133.8003512355</v>
      </c>
      <c r="U34" s="358">
        <f>SUM(U21:U32)</f>
        <v>1090628.4833635285</v>
      </c>
      <c r="W34" s="358">
        <f>SUM(W21:W32)</f>
        <v>1127365.4802812519</v>
      </c>
      <c r="Y34" s="358">
        <f>SUM(Y21:Y32)</f>
        <v>1165388.2720910958</v>
      </c>
      <c r="AA34" s="358">
        <f>SUM(AA21:AA32)</f>
        <v>1204741.8616142839</v>
      </c>
      <c r="AC34" s="358">
        <f>SUM(AC21:AC32)</f>
        <v>1245472.8267707839</v>
      </c>
      <c r="AE34" s="358">
        <f>SUM(AE21:AE32)</f>
        <v>1287629.3757077612</v>
      </c>
      <c r="AG34" s="358">
        <f>SUM(AG21:AG32)</f>
        <v>1331261.4038575329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1713459.4</v>
      </c>
      <c r="G36" s="358">
        <f>G10-G34</f>
        <v>1749349.8849999998</v>
      </c>
      <c r="I36" s="358">
        <f>I10-I34</f>
        <v>1785858.6471249992</v>
      </c>
      <c r="K36" s="358">
        <f>K10-K34</f>
        <v>1822991.3788281237</v>
      </c>
      <c r="M36" s="358">
        <f>M10-M34</f>
        <v>1860753.5731172021</v>
      </c>
      <c r="O36" s="358">
        <f>O10-O34</f>
        <v>1899150.5066071502</v>
      </c>
      <c r="Q36" s="358">
        <f>Q10-Q34</f>
        <v>1938187.2217300176</v>
      </c>
      <c r="S36" s="358">
        <f>S10-S34</f>
        <v>1977868.508066975</v>
      </c>
      <c r="U36" s="358">
        <f>U10-U34</f>
        <v>2018198.8827651374</v>
      </c>
      <c r="W36" s="358">
        <f>W10-W34</f>
        <v>2059182.5700006299</v>
      </c>
      <c r="Y36" s="358">
        <f>Y10-Y34</f>
        <v>2100823.4794478328</v>
      </c>
      <c r="AA36" s="358">
        <f>AA10-AA34</f>
        <v>2143125.1837131185</v>
      </c>
      <c r="AC36" s="358">
        <f>AC10-AC34</f>
        <v>2186090.894689803</v>
      </c>
      <c r="AE36" s="358">
        <f>AE10-AE34</f>
        <v>2229723.4387893397</v>
      </c>
      <c r="AG36" s="358">
        <f>AG10-AG34</f>
        <v>2274025.2310019955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Permanent Loan</v>
      </c>
      <c r="B39" s="361"/>
      <c r="C39" s="355"/>
      <c r="E39" s="357">
        <f>Application!AF637</f>
        <v>1489965</v>
      </c>
      <c r="F39" s="357"/>
      <c r="G39" s="357">
        <f>$E$39</f>
        <v>1489965</v>
      </c>
      <c r="H39" s="357"/>
      <c r="I39" s="357">
        <f>$E$39</f>
        <v>1489965</v>
      </c>
      <c r="J39" s="357"/>
      <c r="K39" s="357">
        <f>$E$39</f>
        <v>1489965</v>
      </c>
      <c r="L39" s="357"/>
      <c r="M39" s="357">
        <f>$E$39</f>
        <v>1489965</v>
      </c>
      <c r="N39" s="357"/>
      <c r="O39" s="357">
        <f>$E$39</f>
        <v>1489965</v>
      </c>
      <c r="P39" s="357"/>
      <c r="Q39" s="357">
        <f>$E$39</f>
        <v>1489965</v>
      </c>
      <c r="R39" s="357"/>
      <c r="S39" s="357">
        <f>$E$39</f>
        <v>1489965</v>
      </c>
      <c r="T39" s="357"/>
      <c r="U39" s="357">
        <f>$E$39</f>
        <v>1489965</v>
      </c>
      <c r="V39" s="357"/>
      <c r="W39" s="357">
        <f>$E$39</f>
        <v>1489965</v>
      </c>
      <c r="X39" s="357"/>
      <c r="Y39" s="357">
        <f>$E$39</f>
        <v>1489965</v>
      </c>
      <c r="Z39" s="357"/>
      <c r="AA39" s="357">
        <f>$E$39</f>
        <v>1489965</v>
      </c>
      <c r="AB39" s="357"/>
      <c r="AC39" s="357">
        <f>$E$39</f>
        <v>1489965</v>
      </c>
      <c r="AD39" s="357"/>
      <c r="AE39" s="357">
        <f>$E$39</f>
        <v>1489965</v>
      </c>
      <c r="AF39" s="357"/>
      <c r="AG39" s="357">
        <f>$E$39</f>
        <v>1489965</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1489965</v>
      </c>
      <c r="G42" s="358">
        <f>SUM(G39:G41)</f>
        <v>1489965</v>
      </c>
      <c r="I42" s="358">
        <f>SUM(I39:I41)</f>
        <v>1489965</v>
      </c>
      <c r="K42" s="358">
        <f>SUM(K39:K41)</f>
        <v>1489965</v>
      </c>
      <c r="M42" s="358">
        <f>SUM(M39:M41)</f>
        <v>1489965</v>
      </c>
      <c r="O42" s="358">
        <f>SUM(O39:O41)</f>
        <v>1489965</v>
      </c>
      <c r="Q42" s="358">
        <f>SUM(Q39:Q41)</f>
        <v>1489965</v>
      </c>
      <c r="S42" s="358">
        <f>SUM(S39:S41)</f>
        <v>1489965</v>
      </c>
      <c r="U42" s="358">
        <f>SUM(U39:U41)</f>
        <v>1489965</v>
      </c>
      <c r="W42" s="358">
        <f>SUM(W39:W41)</f>
        <v>1489965</v>
      </c>
      <c r="Y42" s="358">
        <f>SUM(Y39:Y41)</f>
        <v>1489965</v>
      </c>
      <c r="AA42" s="358">
        <f>SUM(AA39:AA41)</f>
        <v>1489965</v>
      </c>
      <c r="AC42" s="358">
        <f>SUM(AC39:AC41)</f>
        <v>1489965</v>
      </c>
      <c r="AE42" s="358">
        <f>SUM(AE39:AE41)</f>
        <v>1489965</v>
      </c>
      <c r="AG42" s="358">
        <f>SUM(AG39:AG41)</f>
        <v>1489965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223494.39999999991</v>
      </c>
      <c r="G44" s="358">
        <f>G36-G42</f>
        <v>259384.88499999978</v>
      </c>
      <c r="I44" s="358">
        <f>I36-I42</f>
        <v>295893.6471249992</v>
      </c>
      <c r="K44" s="358">
        <f>K36-K42</f>
        <v>333026.37882812368</v>
      </c>
      <c r="M44" s="358">
        <f>M36-M42</f>
        <v>370788.57311720215</v>
      </c>
      <c r="O44" s="358">
        <f>O36-O42</f>
        <v>409185.50660715019</v>
      </c>
      <c r="Q44" s="358">
        <f>Q36-Q42</f>
        <v>448222.22173001757</v>
      </c>
      <c r="S44" s="358">
        <f>S36-S42</f>
        <v>487903.50806697505</v>
      </c>
      <c r="U44" s="358">
        <f>U36-U42</f>
        <v>528233.88276513736</v>
      </c>
      <c r="W44" s="358">
        <f>W36-W42</f>
        <v>569217.57000062987</v>
      </c>
      <c r="Y44" s="358">
        <f>Y36-Y42</f>
        <v>610858.4794478328</v>
      </c>
      <c r="AA44" s="358">
        <f>AA36-AA42</f>
        <v>653160.18371311855</v>
      </c>
      <c r="AC44" s="358">
        <f>AC36-AC42</f>
        <v>696125.89468980301</v>
      </c>
      <c r="AE44" s="358">
        <f>AE36-AE42</f>
        <v>739758.43878933974</v>
      </c>
      <c r="AG44" s="358">
        <f>AG36-AG42</f>
        <v>784060.2310019955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8.3211733185596187E-2</v>
      </c>
      <c r="G46" s="362">
        <f>G44/(G4+G6+G8)</f>
        <v>9.4219050189751227E-2</v>
      </c>
      <c r="I46" s="362">
        <f>I44/(I4+I6+I8)</f>
        <v>0.10485902911833919</v>
      </c>
      <c r="K46" s="362">
        <f>K44/(K4+K6+K8)</f>
        <v>0.11513966488121193</v>
      </c>
      <c r="M46" s="362">
        <f>M44/(M4+M6+M8)</f>
        <v>0.12506874798012343</v>
      </c>
      <c r="O46" s="362">
        <f>O44/(O4+O6+O8)</f>
        <v>0.13465386940248464</v>
      </c>
      <c r="Q46" s="362">
        <f>Q44/(Q4+Q6+Q8)</f>
        <v>0.14390242539486486</v>
      </c>
      <c r="S46" s="362">
        <f>S44/(S4+S6+S8)</f>
        <v>0.15282162211915951</v>
      </c>
      <c r="U46" s="362">
        <f>U44/(U4+U6+U8)</f>
        <v>0.16141848019428154</v>
      </c>
      <c r="W46" s="362">
        <f>W44/(W4+W6+W8)</f>
        <v>0.16969983912615505</v>
      </c>
      <c r="Y46" s="362">
        <f>Y44/(Y4+Y6+Y8)</f>
        <v>0.17767236162873273</v>
      </c>
      <c r="AA46" s="362">
        <f>AA44/(AA4+AA6+AA8)</f>
        <v>0.18534253783867963</v>
      </c>
      <c r="AC46" s="362">
        <f>AC44/(AC4+AC6+AC8)</f>
        <v>0.19271668942631012</v>
      </c>
      <c r="AE46" s="362">
        <f>AE44/(AE4+AE6+AE8)</f>
        <v>0.19980097360530277</v>
      </c>
      <c r="AG46" s="362">
        <f>AG44/(AG4+AG6+AG8)</f>
        <v>0.20660138704364553</v>
      </c>
    </row>
    <row r="47" spans="1:33" s="362" customFormat="1" ht="14.25">
      <c r="A47" s="362" t="s">
        <v>914</v>
      </c>
      <c r="C47" s="355"/>
      <c r="E47" s="362">
        <f>E44/E42</f>
        <v>0.14999976509515317</v>
      </c>
      <c r="G47" s="362">
        <f>G44/G42</f>
        <v>0.17408790474944028</v>
      </c>
      <c r="I47" s="362">
        <f>I44/I42</f>
        <v>0.19859100524173334</v>
      </c>
      <c r="K47" s="362">
        <f>K44/K42</f>
        <v>0.22351288710011555</v>
      </c>
      <c r="M47" s="362">
        <f>M44/M42</f>
        <v>0.24885723699362211</v>
      </c>
      <c r="O47" s="362">
        <f>O44/O42</f>
        <v>0.27462759635773337</v>
      </c>
      <c r="Q47" s="362">
        <f>Q44/Q42</f>
        <v>0.30082734945452916</v>
      </c>
      <c r="S47" s="362">
        <f>S44/S42</f>
        <v>0.32745971084352654</v>
      </c>
      <c r="U47" s="362">
        <f>U44/U42</f>
        <v>0.35452771223829915</v>
      </c>
      <c r="W47" s="362">
        <f>W44/W42</f>
        <v>0.38203418872297662</v>
      </c>
      <c r="Y47" s="362">
        <f>Y44/Y42</f>
        <v>0.40998176430173378</v>
      </c>
      <c r="AA47" s="362">
        <f>AA44/AA42</f>
        <v>0.43837283675329186</v>
      </c>
      <c r="AC47" s="362">
        <f>AC44/AC42</f>
        <v>0.46720956176138567</v>
      </c>
      <c r="AE47" s="362">
        <f>AE44/AE42</f>
        <v>0.49649383629101335</v>
      </c>
      <c r="AG47" s="362">
        <f>AG44/AG42</f>
        <v>0.52622728117908513</v>
      </c>
    </row>
    <row r="48" spans="1:33" s="363" customFormat="1" ht="14.25">
      <c r="A48" s="363" t="s">
        <v>912</v>
      </c>
      <c r="C48" s="364"/>
      <c r="E48" s="363">
        <f>E36/E42</f>
        <v>1.1499997650951532</v>
      </c>
      <c r="G48" s="363">
        <f>G36/G42</f>
        <v>1.1740879047494404</v>
      </c>
      <c r="I48" s="363">
        <f>I36/I42</f>
        <v>1.1985910052417332</v>
      </c>
      <c r="K48" s="363">
        <f>K36/K42</f>
        <v>1.2235128871001155</v>
      </c>
      <c r="M48" s="363">
        <f>M36/M42</f>
        <v>1.2488572369936222</v>
      </c>
      <c r="O48" s="363">
        <f>O36/O42</f>
        <v>1.2746275963577334</v>
      </c>
      <c r="Q48" s="363">
        <f>Q36/Q42</f>
        <v>1.3008273494545293</v>
      </c>
      <c r="S48" s="363">
        <f>S36/S42</f>
        <v>1.3274597108435267</v>
      </c>
      <c r="U48" s="363">
        <f>U36/U42</f>
        <v>1.354527712238299</v>
      </c>
      <c r="W48" s="363">
        <f>W36/W42</f>
        <v>1.3820341887229766</v>
      </c>
      <c r="Y48" s="363">
        <f>Y36/Y42</f>
        <v>1.4099817643017338</v>
      </c>
      <c r="AA48" s="363">
        <f>AA36/AA42</f>
        <v>1.438372836753292</v>
      </c>
      <c r="AC48" s="363">
        <f>AC36/AC42</f>
        <v>1.4672095617613856</v>
      </c>
      <c r="AE48" s="363">
        <f>AE36/AE42</f>
        <v>1.4964938362910134</v>
      </c>
      <c r="AG48" s="363">
        <f>AG36/AG42</f>
        <v>1.5262272811790851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81" t="s">
        <v>1383</v>
      </c>
      <c r="B51" s="3381"/>
      <c r="C51" s="338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13400</v>
      </c>
      <c r="G52" s="1674">
        <f>E52*$C$52</f>
        <v>13802</v>
      </c>
      <c r="I52" s="1674">
        <f>G52*$C$52</f>
        <v>14216.06</v>
      </c>
      <c r="K52" s="1674">
        <f>I52*$C$52</f>
        <v>14642.541799999999</v>
      </c>
      <c r="M52" s="1674">
        <f>K52*$C$52</f>
        <v>15081.818053999999</v>
      </c>
      <c r="O52" s="1674">
        <f>M52*$C$52</f>
        <v>15534.272595619999</v>
      </c>
      <c r="Q52" s="1674">
        <f>O52</f>
        <v>15534.272595619999</v>
      </c>
      <c r="S52" s="1674">
        <f>Q52</f>
        <v>15534.272595619999</v>
      </c>
      <c r="U52" s="1674">
        <f>S52</f>
        <v>15534.272595619999</v>
      </c>
      <c r="W52" s="1674">
        <f>U52</f>
        <v>15534.272595619999</v>
      </c>
      <c r="Y52" s="1674">
        <f>W52*$C$52</f>
        <v>16000.3007734886</v>
      </c>
      <c r="AA52" s="1674">
        <f>Y52</f>
        <v>16000.3007734886</v>
      </c>
      <c r="AC52" s="1674">
        <f>AA52</f>
        <v>16000.3007734886</v>
      </c>
      <c r="AE52" s="1674">
        <f>AC52</f>
        <v>16000.3007734886</v>
      </c>
      <c r="AG52" s="1674">
        <f>AE52</f>
        <v>16000.3007734886</v>
      </c>
    </row>
    <row r="53" spans="1:35" s="6" customFormat="1">
      <c r="A53" s="6" t="s">
        <v>917</v>
      </c>
      <c r="C53" s="1672">
        <v>1.0349999999999999</v>
      </c>
      <c r="E53" s="1679">
        <v>7500</v>
      </c>
      <c r="F53" s="1674"/>
      <c r="G53" s="1674">
        <f>E53*$C$53</f>
        <v>7762.4999999999991</v>
      </c>
      <c r="H53" s="1674"/>
      <c r="I53" s="1674">
        <f>G53*$C$53</f>
        <v>8034.1874999999982</v>
      </c>
      <c r="J53" s="1674"/>
      <c r="K53" s="1674">
        <f>I53*$C$53</f>
        <v>8315.3840624999975</v>
      </c>
      <c r="L53" s="1674"/>
      <c r="M53" s="1674">
        <f>K53*$C$53</f>
        <v>8606.4225046874963</v>
      </c>
      <c r="N53" s="1674"/>
      <c r="O53" s="1674">
        <f>M53*$C$53</f>
        <v>8907.6472923515576</v>
      </c>
      <c r="P53" s="1674"/>
      <c r="Q53" s="1674">
        <f>O53*$C$53</f>
        <v>9219.4149475838622</v>
      </c>
      <c r="R53" s="1674"/>
      <c r="S53" s="1674">
        <f>Q53*$C$53</f>
        <v>9542.0944707492963</v>
      </c>
      <c r="T53" s="1674"/>
      <c r="U53" s="1674">
        <f>S53*$C$53</f>
        <v>9876.0677772255203</v>
      </c>
      <c r="V53" s="1674"/>
      <c r="W53" s="1674">
        <f>U53*$C$53</f>
        <v>10221.730149428413</v>
      </c>
      <c r="X53" s="1674"/>
      <c r="Y53" s="1674">
        <f>W53*$C$53</f>
        <v>10579.490704658407</v>
      </c>
      <c r="Z53" s="1674"/>
      <c r="AA53" s="1674">
        <f>Y53*$C$53</f>
        <v>10949.77287932145</v>
      </c>
      <c r="AB53" s="1674"/>
      <c r="AC53" s="1674">
        <f>AA53*$C$53</f>
        <v>11333.014930097699</v>
      </c>
      <c r="AD53" s="1674"/>
      <c r="AE53" s="1674">
        <f>AC53*$C$53</f>
        <v>11729.670452651118</v>
      </c>
      <c r="AF53" s="1674"/>
      <c r="AG53" s="1674">
        <f>AE53*$C$53</f>
        <v>12140.208918493907</v>
      </c>
      <c r="AH53" s="1674"/>
      <c r="AI53" s="1674"/>
    </row>
    <row r="54" spans="1:35" s="6" customFormat="1">
      <c r="A54" s="6" t="s">
        <v>918</v>
      </c>
      <c r="C54" s="1672"/>
      <c r="E54" s="1679"/>
      <c r="F54" s="1674"/>
      <c r="G54" s="1674">
        <f t="shared" ref="G54:AG56" si="1">E54*$C$52</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20900</v>
      </c>
      <c r="F57" s="1674"/>
      <c r="G57" s="1674">
        <f>SUM(G52:G56)</f>
        <v>21564.5</v>
      </c>
      <c r="H57" s="1674"/>
      <c r="I57" s="1674">
        <f>SUM(I52:I56)</f>
        <v>22250.247499999998</v>
      </c>
      <c r="J57" s="1674"/>
      <c r="K57" s="1674">
        <f>SUM(K52:K56)</f>
        <v>22957.925862499997</v>
      </c>
      <c r="L57" s="1674"/>
      <c r="M57" s="1674">
        <f>SUM(M52:M56)</f>
        <v>23688.240558687496</v>
      </c>
      <c r="N57" s="1674"/>
      <c r="O57" s="1674">
        <f>SUM(O52:O56)</f>
        <v>24441.919887971555</v>
      </c>
      <c r="P57" s="1674"/>
      <c r="Q57" s="1674">
        <f>SUM(Q52:Q56)</f>
        <v>24753.687543203861</v>
      </c>
      <c r="R57" s="1674"/>
      <c r="S57" s="1674">
        <f>SUM(S52:S56)</f>
        <v>25076.367066369297</v>
      </c>
      <c r="T57" s="1674"/>
      <c r="U57" s="1674">
        <f>SUM(U52:U56)</f>
        <v>25410.34037284552</v>
      </c>
      <c r="V57" s="1674"/>
      <c r="W57" s="1674">
        <f>SUM(W52:W56)</f>
        <v>25756.002745048412</v>
      </c>
      <c r="X57" s="1674"/>
      <c r="Y57" s="1674">
        <f>SUM(Y52:Y56)</f>
        <v>26579.791478147006</v>
      </c>
      <c r="Z57" s="1674"/>
      <c r="AA57" s="1674">
        <f>SUM(AA52:AA56)</f>
        <v>26950.07365281005</v>
      </c>
      <c r="AB57" s="1674"/>
      <c r="AC57" s="1674">
        <f>SUM(AC52:AC56)</f>
        <v>27333.315703586297</v>
      </c>
      <c r="AD57" s="1674"/>
      <c r="AE57" s="1674">
        <f>SUM(AE52:AE56)</f>
        <v>27729.971226139718</v>
      </c>
      <c r="AF57" s="1674"/>
      <c r="AG57" s="1674">
        <f>SUM(AG52:AG56)</f>
        <v>28140.509691982508</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202594.39999999991</v>
      </c>
      <c r="G59" s="1676">
        <f>G44-G57</f>
        <v>237820.38499999978</v>
      </c>
      <c r="I59" s="1676">
        <f>I44-I57</f>
        <v>273643.39962499921</v>
      </c>
      <c r="K59" s="1676">
        <f>K44-K57</f>
        <v>310068.4529656237</v>
      </c>
      <c r="M59" s="1676">
        <f>M44-M57</f>
        <v>347100.33255851467</v>
      </c>
      <c r="O59" s="1676">
        <f>O44-O57</f>
        <v>384743.58671917865</v>
      </c>
      <c r="Q59" s="1676">
        <f>Q44-Q57</f>
        <v>423468.53418681369</v>
      </c>
      <c r="S59" s="1676">
        <f>S44-S57</f>
        <v>462827.14100060577</v>
      </c>
      <c r="U59" s="1676">
        <f>U44-U57</f>
        <v>502823.54239229183</v>
      </c>
      <c r="W59" s="1676">
        <f>W44-W57</f>
        <v>543461.5672555815</v>
      </c>
      <c r="Y59" s="1676">
        <f>Y44-Y57</f>
        <v>584278.68796968576</v>
      </c>
      <c r="AA59" s="1676">
        <f>AA44-AA57</f>
        <v>626210.11006030848</v>
      </c>
      <c r="AC59" s="1676">
        <f>AC44-AC57</f>
        <v>668792.57898621669</v>
      </c>
      <c r="AE59" s="1676">
        <f>AE44-AE57</f>
        <v>712028.46756320004</v>
      </c>
      <c r="AG59" s="1676">
        <f>AG44-AG57</f>
        <v>755919.72131001297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202594.39999999991</v>
      </c>
      <c r="G61" s="1684">
        <f>G59*$C$61</f>
        <v>237820.38499999978</v>
      </c>
      <c r="H61" s="1684"/>
      <c r="I61" s="1684">
        <f>I59*$C$61</f>
        <v>273643.39962499921</v>
      </c>
      <c r="J61" s="1684"/>
      <c r="K61" s="1684">
        <f>K59*$C$61</f>
        <v>310068.4529656237</v>
      </c>
      <c r="L61" s="1684"/>
      <c r="M61" s="1684">
        <f>M59*$C$61</f>
        <v>347100.33255851467</v>
      </c>
      <c r="N61" s="1684"/>
      <c r="O61" s="1684">
        <f>O59*$C$61</f>
        <v>384743.58671917865</v>
      </c>
      <c r="P61" s="1684"/>
      <c r="Q61" s="1684">
        <f>Q59*$C$61</f>
        <v>423468.53418681369</v>
      </c>
      <c r="R61" s="1684"/>
      <c r="S61" s="1684">
        <f>S59*$C$61</f>
        <v>462827.14100060577</v>
      </c>
      <c r="T61" s="1684"/>
      <c r="U61" s="1684">
        <f>U59*$C$61</f>
        <v>502823.54239229183</v>
      </c>
      <c r="V61" s="1684"/>
      <c r="W61" s="1684">
        <f>W59*$C$61</f>
        <v>543461.5672555815</v>
      </c>
      <c r="Y61" s="1684">
        <f>Y59*$C$61</f>
        <v>584278.68796968576</v>
      </c>
      <c r="AA61" s="1684">
        <f>AA59*$C$61</f>
        <v>626210.11006030848</v>
      </c>
      <c r="AC61" s="1684">
        <f>AC59*$C$61</f>
        <v>668792.57898621669</v>
      </c>
      <c r="AE61" s="1684">
        <f>AE59*$C$61</f>
        <v>712028.46756320004</v>
      </c>
      <c r="AG61" s="1684">
        <f>6806614-6279861</f>
        <v>526753</v>
      </c>
    </row>
    <row r="62" spans="1:35" s="1684" customFormat="1">
      <c r="A62" s="3381" t="s">
        <v>1383</v>
      </c>
      <c r="B62" s="3381"/>
      <c r="C62" s="338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t="s">
        <v>2602</v>
      </c>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AG59-AG61</f>
        <v>229166.72131001297</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229166.72131001297</v>
      </c>
    </row>
    <row r="70" spans="1:33" s="1686" customFormat="1">
      <c r="A70" s="1676"/>
      <c r="C70" s="1685"/>
    </row>
    <row r="71" spans="1:33" s="1686" customFormat="1">
      <c r="A71" s="1676" t="s">
        <v>2218</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2217</v>
      </c>
      <c r="C74" s="352"/>
    </row>
    <row r="75" spans="1:33" s="351" customFormat="1">
      <c r="C75" s="352"/>
    </row>
    <row r="76" spans="1:33" s="370" customFormat="1" ht="30" customHeight="1">
      <c r="A76" s="3379" t="s">
        <v>2216</v>
      </c>
      <c r="B76" s="3380"/>
      <c r="C76" s="3380"/>
      <c r="D76" s="3380"/>
      <c r="E76" s="3380"/>
      <c r="F76" s="3380"/>
      <c r="G76" s="3380"/>
      <c r="H76" s="3380"/>
      <c r="I76" s="3380"/>
      <c r="J76" s="3380"/>
      <c r="K76" s="3380"/>
      <c r="L76" s="3380"/>
      <c r="M76" s="3380"/>
      <c r="N76" s="3380"/>
      <c r="O76" s="3380"/>
      <c r="P76" s="3380"/>
      <c r="Q76" s="3380"/>
      <c r="R76" s="3380"/>
      <c r="S76" s="3380"/>
      <c r="T76" s="3380"/>
      <c r="U76" s="3380"/>
      <c r="V76" s="3380"/>
      <c r="W76" s="3380"/>
      <c r="X76" s="3380"/>
      <c r="Y76" s="3380"/>
      <c r="Z76" s="3380"/>
      <c r="AA76" s="3380"/>
      <c r="AB76" s="3380"/>
      <c r="AC76" s="3380"/>
      <c r="AD76" s="3380"/>
      <c r="AE76" s="3380"/>
      <c r="AF76" s="3380"/>
      <c r="AG76" s="338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2" t="s">
        <v>978</v>
      </c>
      <c r="B1" s="3382"/>
      <c r="C1" s="3382"/>
      <c r="D1" s="3382"/>
      <c r="E1" s="3382"/>
      <c r="F1" s="3382"/>
      <c r="G1" s="3382"/>
      <c r="H1" s="3382"/>
      <c r="I1" s="3382"/>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4</v>
      </c>
      <c r="C4" s="658">
        <f>Application!O728</f>
        <v>1718</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1</v>
      </c>
      <c r="C5" s="658">
        <f>Application!O729</f>
        <v>1194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1</v>
      </c>
      <c r="C6" s="658">
        <f>Application!O730</f>
        <v>671</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52</v>
      </c>
      <c r="C7" s="658">
        <f>Application!O731</f>
        <v>1979</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49</v>
      </c>
      <c r="C8" s="658">
        <f>Application!O732</f>
        <v>1677</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13</v>
      </c>
      <c r="C9" s="658">
        <f>Application!O733</f>
        <v>1374</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13</v>
      </c>
      <c r="C10" s="658">
        <f>Application!O734</f>
        <v>769</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221677</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4050000</v>
      </c>
      <c r="C5" s="421">
        <f>'Sources and Uses Budget'!$C4</f>
        <v>4050000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4050000</v>
      </c>
      <c r="C9" s="425">
        <f>SUM(C5:C8)</f>
        <v>4050000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1500000</v>
      </c>
      <c r="C11" s="421">
        <f>'Sources and Uses Budget'!$C10</f>
        <v>1500000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1500000</v>
      </c>
      <c r="C12" s="425">
        <f>SUM(C10:C11)</f>
        <v>1500000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5550000</v>
      </c>
      <c r="C13" s="425">
        <f>SUM(C9+C12)</f>
        <v>5550000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204437</v>
      </c>
      <c r="C28" s="421">
        <f>'Sources and Uses Budget'!$C$27</f>
        <v>204437</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3073000</v>
      </c>
      <c r="C30" s="421">
        <f>'Sources and Uses Budget'!$C29</f>
        <v>3073000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37358900</v>
      </c>
      <c r="C31" s="421">
        <f>'Sources and Uses Budget'!$C30</f>
        <v>37358900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1677276</v>
      </c>
      <c r="C32" s="421">
        <f>'Sources and Uses Budget'!$C31</f>
        <v>1677276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2515914</v>
      </c>
      <c r="C33" s="421">
        <f>'Sources and Uses Budget'!$C32</f>
        <v>2515914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1677277</v>
      </c>
      <c r="C34" s="421">
        <f>'Sources and Uses Budget'!$C33</f>
        <v>1677277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717035</v>
      </c>
      <c r="C36" s="421">
        <f>'Sources and Uses Budget'!$C35</f>
        <v>717035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(Payment &amp; Performance Bonds)</v>
      </c>
      <c r="B38" s="421">
        <f>'Sources and Uses Budget'!$C37</f>
        <v>956047</v>
      </c>
      <c r="C38" s="421">
        <f>'Sources and Uses Budget'!$C37</f>
        <v>956047</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47975449</v>
      </c>
      <c r="C39" s="425">
        <f>SUM(C30:C38)</f>
        <v>47975449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1160000</v>
      </c>
      <c r="C41" s="421">
        <f>'Sources and Uses Budget'!$C40</f>
        <v>1160000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1160000</v>
      </c>
      <c r="C43" s="425">
        <f>SUM(C41:C42)</f>
        <v>1160000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670300</v>
      </c>
      <c r="C44" s="421">
        <f>'Sources and Uses Budget'!$C43</f>
        <v>670300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2818422</v>
      </c>
      <c r="C46" s="421">
        <f>'Sources and Uses Budget'!$C45</f>
        <v>2818422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656090</v>
      </c>
      <c r="C47" s="421">
        <f>'Sources and Uses Budget'!$C46</f>
        <v>656090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60000</v>
      </c>
      <c r="C51" s="421">
        <f>'Sources and Uses Budget'!$C50</f>
        <v>60000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25000</v>
      </c>
      <c r="C52" s="421">
        <f>'Sources and Uses Budget'!$C51</f>
        <v>25000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494754</v>
      </c>
      <c r="C53" s="421">
        <f>'Sources and Uses Budget'!$C52</f>
        <v>494754</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inspection Fees)</v>
      </c>
      <c r="B54" s="421">
        <f>'Sources and Uses Budget'!$C53</f>
        <v>45000</v>
      </c>
      <c r="C54" s="421">
        <f>'Sources and Uses Budget'!$C53</f>
        <v>45000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4099266</v>
      </c>
      <c r="C55" s="428">
        <f>SUM(C46:C54)</f>
        <v>4099266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282621</v>
      </c>
      <c r="C57" s="421">
        <f>'Sources and Uses Budget'!$C56</f>
        <v>282621</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5000</v>
      </c>
      <c r="C58" s="421">
        <f>'Sources and Uses Budget'!$C57</f>
        <v>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(Issuer Fee+ Administrative Fee)</v>
      </c>
      <c r="B62" s="421">
        <f>'Sources and Uses Budget'!$C61</f>
        <v>82709</v>
      </c>
      <c r="C62" s="421">
        <f>'Sources and Uses Budget'!$C61</f>
        <v>82709</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380330</v>
      </c>
      <c r="C63" s="425">
        <f>SUM(C57:C62)</f>
        <v>380330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60039782</v>
      </c>
      <c r="C64" s="425">
        <f>SUM(C9+C12+C14+C15+C17+C26+C28+C39+C43+C44+C55+C63)</f>
        <v>60039782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135000</v>
      </c>
      <c r="C66" s="421">
        <f>'Sources and Uses Budget'!$C65</f>
        <v>135000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24">
      <c r="A70" s="226" t="str">
        <f>'Sources and Uses Budget'!A69</f>
        <v>Other: (Sponsor Legal + CalHFA Cost of Issuance Fee + GP Legal)</v>
      </c>
      <c r="B70" s="421">
        <f>'Sources and Uses Budget'!$C69</f>
        <v>285000</v>
      </c>
      <c r="C70" s="421">
        <f>'Sources and Uses Budget'!$C69</f>
        <v>285000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420000</v>
      </c>
      <c r="C71" s="425">
        <f>SUM(C66:C70)</f>
        <v>420000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755988</v>
      </c>
      <c r="C76" s="421">
        <f>'Sources and Uses Budget'!$C75</f>
        <v>755988</v>
      </c>
      <c r="D76" s="425">
        <f t="shared" si="0"/>
        <v>0</v>
      </c>
      <c r="E76" s="423"/>
      <c r="F76" s="422"/>
      <c r="G76" s="553"/>
    </row>
    <row r="77" spans="1:253" s="547" customFormat="1">
      <c r="A77" s="427" t="s">
        <v>35</v>
      </c>
      <c r="B77" s="421">
        <f>'Sources and Uses Budget'!$C76</f>
        <v>33500</v>
      </c>
      <c r="C77" s="421">
        <f>'Sources and Uses Budget'!$C76</f>
        <v>33500</v>
      </c>
      <c r="D77" s="425">
        <f t="shared" si="0"/>
        <v>0</v>
      </c>
      <c r="E77" s="423"/>
      <c r="F77" s="422"/>
      <c r="G77" s="553"/>
    </row>
    <row r="78" spans="1:253" s="547" customFormat="1">
      <c r="A78" s="426" t="s">
        <v>640</v>
      </c>
      <c r="B78" s="425">
        <f>SUM(B73:B77)</f>
        <v>789488</v>
      </c>
      <c r="C78" s="425">
        <f>SUM(C73:C77)</f>
        <v>789488</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2473772</v>
      </c>
      <c r="C80" s="421">
        <f>'Sources and Uses Budget'!$C79</f>
        <v>2473772</v>
      </c>
      <c r="D80" s="425">
        <f t="shared" si="1"/>
        <v>0</v>
      </c>
      <c r="E80" s="423"/>
      <c r="F80" s="422"/>
      <c r="G80" s="553"/>
    </row>
    <row r="81" spans="1:7" s="547" customFormat="1">
      <c r="A81" s="861" t="s">
        <v>61</v>
      </c>
      <c r="B81" s="421">
        <f>'Sources and Uses Budget'!$C80</f>
        <v>609875</v>
      </c>
      <c r="C81" s="421">
        <f>'Sources and Uses Budget'!$C80</f>
        <v>609875</v>
      </c>
      <c r="D81" s="425">
        <f>C81-B81</f>
        <v>0</v>
      </c>
      <c r="E81" s="423"/>
      <c r="F81" s="422"/>
      <c r="G81" s="553"/>
    </row>
    <row r="82" spans="1:7" s="547" customFormat="1">
      <c r="A82" s="426" t="s">
        <v>1418</v>
      </c>
      <c r="B82" s="425">
        <f>SUM(B80:B81)</f>
        <v>3083647</v>
      </c>
      <c r="C82" s="425">
        <f>SUM(C80:C81)</f>
        <v>3083647</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94911</v>
      </c>
      <c r="C84" s="421">
        <f>'Sources and Uses Budget'!$C83</f>
        <v>94911</v>
      </c>
      <c r="D84" s="425">
        <f t="shared" si="1"/>
        <v>0</v>
      </c>
      <c r="E84" s="423"/>
      <c r="F84" s="422"/>
      <c r="G84" s="553"/>
    </row>
    <row r="85" spans="1:7" s="547" customFormat="1">
      <c r="A85" s="424" t="s">
        <v>824</v>
      </c>
      <c r="B85" s="421">
        <f>'Sources and Uses Budget'!$C84</f>
        <v>55000</v>
      </c>
      <c r="C85" s="421">
        <f>'Sources and Uses Budget'!$C84</f>
        <v>55000</v>
      </c>
      <c r="D85" s="425">
        <f t="shared" si="1"/>
        <v>0</v>
      </c>
      <c r="E85" s="423"/>
      <c r="F85" s="422"/>
      <c r="G85" s="553"/>
    </row>
    <row r="86" spans="1:7" s="547" customFormat="1">
      <c r="A86" s="424" t="s">
        <v>825</v>
      </c>
      <c r="B86" s="421">
        <f>'Sources and Uses Budget'!$C85</f>
        <v>5746512</v>
      </c>
      <c r="C86" s="421">
        <f>'Sources and Uses Budget'!$C85</f>
        <v>5746512</v>
      </c>
      <c r="D86" s="425">
        <f t="shared" si="1"/>
        <v>0</v>
      </c>
      <c r="E86" s="423"/>
      <c r="F86" s="422"/>
      <c r="G86" s="553"/>
    </row>
    <row r="87" spans="1:7" s="547" customFormat="1">
      <c r="A87" s="424" t="s">
        <v>826</v>
      </c>
      <c r="B87" s="421">
        <f>'Sources and Uses Budget'!$C86</f>
        <v>335000</v>
      </c>
      <c r="C87" s="421">
        <f>'Sources and Uses Budget'!$C86</f>
        <v>335000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38000</v>
      </c>
      <c r="C89" s="421">
        <f>'Sources and Uses Budget'!$C88</f>
        <v>38000</v>
      </c>
      <c r="D89" s="425">
        <f t="shared" si="1"/>
        <v>0</v>
      </c>
      <c r="E89" s="423"/>
      <c r="F89" s="422"/>
      <c r="G89" s="553"/>
    </row>
    <row r="90" spans="1:7" s="547" customFormat="1">
      <c r="A90" s="424" t="s">
        <v>829</v>
      </c>
      <c r="B90" s="421">
        <f>'Sources and Uses Budget'!$C89</f>
        <v>25000</v>
      </c>
      <c r="C90" s="421">
        <f>'Sources and Uses Budget'!$C89</f>
        <v>25000</v>
      </c>
      <c r="D90" s="425">
        <f t="shared" si="1"/>
        <v>0</v>
      </c>
      <c r="E90" s="423"/>
      <c r="F90" s="422"/>
      <c r="G90" s="553"/>
    </row>
    <row r="91" spans="1:7" s="547" customFormat="1">
      <c r="A91" s="424" t="s">
        <v>830</v>
      </c>
      <c r="B91" s="421">
        <f>'Sources and Uses Budget'!$C90</f>
        <v>20000</v>
      </c>
      <c r="C91" s="421">
        <f>'Sources and Uses Budget'!$C90</f>
        <v>20000</v>
      </c>
      <c r="D91" s="425">
        <f t="shared" si="1"/>
        <v>0</v>
      </c>
      <c r="E91" s="423"/>
      <c r="F91" s="422"/>
      <c r="G91" s="553"/>
    </row>
    <row r="92" spans="1:7" s="547" customFormat="1">
      <c r="A92" s="430" t="s">
        <v>389</v>
      </c>
      <c r="B92" s="421">
        <f>'Sources and Uses Budget'!$C91</f>
        <v>107500</v>
      </c>
      <c r="C92" s="421">
        <f>'Sources and Uses Budget'!$C91</f>
        <v>107500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245000</v>
      </c>
      <c r="C94" s="421">
        <f>'Sources and Uses Budget'!$C93</f>
        <v>245000</v>
      </c>
      <c r="D94" s="425">
        <f t="shared" si="1"/>
        <v>0</v>
      </c>
      <c r="E94" s="423"/>
      <c r="F94" s="422"/>
      <c r="G94" s="553"/>
    </row>
    <row r="95" spans="1:7" s="547" customFormat="1">
      <c r="A95" s="427" t="s">
        <v>35</v>
      </c>
      <c r="B95" s="421">
        <f>'Sources and Uses Budget'!$C94</f>
        <v>35000</v>
      </c>
      <c r="C95" s="421">
        <f>'Sources and Uses Budget'!$C94</f>
        <v>35000</v>
      </c>
      <c r="D95" s="425">
        <f t="shared" si="1"/>
        <v>0</v>
      </c>
      <c r="E95" s="423"/>
      <c r="F95" s="422"/>
      <c r="G95" s="553"/>
    </row>
    <row r="96" spans="1:7" s="547" customFormat="1">
      <c r="A96" s="427" t="s">
        <v>35</v>
      </c>
      <c r="B96" s="421">
        <f>'Sources and Uses Budget'!$C95</f>
        <v>14983</v>
      </c>
      <c r="C96" s="421">
        <f>'Sources and Uses Budget'!$C95</f>
        <v>14983</v>
      </c>
      <c r="D96" s="425">
        <f t="shared" si="1"/>
        <v>0</v>
      </c>
      <c r="E96" s="423"/>
      <c r="F96" s="422"/>
      <c r="G96" s="553"/>
    </row>
    <row r="97" spans="1:7" s="547" customFormat="1">
      <c r="A97" s="426" t="s">
        <v>831</v>
      </c>
      <c r="B97" s="425">
        <f>SUM(B84:B96)</f>
        <v>6731906</v>
      </c>
      <c r="C97" s="425">
        <f>SUM(C84:C96)</f>
        <v>6731906</v>
      </c>
      <c r="D97" s="425">
        <f t="shared" si="1"/>
        <v>0</v>
      </c>
      <c r="E97" s="423"/>
      <c r="F97" s="422"/>
      <c r="G97" s="553"/>
    </row>
    <row r="98" spans="1:7" s="547" customFormat="1">
      <c r="A98" s="426" t="s">
        <v>832</v>
      </c>
      <c r="B98" s="425">
        <f>SUM(B64+B71+B78+B82+B97)</f>
        <v>71064823</v>
      </c>
      <c r="C98" s="425">
        <f>SUM(C64+C71+C78+C82+C97)</f>
        <v>71064823</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9627300</v>
      </c>
      <c r="C100" s="421">
        <f>'Sources and Uses Budget'!$C99</f>
        <v>9627300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9627300</v>
      </c>
      <c r="C105" s="425">
        <f>SUM(C100:C104)</f>
        <v>9627300</v>
      </c>
      <c r="D105" s="425">
        <f t="shared" si="1"/>
        <v>0</v>
      </c>
      <c r="E105" s="423"/>
      <c r="F105" s="422"/>
      <c r="G105" s="551"/>
    </row>
    <row r="106" spans="1:7" s="546" customFormat="1">
      <c r="A106" s="426" t="s">
        <v>837</v>
      </c>
      <c r="B106" s="428">
        <f>SUM(B98+B105)</f>
        <v>80692123</v>
      </c>
      <c r="C106" s="428">
        <f>SUM(C98+C105)</f>
        <v>80692123</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8" t="s">
        <v>1157</v>
      </c>
      <c r="B2" s="1908"/>
      <c r="C2" s="1909"/>
      <c r="D2" s="1909"/>
      <c r="E2" s="1909"/>
      <c r="F2" s="1909"/>
      <c r="G2" s="1909"/>
    </row>
    <row r="3" spans="1:9" s="256" customFormat="1">
      <c r="A3" s="1908" t="s">
        <v>1087</v>
      </c>
      <c r="B3" s="1908"/>
      <c r="C3" s="1909"/>
      <c r="D3" s="1909"/>
      <c r="E3" s="1909"/>
      <c r="F3" s="1909"/>
      <c r="G3" s="1909"/>
      <c r="I3" s="677" t="s">
        <v>316</v>
      </c>
    </row>
    <row r="4" spans="1:9">
      <c r="I4" s="678" t="s">
        <v>1158</v>
      </c>
    </row>
    <row r="5" spans="1:9" s="39" customFormat="1">
      <c r="A5" s="1912" t="s">
        <v>1088</v>
      </c>
      <c r="B5" s="1912"/>
      <c r="C5" s="1913"/>
      <c r="D5" s="1913"/>
      <c r="E5" s="1913"/>
      <c r="F5" s="1913"/>
      <c r="G5" s="1913"/>
      <c r="I5" s="678" t="s">
        <v>1159</v>
      </c>
    </row>
    <row r="6" spans="1:9" s="39" customFormat="1">
      <c r="A6" s="1912" t="s">
        <v>879</v>
      </c>
      <c r="B6" s="1912"/>
      <c r="C6" s="1913"/>
      <c r="D6" s="1913"/>
      <c r="E6" s="1913"/>
      <c r="F6" s="1913"/>
      <c r="G6" s="1913"/>
      <c r="I6" s="677" t="s">
        <v>625</v>
      </c>
    </row>
    <row r="7" spans="1:9" ht="11.85" customHeight="1"/>
    <row r="8" spans="1:9" s="39" customFormat="1">
      <c r="A8" s="1910" t="s">
        <v>1254</v>
      </c>
      <c r="B8" s="1910"/>
      <c r="C8" s="1911"/>
      <c r="D8" s="1911"/>
      <c r="E8" s="1911"/>
      <c r="F8" s="1911"/>
      <c r="G8" s="1911"/>
    </row>
    <row r="9" spans="1:9" s="39" customFormat="1">
      <c r="A9" s="1910" t="s">
        <v>1255</v>
      </c>
      <c r="B9" s="1910"/>
      <c r="C9" s="1911"/>
      <c r="D9" s="1911"/>
      <c r="E9" s="1911"/>
      <c r="F9" s="1911"/>
      <c r="G9" s="1911"/>
    </row>
    <row r="10" spans="1:9">
      <c r="A10" s="258"/>
      <c r="B10" s="258"/>
      <c r="C10" s="255"/>
      <c r="D10" s="255"/>
      <c r="E10" s="255"/>
      <c r="F10" s="255"/>
    </row>
    <row r="11" spans="1:9">
      <c r="A11" s="1914" t="s">
        <v>1257</v>
      </c>
      <c r="B11" s="1914"/>
      <c r="C11" s="1914"/>
      <c r="D11" s="1914"/>
      <c r="E11" s="1914"/>
      <c r="F11" s="1914"/>
      <c r="G11" s="1914"/>
    </row>
    <row r="12" spans="1:9">
      <c r="A12" s="255"/>
      <c r="B12" s="673"/>
      <c r="E12" s="50"/>
    </row>
    <row r="13" spans="1:9" ht="13.35" customHeight="1">
      <c r="C13" s="255"/>
      <c r="D13" s="1886" t="s">
        <v>1256</v>
      </c>
      <c r="E13" s="1886"/>
      <c r="F13" s="1886"/>
    </row>
    <row r="14" spans="1:9">
      <c r="C14" s="255"/>
      <c r="D14" s="1886"/>
      <c r="E14" s="1886"/>
      <c r="F14" s="1886"/>
    </row>
    <row r="15" spans="1:9">
      <c r="A15" s="260"/>
      <c r="B15" s="260"/>
      <c r="C15" s="260"/>
      <c r="D15" s="1883" t="s">
        <v>1239</v>
      </c>
      <c r="E15" s="1883"/>
      <c r="F15" s="1883"/>
    </row>
    <row r="16" spans="1:9">
      <c r="A16" s="260"/>
      <c r="B16" s="260"/>
      <c r="C16" s="260"/>
      <c r="D16" s="327"/>
    </row>
    <row r="17" spans="1:7" ht="14.25">
      <c r="A17" s="261"/>
      <c r="B17" s="679" t="s">
        <v>316</v>
      </c>
      <c r="C17" s="313"/>
      <c r="D17" s="1858" t="s">
        <v>1240</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25">
      <c r="A21" s="261"/>
      <c r="B21" s="679" t="s">
        <v>316</v>
      </c>
      <c r="D21" s="1887" t="s">
        <v>1241</v>
      </c>
      <c r="E21" s="1887"/>
      <c r="F21" s="1887"/>
    </row>
    <row r="22" spans="1:7" ht="14.25">
      <c r="A22" s="261"/>
      <c r="B22" s="261"/>
      <c r="D22" s="135"/>
    </row>
    <row r="23" spans="1:7" ht="14.25">
      <c r="A23" s="261"/>
      <c r="B23" s="679" t="s">
        <v>316</v>
      </c>
      <c r="D23" s="1858" t="s">
        <v>1242</v>
      </c>
      <c r="E23" s="1858"/>
      <c r="F23" s="1858"/>
    </row>
    <row r="24" spans="1:7" ht="14.25">
      <c r="A24" s="261"/>
      <c r="B24" s="261"/>
      <c r="D24" s="1858"/>
      <c r="E24" s="1858"/>
      <c r="F24" s="1858"/>
    </row>
    <row r="25" spans="1:7"/>
    <row r="26" spans="1:7" ht="14.25">
      <c r="A26" s="261"/>
      <c r="B26" s="679" t="s">
        <v>316</v>
      </c>
      <c r="D26" s="1881" t="s">
        <v>1243</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316</v>
      </c>
      <c r="C32" s="273"/>
      <c r="D32" s="1860" t="s">
        <v>1244</v>
      </c>
      <c r="E32" s="1860"/>
      <c r="F32" s="1860"/>
      <c r="G32" s="130"/>
    </row>
    <row r="33" spans="1:7" s="39" customFormat="1">
      <c r="A33" s="273"/>
      <c r="B33" s="273"/>
      <c r="C33" s="273"/>
      <c r="D33" s="1860"/>
      <c r="E33" s="1860"/>
      <c r="F33" s="1860"/>
      <c r="G33" s="130"/>
    </row>
    <row r="34" spans="1:7" ht="14.25">
      <c r="A34" s="261"/>
      <c r="B34" s="261"/>
      <c r="D34" s="404"/>
    </row>
    <row r="35" spans="1:7" ht="14.45" customHeight="1">
      <c r="A35" s="261"/>
      <c r="B35" s="679" t="s">
        <v>316</v>
      </c>
      <c r="C35" s="554"/>
      <c r="D35" s="1860" t="s">
        <v>1245</v>
      </c>
      <c r="E35" s="1860"/>
      <c r="F35" s="1860"/>
    </row>
    <row r="36" spans="1:7" ht="14.25">
      <c r="A36" s="261"/>
      <c r="B36" s="261"/>
      <c r="C36" s="554"/>
      <c r="D36" s="1860"/>
      <c r="E36" s="1860"/>
      <c r="F36" s="1860"/>
    </row>
    <row r="37" spans="1:7" ht="14.25">
      <c r="A37" s="261"/>
      <c r="B37" s="261"/>
      <c r="C37" s="554"/>
      <c r="D37" s="1860"/>
      <c r="E37" s="1860"/>
      <c r="F37" s="1860"/>
    </row>
    <row r="38" spans="1:7" ht="14.25">
      <c r="A38" s="261"/>
      <c r="B38" s="261"/>
      <c r="C38" s="554"/>
      <c r="D38" s="12"/>
    </row>
    <row r="39" spans="1:7" s="682" customFormat="1" ht="14.25">
      <c r="A39" s="261"/>
      <c r="B39" s="679" t="s">
        <v>316</v>
      </c>
      <c r="C39" s="699"/>
      <c r="D39" s="1860" t="s">
        <v>1246</v>
      </c>
      <c r="E39" s="1860"/>
      <c r="F39" s="1860"/>
      <c r="G39" s="7"/>
    </row>
    <row r="40" spans="1:7" s="682" customFormat="1" ht="14.25">
      <c r="A40" s="261"/>
      <c r="B40" s="261"/>
      <c r="C40" s="699"/>
      <c r="D40" s="1860"/>
      <c r="E40" s="1860"/>
      <c r="F40" s="1860"/>
      <c r="G40" s="7"/>
    </row>
    <row r="41" spans="1:7" s="682" customFormat="1" ht="14.25">
      <c r="A41" s="261"/>
      <c r="B41" s="261"/>
      <c r="C41" s="699"/>
      <c r="D41" s="1860"/>
      <c r="E41" s="1860"/>
      <c r="F41" s="1860"/>
      <c r="G41" s="7"/>
    </row>
    <row r="42" spans="1:7" s="682" customFormat="1" ht="14.25">
      <c r="A42" s="261"/>
      <c r="B42" s="261"/>
      <c r="C42" s="699"/>
      <c r="D42" s="1860"/>
      <c r="E42" s="1860"/>
      <c r="F42" s="1860"/>
      <c r="G42" s="7"/>
    </row>
    <row r="43" spans="1:7" s="682" customFormat="1" ht="14.25">
      <c r="A43" s="261"/>
      <c r="B43" s="261"/>
      <c r="C43" s="699"/>
      <c r="D43" s="1860"/>
      <c r="E43" s="1860"/>
      <c r="F43" s="1860"/>
      <c r="G43" s="7"/>
    </row>
    <row r="44" spans="1:7" s="682" customFormat="1" ht="14.25">
      <c r="A44" s="261"/>
      <c r="B44" s="261"/>
      <c r="C44" s="699"/>
      <c r="D44" s="698"/>
      <c r="E44" s="698"/>
      <c r="F44" s="698"/>
      <c r="G44" s="7"/>
    </row>
    <row r="45" spans="1:7" ht="14.25">
      <c r="A45" s="261"/>
      <c r="B45" s="679" t="s">
        <v>316</v>
      </c>
      <c r="C45" s="554"/>
      <c r="D45" s="1860" t="s">
        <v>1247</v>
      </c>
      <c r="E45" s="1860"/>
      <c r="F45" s="1860"/>
    </row>
    <row r="46" spans="1:7" ht="14.25">
      <c r="A46" s="261"/>
      <c r="B46" s="261"/>
      <c r="C46" s="554"/>
      <c r="D46" s="1860"/>
      <c r="E46" s="1860"/>
      <c r="F46" s="1860"/>
    </row>
    <row r="47" spans="1:7" ht="14.25">
      <c r="A47" s="261"/>
      <c r="B47" s="261"/>
      <c r="C47" s="554"/>
      <c r="D47" s="1860"/>
      <c r="E47" s="1860"/>
      <c r="F47" s="1860"/>
    </row>
    <row r="48" spans="1:7" ht="23.25" customHeight="1">
      <c r="A48" s="261"/>
      <c r="B48" s="261"/>
      <c r="C48" s="554"/>
      <c r="D48" s="1860"/>
      <c r="E48" s="1860"/>
      <c r="F48" s="1860"/>
    </row>
    <row r="49" spans="1:7" ht="14.25">
      <c r="A49" s="261"/>
      <c r="B49" s="261"/>
      <c r="D49" s="151"/>
    </row>
    <row r="50" spans="1:7" ht="14.45" customHeight="1">
      <c r="A50" s="261"/>
      <c r="B50" s="679" t="s">
        <v>316</v>
      </c>
      <c r="D50" s="1860" t="s">
        <v>1248</v>
      </c>
      <c r="E50" s="1860"/>
      <c r="F50" s="1860"/>
    </row>
    <row r="51" spans="1:7" ht="14.25">
      <c r="A51" s="261"/>
      <c r="B51" s="261"/>
      <c r="D51" s="1860"/>
      <c r="E51" s="1860"/>
      <c r="F51" s="1860"/>
    </row>
    <row r="52" spans="1:7" ht="14.25">
      <c r="A52" s="261"/>
      <c r="B52" s="261"/>
      <c r="D52" s="1860"/>
      <c r="E52" s="1860"/>
      <c r="F52" s="1860"/>
    </row>
    <row r="53" spans="1:7" s="2" customFormat="1" ht="14.25">
      <c r="A53" s="261"/>
      <c r="B53" s="261"/>
      <c r="C53" s="556"/>
      <c r="D53" s="239"/>
      <c r="E53" s="22"/>
      <c r="F53" s="22"/>
      <c r="G53" s="22"/>
    </row>
    <row r="54" spans="1:7" s="2" customFormat="1" ht="14.25">
      <c r="A54" s="403"/>
      <c r="B54" s="679" t="s">
        <v>316</v>
      </c>
      <c r="C54" s="557"/>
      <c r="D54" s="1860" t="s">
        <v>1249</v>
      </c>
      <c r="E54" s="1860"/>
      <c r="F54" s="1860"/>
      <c r="G54" s="22"/>
    </row>
    <row r="55" spans="1:7" s="2" customFormat="1" ht="14.25">
      <c r="A55" s="403"/>
      <c r="B55" s="403"/>
      <c r="C55" s="557"/>
      <c r="D55" s="1860"/>
      <c r="E55" s="1860"/>
      <c r="F55" s="1860"/>
      <c r="G55" s="22"/>
    </row>
    <row r="56" spans="1:7" s="39" customFormat="1">
      <c r="A56" s="273"/>
      <c r="B56" s="273"/>
      <c r="C56" s="273"/>
      <c r="D56" s="443"/>
      <c r="E56" s="130"/>
      <c r="F56" s="130"/>
      <c r="G56" s="130"/>
    </row>
    <row r="57" spans="1:7" ht="14.25">
      <c r="A57" s="261"/>
      <c r="B57" s="679" t="s">
        <v>316</v>
      </c>
      <c r="D57" s="1860" t="s">
        <v>1250</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25">
      <c r="A61" s="261"/>
      <c r="B61" s="679" t="s">
        <v>316</v>
      </c>
      <c r="D61" s="1860" t="s">
        <v>1251</v>
      </c>
      <c r="E61" s="1860"/>
      <c r="F61" s="1860"/>
    </row>
    <row r="62" spans="1:7">
      <c r="D62" s="1860"/>
      <c r="E62" s="1860"/>
      <c r="F62" s="1860"/>
    </row>
    <row r="63" spans="1:7"/>
    <row r="64" spans="1:7" ht="14.25">
      <c r="A64" s="261"/>
      <c r="B64" s="679" t="s">
        <v>316</v>
      </c>
      <c r="D64" s="1860" t="s">
        <v>1252</v>
      </c>
      <c r="E64" s="1860"/>
      <c r="F64" s="1860"/>
    </row>
    <row r="65" spans="1:7">
      <c r="D65" s="1860"/>
      <c r="E65" s="1860"/>
      <c r="F65" s="1860"/>
    </row>
    <row r="66" spans="1:7">
      <c r="A66" s="555"/>
      <c r="C66" s="555"/>
      <c r="D66" s="1860"/>
      <c r="E66" s="1860"/>
      <c r="F66" s="1860"/>
    </row>
    <row r="67" spans="1:7">
      <c r="D67" s="12"/>
    </row>
    <row r="68" spans="1:7" ht="14.25">
      <c r="A68" s="261"/>
      <c r="B68" s="679" t="s">
        <v>316</v>
      </c>
      <c r="D68" s="1858" t="s">
        <v>1253</v>
      </c>
      <c r="E68" s="1858"/>
      <c r="F68" s="1858"/>
    </row>
    <row r="69" spans="1:7">
      <c r="D69" s="1858"/>
      <c r="E69" s="1858"/>
      <c r="F69" s="1858"/>
    </row>
    <row r="70" spans="1:7" ht="14.25">
      <c r="A70" s="261"/>
      <c r="B70" s="261"/>
      <c r="D70" s="135"/>
    </row>
    <row r="71" spans="1:7">
      <c r="A71" s="1884" t="s">
        <v>1160</v>
      </c>
      <c r="B71" s="1884"/>
      <c r="C71" s="1884"/>
      <c r="D71" s="1884"/>
      <c r="E71" s="1884"/>
      <c r="F71" s="1884"/>
      <c r="G71" s="1884"/>
    </row>
    <row r="72" spans="1:7"/>
    <row r="73" spans="1:7">
      <c r="C73" s="262"/>
      <c r="D73" s="1900" t="s">
        <v>1258</v>
      </c>
      <c r="E73" s="1900"/>
      <c r="F73" s="1900"/>
    </row>
    <row r="74" spans="1:7">
      <c r="A74" s="135"/>
      <c r="B74" s="135"/>
      <c r="D74" s="1858" t="s">
        <v>1285</v>
      </c>
      <c r="E74" s="1858"/>
      <c r="F74" s="1858"/>
    </row>
    <row r="75" spans="1:7">
      <c r="A75" s="135"/>
      <c r="B75" s="135"/>
    </row>
    <row r="76" spans="1:7" ht="14.25">
      <c r="A76" s="261"/>
      <c r="B76" s="679" t="s">
        <v>316</v>
      </c>
      <c r="D76" s="1858" t="s">
        <v>1259</v>
      </c>
      <c r="E76" s="1858"/>
      <c r="F76" s="1858"/>
    </row>
    <row r="77" spans="1:7" ht="14.25">
      <c r="A77" s="261"/>
      <c r="B77" s="261"/>
      <c r="D77" s="1858"/>
      <c r="E77" s="1858"/>
      <c r="F77" s="1858"/>
    </row>
    <row r="78" spans="1:7" ht="14.25">
      <c r="A78" s="261"/>
      <c r="B78" s="261"/>
      <c r="D78" s="1858"/>
      <c r="E78" s="1858"/>
      <c r="F78" s="1858"/>
    </row>
    <row r="79" spans="1:7" ht="14.25">
      <c r="A79" s="261"/>
      <c r="B79" s="261"/>
      <c r="D79" s="1858"/>
      <c r="E79" s="1858"/>
      <c r="F79" s="1858"/>
    </row>
    <row r="80" spans="1:7" ht="14.25">
      <c r="A80" s="261"/>
      <c r="B80" s="261"/>
      <c r="D80" s="1858"/>
      <c r="E80" s="1858"/>
      <c r="F80" s="1858"/>
    </row>
    <row r="81" spans="1:7" ht="14.25">
      <c r="A81" s="261"/>
      <c r="B81" s="261"/>
      <c r="D81" s="1858"/>
      <c r="E81" s="1858"/>
      <c r="F81" s="1858"/>
    </row>
    <row r="82" spans="1:7" s="706" customFormat="1" ht="14.25">
      <c r="A82" s="707"/>
      <c r="B82" s="707"/>
      <c r="C82" s="705"/>
      <c r="D82" s="709"/>
      <c r="E82" s="709"/>
      <c r="F82" s="709"/>
      <c r="G82" s="7"/>
    </row>
    <row r="83" spans="1:7" s="706" customFormat="1" ht="14.45" customHeight="1">
      <c r="A83" s="707"/>
      <c r="B83" s="712" t="s">
        <v>316</v>
      </c>
      <c r="C83" s="705"/>
      <c r="D83" s="1915" t="s">
        <v>1358</v>
      </c>
      <c r="E83" s="1915"/>
      <c r="F83" s="1915"/>
      <c r="G83" s="7"/>
    </row>
    <row r="84" spans="1:7" s="706" customFormat="1" ht="14.25">
      <c r="A84" s="707"/>
      <c r="B84" s="707"/>
      <c r="C84" s="705"/>
      <c r="D84" s="1915"/>
      <c r="E84" s="1915"/>
      <c r="F84" s="1915"/>
      <c r="G84" s="7"/>
    </row>
    <row r="85" spans="1:7" s="706" customFormat="1" ht="14.25">
      <c r="A85" s="707"/>
      <c r="B85" s="707"/>
      <c r="C85" s="705"/>
      <c r="D85" s="1915"/>
      <c r="E85" s="1915"/>
      <c r="F85" s="1915"/>
      <c r="G85" s="7"/>
    </row>
    <row r="86" spans="1:7" s="706" customFormat="1" ht="14.25">
      <c r="A86" s="707"/>
      <c r="B86" s="707"/>
      <c r="C86" s="705"/>
      <c r="D86" s="1915"/>
      <c r="E86" s="1915"/>
      <c r="F86" s="1915"/>
      <c r="G86" s="7"/>
    </row>
    <row r="87" spans="1:7" s="706" customFormat="1" ht="14.25">
      <c r="A87" s="707"/>
      <c r="B87" s="707"/>
      <c r="C87" s="705"/>
      <c r="D87" s="1915"/>
      <c r="E87" s="1915"/>
      <c r="F87" s="1915"/>
      <c r="G87" s="7"/>
    </row>
    <row r="88" spans="1:7" s="719" customFormat="1" ht="14.25">
      <c r="A88" s="714"/>
      <c r="B88" s="714"/>
      <c r="C88" s="745"/>
      <c r="D88" s="1915"/>
      <c r="E88" s="1915"/>
      <c r="F88" s="1915"/>
      <c r="G88" s="7"/>
    </row>
    <row r="89" spans="1:7" s="719" customFormat="1" ht="14.25">
      <c r="A89" s="714"/>
      <c r="B89" s="714"/>
      <c r="C89" s="745"/>
      <c r="D89" s="1915"/>
      <c r="E89" s="1915"/>
      <c r="F89" s="1915"/>
      <c r="G89" s="7"/>
    </row>
    <row r="90" spans="1:7" s="719" customFormat="1" ht="14.25">
      <c r="A90" s="714"/>
      <c r="B90" s="714"/>
      <c r="C90" s="745"/>
      <c r="D90" s="1915"/>
      <c r="E90" s="1915"/>
      <c r="F90" s="1915"/>
      <c r="G90" s="7"/>
    </row>
    <row r="91" spans="1:7" ht="14.25">
      <c r="A91" s="261"/>
      <c r="B91" s="261"/>
      <c r="D91" s="1915"/>
      <c r="E91" s="1915"/>
      <c r="F91" s="1915"/>
    </row>
    <row r="92" spans="1:7" ht="14.25">
      <c r="A92" s="261"/>
      <c r="B92" s="261"/>
      <c r="D92" s="1915"/>
      <c r="E92" s="1915"/>
      <c r="F92" s="1915"/>
    </row>
    <row r="93" spans="1:7" ht="14.25">
      <c r="A93" s="261"/>
      <c r="B93" s="261"/>
      <c r="D93" s="1915"/>
      <c r="E93" s="1915"/>
      <c r="F93" s="1915"/>
    </row>
    <row r="94" spans="1:7" ht="14.25">
      <c r="A94" s="261"/>
      <c r="B94" s="261"/>
      <c r="D94" s="1915"/>
      <c r="E94" s="1915"/>
      <c r="F94" s="1915"/>
    </row>
    <row r="95" spans="1:7" ht="14.25">
      <c r="A95" s="261"/>
      <c r="B95" s="261"/>
      <c r="D95" s="1915"/>
      <c r="E95" s="1915"/>
      <c r="F95" s="1915"/>
    </row>
    <row r="96" spans="1:7" ht="14.25">
      <c r="A96" s="261"/>
      <c r="B96" s="261"/>
      <c r="D96" s="1915"/>
      <c r="E96" s="1915"/>
      <c r="F96" s="1915"/>
    </row>
    <row r="97" spans="1:11" s="710" customFormat="1" ht="14.25">
      <c r="A97" s="711"/>
      <c r="B97" s="715" t="s">
        <v>316</v>
      </c>
      <c r="C97" s="705"/>
      <c r="D97" s="1858" t="s">
        <v>1260</v>
      </c>
      <c r="E97" s="1858"/>
      <c r="F97" s="1858"/>
      <c r="G97" s="7"/>
    </row>
    <row r="98" spans="1:11" s="710" customFormat="1" ht="14.25">
      <c r="A98" s="711"/>
      <c r="B98" s="711"/>
      <c r="C98" s="705"/>
      <c r="D98" s="1858"/>
      <c r="E98" s="1858"/>
      <c r="F98" s="1858"/>
      <c r="G98" s="7"/>
    </row>
    <row r="99" spans="1:11" s="710" customFormat="1" ht="14.25">
      <c r="A99" s="711"/>
      <c r="B99" s="711"/>
      <c r="C99" s="705"/>
      <c r="D99" s="1858"/>
      <c r="E99" s="1858"/>
      <c r="F99" s="1858"/>
      <c r="G99" s="7"/>
    </row>
    <row r="100" spans="1:11" s="710" customFormat="1" ht="14.25">
      <c r="A100" s="711"/>
      <c r="B100" s="711"/>
      <c r="C100" s="705"/>
      <c r="D100" s="1858"/>
      <c r="E100" s="1858"/>
      <c r="F100" s="1858"/>
      <c r="G100" s="7"/>
    </row>
    <row r="101" spans="1:11" s="710" customFormat="1" ht="14.25">
      <c r="A101" s="711"/>
      <c r="B101" s="711"/>
      <c r="C101" s="705"/>
      <c r="D101" s="1858"/>
      <c r="E101" s="1858"/>
      <c r="F101" s="1858"/>
      <c r="G101" s="7"/>
    </row>
    <row r="102" spans="1:11" s="710" customFormat="1" ht="14.25">
      <c r="A102" s="711"/>
      <c r="B102" s="711"/>
      <c r="C102" s="705"/>
      <c r="D102" s="1858"/>
      <c r="E102" s="1858"/>
      <c r="F102" s="1858"/>
      <c r="G102" s="7"/>
    </row>
    <row r="103" spans="1:11" s="710" customFormat="1" ht="14.25">
      <c r="A103" s="711"/>
      <c r="B103" s="711"/>
      <c r="C103" s="705"/>
      <c r="D103" s="1858"/>
      <c r="E103" s="1858"/>
      <c r="F103" s="1858"/>
      <c r="G103" s="7"/>
    </row>
    <row r="104" spans="1:11" s="710" customFormat="1" ht="14.25">
      <c r="A104" s="711"/>
      <c r="B104" s="711"/>
      <c r="C104" s="705"/>
      <c r="D104" s="1858"/>
      <c r="E104" s="1858"/>
      <c r="F104" s="1858"/>
      <c r="G104" s="7"/>
    </row>
    <row r="105" spans="1:11" s="713" customFormat="1" ht="14.25">
      <c r="A105" s="714"/>
      <c r="B105" s="714"/>
      <c r="C105" s="705"/>
      <c r="D105" s="716"/>
      <c r="E105" s="716"/>
      <c r="F105" s="716"/>
      <c r="G105" s="7"/>
    </row>
    <row r="106" spans="1:11" ht="14.25">
      <c r="A106" s="403"/>
      <c r="B106" s="708" t="s">
        <v>316</v>
      </c>
      <c r="C106" s="469"/>
      <c r="D106" s="1916" t="s">
        <v>1261</v>
      </c>
      <c r="E106" s="1916"/>
      <c r="F106" s="1916"/>
      <c r="G106" s="470"/>
      <c r="H106" s="468"/>
      <c r="I106" s="468"/>
      <c r="J106" s="468"/>
      <c r="K106" s="468"/>
    </row>
    <row r="107" spans="1:11" ht="14.25">
      <c r="A107" s="261"/>
      <c r="B107" s="261"/>
      <c r="C107" s="315"/>
      <c r="D107" s="1916"/>
      <c r="E107" s="1916"/>
      <c r="F107" s="1916"/>
      <c r="G107" s="470"/>
      <c r="H107" s="468"/>
      <c r="I107" s="468"/>
      <c r="J107" s="468"/>
      <c r="K107" s="468"/>
    </row>
    <row r="108" spans="1:11" ht="14.25">
      <c r="A108" s="261"/>
      <c r="B108" s="261"/>
      <c r="C108" s="315"/>
      <c r="D108" s="1916"/>
      <c r="E108" s="1916"/>
      <c r="F108" s="1916"/>
      <c r="G108" s="470"/>
      <c r="H108" s="468"/>
      <c r="I108" s="468"/>
      <c r="J108" s="468"/>
      <c r="K108" s="468"/>
    </row>
    <row r="109" spans="1:11" ht="14.25">
      <c r="A109" s="261"/>
      <c r="B109" s="261"/>
      <c r="C109" s="315"/>
      <c r="D109" s="1916"/>
      <c r="E109" s="1916"/>
      <c r="F109" s="1916"/>
      <c r="G109" s="470"/>
      <c r="H109" s="468"/>
      <c r="I109" s="468"/>
      <c r="J109" s="468"/>
      <c r="K109" s="468"/>
    </row>
    <row r="110" spans="1:11" ht="14.25">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25">
      <c r="A114" s="261"/>
      <c r="B114" s="679" t="s">
        <v>316</v>
      </c>
      <c r="C114"/>
      <c r="D114" s="1917" t="s">
        <v>1262</v>
      </c>
      <c r="E114" s="1917"/>
      <c r="F114" s="1917"/>
      <c r="G114"/>
      <c r="H114"/>
      <c r="I114"/>
      <c r="J114"/>
      <c r="K114"/>
    </row>
    <row r="115" spans="1:11" ht="14.25">
      <c r="A115" s="261"/>
      <c r="B115" s="261"/>
      <c r="C115"/>
      <c r="D115" s="1917"/>
      <c r="E115" s="1917"/>
      <c r="F115" s="1917"/>
      <c r="G115"/>
      <c r="H115"/>
      <c r="I115"/>
      <c r="J115"/>
      <c r="K115"/>
    </row>
    <row r="116" spans="1:11"/>
    <row r="117" spans="1:11" ht="14.25">
      <c r="A117" s="261"/>
      <c r="B117" s="679" t="s">
        <v>316</v>
      </c>
      <c r="C117" s="10"/>
      <c r="D117" s="1858" t="s">
        <v>1263</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25">
      <c r="A123" s="261"/>
      <c r="B123" s="679" t="s">
        <v>316</v>
      </c>
      <c r="C123" s="10"/>
      <c r="D123" s="1860" t="s">
        <v>1264</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6"/>
      <c r="C125" s="10"/>
      <c r="D125" s="1860"/>
      <c r="E125" s="1860"/>
      <c r="F125" s="1860"/>
      <c r="G125" s="149"/>
    </row>
    <row r="126" spans="1:11" customFormat="1" ht="13.7" customHeight="1">
      <c r="A126" s="132"/>
      <c r="B126" s="676"/>
      <c r="C126" s="10"/>
      <c r="D126" s="1860"/>
      <c r="E126" s="1860"/>
      <c r="F126" s="1860"/>
      <c r="G126" s="149"/>
    </row>
    <row r="127" spans="1:11" customFormat="1" ht="13.7" customHeight="1">
      <c r="A127" s="132"/>
      <c r="B127" s="676"/>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2"/>
      <c r="D129" s="1860"/>
      <c r="E129" s="1860"/>
      <c r="F129" s="1860"/>
      <c r="G129" s="182"/>
    </row>
    <row r="130" spans="1:7" s="2" customFormat="1" ht="13.7" customHeight="1">
      <c r="A130" s="273"/>
      <c r="B130" s="273"/>
      <c r="C130" s="442"/>
      <c r="D130" s="1860"/>
      <c r="E130" s="1860"/>
      <c r="F130" s="1860"/>
      <c r="G130" s="182"/>
    </row>
    <row r="131" spans="1:7" customFormat="1" ht="13.7" customHeight="1">
      <c r="A131" s="132"/>
      <c r="B131" s="676"/>
      <c r="C131" s="10"/>
      <c r="D131" s="1860"/>
      <c r="E131" s="1860"/>
      <c r="F131" s="1860"/>
      <c r="G131" s="149"/>
    </row>
    <row r="132" spans="1:7" customFormat="1" ht="13.7" customHeight="1">
      <c r="A132" s="132"/>
      <c r="B132" s="676"/>
      <c r="C132" s="10"/>
      <c r="D132" s="1860"/>
      <c r="E132" s="1860"/>
      <c r="F132" s="1860"/>
      <c r="G132" s="149"/>
    </row>
    <row r="133" spans="1:7" customFormat="1" ht="13.7" customHeight="1">
      <c r="A133" s="132"/>
      <c r="B133" s="676"/>
      <c r="C133" s="10"/>
      <c r="D133" s="1860"/>
      <c r="E133" s="1860"/>
      <c r="F133" s="1860"/>
      <c r="G133" s="149"/>
    </row>
    <row r="134" spans="1:7" customFormat="1" ht="13.7" customHeight="1">
      <c r="A134" s="132"/>
      <c r="B134" s="676"/>
      <c r="C134" s="10"/>
      <c r="D134" s="1860"/>
      <c r="E134" s="1860"/>
      <c r="F134" s="1860"/>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8" t="s">
        <v>1372</v>
      </c>
      <c r="E136" s="1858"/>
      <c r="F136" s="1858"/>
      <c r="G136" s="149"/>
    </row>
    <row r="137" spans="1:7" s="717" customFormat="1" ht="13.7" customHeight="1">
      <c r="A137" s="705"/>
      <c r="B137" s="705"/>
      <c r="C137" s="10"/>
      <c r="D137" s="1858"/>
      <c r="E137" s="1858"/>
      <c r="F137" s="1858"/>
      <c r="G137" s="149"/>
    </row>
    <row r="138" spans="1:7" s="717" customFormat="1" ht="13.7" customHeight="1">
      <c r="A138" s="705"/>
      <c r="B138" s="705"/>
      <c r="C138" s="10"/>
      <c r="D138" s="1858"/>
      <c r="E138" s="1858"/>
      <c r="F138" s="1858"/>
      <c r="G138" s="149"/>
    </row>
    <row r="139" spans="1:7" s="717" customFormat="1" ht="13.7" customHeight="1">
      <c r="A139" s="705"/>
      <c r="B139" s="705"/>
      <c r="C139" s="10"/>
      <c r="D139" s="1858"/>
      <c r="E139" s="1858"/>
      <c r="F139" s="1858"/>
      <c r="G139" s="149"/>
    </row>
    <row r="140" spans="1:7" s="717" customFormat="1" ht="13.7" customHeight="1">
      <c r="A140" s="705"/>
      <c r="B140" s="705"/>
      <c r="C140" s="10"/>
      <c r="D140" s="1858"/>
      <c r="E140" s="1858"/>
      <c r="F140" s="1858"/>
      <c r="G140" s="149"/>
    </row>
    <row r="141" spans="1:7" s="717" customFormat="1" ht="13.7" customHeight="1">
      <c r="A141" s="705"/>
      <c r="B141" s="705"/>
      <c r="C141" s="10"/>
      <c r="D141" s="1858"/>
      <c r="E141" s="1858"/>
      <c r="F141" s="1858"/>
      <c r="G141" s="149"/>
    </row>
    <row r="142" spans="1:7" s="717" customFormat="1" ht="13.7" customHeight="1">
      <c r="A142" s="705"/>
      <c r="B142" s="705"/>
      <c r="C142" s="10"/>
      <c r="D142" s="1858"/>
      <c r="E142" s="1858"/>
      <c r="F142" s="1858"/>
      <c r="G142" s="149"/>
    </row>
    <row r="143" spans="1:7" s="717" customFormat="1" ht="13.7" customHeight="1">
      <c r="A143" s="705"/>
      <c r="B143" s="705"/>
      <c r="C143" s="10"/>
      <c r="D143" s="1858"/>
      <c r="E143" s="1858"/>
      <c r="F143" s="1858"/>
      <c r="G143" s="149"/>
    </row>
    <row r="144" spans="1:7" s="717" customFormat="1" ht="13.7" customHeight="1">
      <c r="A144" s="705"/>
      <c r="B144" s="705"/>
      <c r="C144" s="10"/>
      <c r="D144" s="1858"/>
      <c r="E144" s="1858"/>
      <c r="F144" s="1858"/>
      <c r="G144" s="149"/>
    </row>
    <row r="145" spans="1:7" s="717" customFormat="1" ht="13.7" customHeight="1">
      <c r="A145" s="705"/>
      <c r="B145" s="705"/>
      <c r="C145" s="10"/>
      <c r="D145" s="1858"/>
      <c r="E145" s="1858"/>
      <c r="F145" s="1858"/>
      <c r="G145" s="149"/>
    </row>
    <row r="146" spans="1:7" s="717" customFormat="1" ht="13.7" customHeight="1">
      <c r="A146" s="747"/>
      <c r="B146" s="747"/>
      <c r="C146" s="10"/>
      <c r="D146" s="1858"/>
      <c r="E146" s="1858"/>
      <c r="F146" s="1858"/>
      <c r="G146" s="149"/>
    </row>
    <row r="147" spans="1:7" s="717" customFormat="1" ht="13.7" customHeight="1">
      <c r="A147" s="747"/>
      <c r="B147" s="747"/>
      <c r="C147" s="10"/>
      <c r="D147" s="1858"/>
      <c r="E147" s="1858"/>
      <c r="F147" s="1858"/>
      <c r="G147" s="149"/>
    </row>
    <row r="148" spans="1:7" s="717" customFormat="1" ht="13.7" customHeight="1">
      <c r="A148" s="705"/>
      <c r="B148" s="705"/>
      <c r="C148" s="10"/>
      <c r="D148" s="1858"/>
      <c r="E148" s="1858"/>
      <c r="F148" s="1858"/>
      <c r="G148" s="149"/>
    </row>
    <row r="149" spans="1:7" s="717" customFormat="1" ht="13.7" customHeight="1">
      <c r="A149" s="705"/>
      <c r="B149" s="705"/>
      <c r="C149" s="10"/>
      <c r="D149" s="1858"/>
      <c r="E149" s="1858"/>
      <c r="F149" s="1858"/>
      <c r="G149" s="149"/>
    </row>
    <row r="150" spans="1:7" s="717" customFormat="1" ht="13.7" customHeight="1">
      <c r="A150" s="705"/>
      <c r="B150" s="705"/>
      <c r="C150" s="10"/>
      <c r="D150" s="1858"/>
      <c r="E150" s="1858"/>
      <c r="F150" s="1858"/>
      <c r="G150" s="149"/>
    </row>
    <row r="151" spans="1:7" s="717" customFormat="1" ht="13.7" customHeight="1">
      <c r="A151" s="705"/>
      <c r="B151" s="705"/>
      <c r="C151" s="10"/>
      <c r="D151" s="1858"/>
      <c r="E151" s="1858"/>
      <c r="F151" s="1858"/>
      <c r="G151" s="149"/>
    </row>
    <row r="152" spans="1:7" s="717" customFormat="1" ht="13.7" customHeight="1">
      <c r="A152" s="705"/>
      <c r="B152" s="705"/>
      <c r="C152" s="10"/>
      <c r="D152" s="1858"/>
      <c r="E152" s="1858"/>
      <c r="F152" s="1858"/>
      <c r="G152" s="149"/>
    </row>
    <row r="153" spans="1:7" s="717" customFormat="1" ht="13.7" customHeight="1">
      <c r="A153" s="705"/>
      <c r="B153" s="705"/>
      <c r="C153" s="10"/>
      <c r="D153" s="1858"/>
      <c r="E153" s="1858"/>
      <c r="F153" s="1858"/>
      <c r="G153" s="149"/>
    </row>
    <row r="154" spans="1:7" s="717" customFormat="1" ht="13.7" customHeight="1">
      <c r="A154" s="705"/>
      <c r="B154" s="705"/>
      <c r="C154" s="10"/>
      <c r="D154" s="1858"/>
      <c r="E154" s="1858"/>
      <c r="F154" s="1858"/>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8" t="s">
        <v>1265</v>
      </c>
      <c r="E156" s="1918"/>
      <c r="F156" s="1918"/>
      <c r="G156" s="444"/>
    </row>
    <row r="157" spans="1:7" customFormat="1" ht="13.7" customHeight="1">
      <c r="A157" s="378"/>
      <c r="B157" s="378"/>
      <c r="C157" s="325"/>
      <c r="D157" s="1918"/>
      <c r="E157" s="1918"/>
      <c r="F157" s="1918"/>
      <c r="G157" s="444"/>
    </row>
    <row r="158" spans="1:7" customFormat="1" ht="13.7" customHeight="1">
      <c r="A158" s="378"/>
      <c r="B158" s="378"/>
      <c r="C158" s="325"/>
      <c r="D158" s="327"/>
      <c r="E158" s="325"/>
      <c r="F158" s="325"/>
      <c r="G158" s="444"/>
    </row>
    <row r="159" spans="1:7" customFormat="1" ht="13.7" customHeight="1">
      <c r="A159" s="378"/>
      <c r="B159" s="679" t="s">
        <v>316</v>
      </c>
      <c r="C159" s="325"/>
      <c r="D159" s="1861" t="s">
        <v>1266</v>
      </c>
      <c r="E159" s="1861"/>
      <c r="F159" s="1861"/>
      <c r="G159" s="444"/>
    </row>
    <row r="160" spans="1:7" customFormat="1" ht="13.7" customHeight="1">
      <c r="A160" s="378"/>
      <c r="B160" s="378"/>
      <c r="C160" s="325"/>
      <c r="D160" s="1861"/>
      <c r="E160" s="1861"/>
      <c r="F160" s="1861"/>
      <c r="G160" s="444"/>
    </row>
    <row r="161" spans="1:7" customFormat="1" ht="13.7" customHeight="1">
      <c r="A161" s="378"/>
      <c r="B161" s="378"/>
      <c r="C161" s="325"/>
      <c r="D161" s="1861"/>
      <c r="E161" s="1861"/>
      <c r="F161" s="1861"/>
      <c r="G161" s="444"/>
    </row>
    <row r="162" spans="1:7" customFormat="1" ht="13.7" customHeight="1">
      <c r="A162" s="378"/>
      <c r="B162" s="378"/>
      <c r="C162" s="325"/>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1267</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4" t="s">
        <v>1161</v>
      </c>
      <c r="B168" s="1884"/>
      <c r="C168" s="1884"/>
      <c r="D168" s="1884"/>
      <c r="E168" s="1884"/>
      <c r="F168" s="1884"/>
      <c r="G168" s="1884"/>
    </row>
    <row r="169" spans="1:7" ht="12" customHeight="1">
      <c r="D169" s="135"/>
      <c r="E169" s="135"/>
      <c r="F169" s="135"/>
    </row>
    <row r="170" spans="1:7">
      <c r="B170" s="1880" t="s">
        <v>469</v>
      </c>
      <c r="C170" s="1880"/>
      <c r="D170" s="1880"/>
      <c r="E170" s="1880"/>
      <c r="F170" s="1880"/>
    </row>
    <row r="171" spans="1:7" ht="12" customHeight="1">
      <c r="A171" s="255"/>
      <c r="B171" s="673"/>
      <c r="C171" s="255"/>
    </row>
    <row r="172" spans="1:7">
      <c r="A172" s="1884" t="s">
        <v>1162</v>
      </c>
      <c r="B172" s="1884"/>
      <c r="C172" s="1884"/>
      <c r="D172" s="1884"/>
      <c r="E172" s="1884"/>
      <c r="F172" s="1884"/>
      <c r="G172" s="1884"/>
    </row>
    <row r="173" spans="1:7" ht="12" customHeight="1">
      <c r="A173" s="264"/>
      <c r="B173" s="264"/>
      <c r="C173" s="265"/>
      <c r="D173" s="57"/>
      <c r="E173" s="49"/>
      <c r="F173" s="57"/>
      <c r="G173" s="57"/>
    </row>
    <row r="174" spans="1:7" ht="13.35" customHeight="1">
      <c r="A174" s="264"/>
      <c r="B174" s="264"/>
      <c r="C174" s="265"/>
      <c r="D174" s="1920" t="s">
        <v>1270</v>
      </c>
      <c r="E174" s="1920"/>
      <c r="F174" s="1920"/>
      <c r="G174" s="57"/>
    </row>
    <row r="175" spans="1:7">
      <c r="A175" s="264"/>
      <c r="B175" s="264"/>
      <c r="C175" s="265"/>
      <c r="D175" s="1920"/>
      <c r="E175" s="1920"/>
      <c r="F175" s="1920"/>
      <c r="G175" s="57"/>
    </row>
    <row r="176" spans="1:7" s="719" customFormat="1">
      <c r="A176" s="721"/>
      <c r="B176" s="721"/>
      <c r="C176" s="265"/>
      <c r="D176" s="1921" t="s">
        <v>1271</v>
      </c>
      <c r="E176" s="1921"/>
      <c r="F176" s="1921"/>
      <c r="G176" s="57"/>
    </row>
    <row r="177" spans="1:7" ht="12" customHeight="1">
      <c r="A177" s="264"/>
      <c r="B177" s="264"/>
      <c r="C177" s="265"/>
      <c r="D177" s="57"/>
      <c r="E177" s="49"/>
      <c r="F177" s="57"/>
      <c r="G177" s="57"/>
    </row>
    <row r="178" spans="1:7" ht="14.25">
      <c r="A178" s="261"/>
      <c r="B178" s="679" t="s">
        <v>316</v>
      </c>
      <c r="C178" s="265"/>
      <c r="D178" s="1919" t="s">
        <v>1269</v>
      </c>
      <c r="E178" s="1919"/>
      <c r="F178" s="1919"/>
      <c r="G178" s="57"/>
    </row>
    <row r="179" spans="1:7" ht="14.25">
      <c r="A179" s="261"/>
      <c r="B179" s="261"/>
      <c r="C179" s="265"/>
      <c r="D179" s="1919"/>
      <c r="E179" s="1919"/>
      <c r="F179" s="1919"/>
      <c r="G179" s="57"/>
    </row>
    <row r="180" spans="1:7" ht="14.25">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1178</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25">
      <c r="A186" s="261"/>
      <c r="B186" s="679" t="s">
        <v>316</v>
      </c>
      <c r="C186" s="557"/>
      <c r="D186" s="1858" t="s">
        <v>1268</v>
      </c>
      <c r="E186" s="1858"/>
      <c r="F186" s="1858"/>
      <c r="G186" s="678"/>
    </row>
    <row r="187" spans="1:7" s="677" customFormat="1" ht="14.45" customHeight="1">
      <c r="A187" s="261"/>
      <c r="C187" s="557"/>
      <c r="D187" s="1858"/>
      <c r="E187" s="1858"/>
      <c r="F187" s="1858"/>
      <c r="G187" s="678"/>
    </row>
    <row r="188" spans="1:7" s="677" customFormat="1" ht="14.25">
      <c r="A188" s="261"/>
      <c r="B188" s="697"/>
      <c r="C188" s="557"/>
      <c r="D188" s="1858"/>
      <c r="E188" s="1858"/>
      <c r="F188" s="1858"/>
      <c r="G188" s="678"/>
    </row>
    <row r="189" spans="1:7" s="677" customFormat="1" ht="14.25">
      <c r="A189" s="261"/>
      <c r="B189" s="697"/>
      <c r="C189" s="557"/>
      <c r="D189" s="1858"/>
      <c r="E189" s="1858"/>
      <c r="F189" s="1858"/>
      <c r="G189" s="678"/>
    </row>
    <row r="190" spans="1:7" s="682" customFormat="1">
      <c r="A190" s="265"/>
      <c r="B190" s="265"/>
      <c r="C190" s="265"/>
      <c r="D190" s="696"/>
      <c r="E190" s="696"/>
      <c r="F190" s="696"/>
      <c r="G190" s="7"/>
    </row>
    <row r="191" spans="1:7">
      <c r="A191" s="1884" t="s">
        <v>1163</v>
      </c>
      <c r="B191" s="1884"/>
      <c r="C191" s="1884"/>
      <c r="D191" s="1884"/>
      <c r="E191" s="1884"/>
      <c r="F191" s="1884"/>
      <c r="G191" s="1884"/>
    </row>
    <row r="192" spans="1:7" ht="12" customHeight="1">
      <c r="D192" s="135"/>
      <c r="E192" s="135"/>
      <c r="F192" s="135"/>
    </row>
    <row r="193" spans="1:6">
      <c r="C193" s="262"/>
      <c r="D193" s="1922" t="s">
        <v>214</v>
      </c>
      <c r="E193" s="1922"/>
      <c r="F193" s="1922"/>
    </row>
    <row r="194" spans="1:6">
      <c r="A194" s="255"/>
      <c r="B194" s="673"/>
      <c r="C194" s="255"/>
      <c r="D194" s="1890" t="s">
        <v>1292</v>
      </c>
      <c r="E194" s="1891"/>
      <c r="F194" s="1891"/>
    </row>
    <row r="195" spans="1:6" ht="12" customHeight="1">
      <c r="A195" s="23"/>
      <c r="B195" s="675"/>
      <c r="C195" s="23"/>
    </row>
    <row r="196" spans="1:6" ht="13.35" customHeight="1">
      <c r="A196" s="23"/>
      <c r="C196" s="23"/>
      <c r="D196" s="1882" t="s">
        <v>578</v>
      </c>
      <c r="E196" s="1882"/>
      <c r="F196" s="1882"/>
    </row>
    <row r="197" spans="1:6" ht="14.25">
      <c r="A197" s="261"/>
      <c r="B197" s="679" t="s">
        <v>316</v>
      </c>
      <c r="D197" s="1858" t="s">
        <v>1286</v>
      </c>
      <c r="E197" s="1858"/>
      <c r="F197" s="1858"/>
    </row>
    <row r="198" spans="1:6" ht="14.25">
      <c r="A198" s="261"/>
      <c r="B198" s="261"/>
      <c r="D198" s="1858"/>
      <c r="E198" s="1858"/>
      <c r="F198" s="1858"/>
    </row>
    <row r="199" spans="1:6"/>
    <row r="200" spans="1:6" ht="14.25">
      <c r="A200" s="261"/>
      <c r="B200" s="679" t="s">
        <v>316</v>
      </c>
      <c r="D200" s="1858" t="s">
        <v>1287</v>
      </c>
      <c r="E200" s="1858"/>
      <c r="F200" s="1858"/>
    </row>
    <row r="201" spans="1:6" ht="14.25">
      <c r="A201" s="261"/>
      <c r="B201" s="261"/>
      <c r="D201" s="1858"/>
      <c r="E201" s="1858"/>
      <c r="F201" s="1858"/>
    </row>
    <row r="202" spans="1:6" ht="14.25">
      <c r="A202" s="261"/>
      <c r="B202" s="261"/>
      <c r="D202" s="1858"/>
      <c r="E202" s="1858"/>
      <c r="F202" s="1858"/>
    </row>
    <row r="203" spans="1:6" ht="5.0999999999999996" customHeight="1">
      <c r="A203" s="261"/>
      <c r="B203" s="261"/>
      <c r="D203" s="151"/>
      <c r="E203" s="135"/>
      <c r="F203" s="135"/>
    </row>
    <row r="204" spans="1:6" ht="14.25">
      <c r="A204" s="261"/>
      <c r="B204" s="261"/>
      <c r="D204" s="1858" t="s">
        <v>1288</v>
      </c>
      <c r="E204" s="1858"/>
      <c r="F204" s="1858"/>
    </row>
    <row r="205" spans="1:6" ht="14.25">
      <c r="A205" s="261"/>
      <c r="B205" s="261"/>
      <c r="D205" s="1858"/>
      <c r="E205" s="1858"/>
      <c r="F205" s="1858"/>
    </row>
    <row r="206" spans="1:6" ht="14.25">
      <c r="A206" s="261"/>
      <c r="B206" s="261"/>
      <c r="D206" s="1858"/>
      <c r="E206" s="1858"/>
      <c r="F206" s="1858"/>
    </row>
    <row r="207" spans="1:6" ht="14.25">
      <c r="A207" s="261"/>
      <c r="B207" s="261"/>
      <c r="D207" s="1858"/>
      <c r="E207" s="1858"/>
      <c r="F207" s="1858"/>
    </row>
    <row r="208" spans="1:6" ht="14.25">
      <c r="A208" s="261"/>
      <c r="B208" s="261"/>
      <c r="D208" s="1858"/>
      <c r="E208" s="1858"/>
      <c r="F208" s="1858"/>
    </row>
    <row r="209" spans="1:7" ht="14.25">
      <c r="A209" s="261"/>
      <c r="B209" s="261"/>
      <c r="D209" s="135"/>
      <c r="E209" s="135"/>
      <c r="F209" s="135"/>
    </row>
    <row r="210" spans="1:7" ht="14.25">
      <c r="A210" s="261"/>
      <c r="B210" s="679" t="s">
        <v>316</v>
      </c>
      <c r="D210" s="1879" t="s">
        <v>1289</v>
      </c>
      <c r="E210" s="1879"/>
      <c r="F210" s="1879"/>
    </row>
    <row r="211" spans="1:7" ht="14.25">
      <c r="A211" s="261"/>
      <c r="B211" s="261"/>
      <c r="D211" s="1879"/>
      <c r="E211" s="1879"/>
      <c r="F211" s="1879"/>
    </row>
    <row r="212" spans="1:7" ht="14.25">
      <c r="A212" s="261"/>
      <c r="B212" s="261"/>
      <c r="D212" s="1880" t="s">
        <v>962</v>
      </c>
      <c r="E212" s="1880"/>
      <c r="F212" s="1880"/>
    </row>
    <row r="213" spans="1:7" ht="14.25">
      <c r="A213" s="261"/>
      <c r="B213" s="261"/>
      <c r="D213" s="135"/>
      <c r="E213" s="135"/>
      <c r="F213" s="135"/>
    </row>
    <row r="214" spans="1:7" ht="14.45" customHeight="1">
      <c r="A214" s="261"/>
      <c r="B214" s="679" t="s">
        <v>316</v>
      </c>
      <c r="D214" s="1879" t="s">
        <v>1291</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9" t="s">
        <v>316</v>
      </c>
      <c r="D220" s="1858" t="s">
        <v>1290</v>
      </c>
      <c r="E220" s="1858"/>
      <c r="F220" s="1858"/>
    </row>
    <row r="221" spans="1:7" ht="14.25">
      <c r="A221" s="261"/>
      <c r="B221" s="261"/>
      <c r="D221" s="1858"/>
      <c r="E221" s="1858"/>
      <c r="F221" s="1858"/>
    </row>
    <row r="222" spans="1:7">
      <c r="D222" s="29"/>
    </row>
    <row r="223" spans="1:7">
      <c r="A223" s="1884" t="s">
        <v>1164</v>
      </c>
      <c r="B223" s="1884"/>
      <c r="C223" s="1884"/>
      <c r="D223" s="1884"/>
      <c r="E223" s="1884"/>
      <c r="F223" s="1884"/>
      <c r="G223" s="1884"/>
    </row>
    <row r="224" spans="1:7">
      <c r="D224" s="29"/>
    </row>
    <row r="225" spans="1:6">
      <c r="C225" s="262"/>
      <c r="D225" s="1882" t="s">
        <v>1293</v>
      </c>
      <c r="E225" s="1882"/>
      <c r="F225" s="1882"/>
    </row>
    <row r="226" spans="1:6">
      <c r="A226" s="255"/>
      <c r="B226" s="673"/>
      <c r="C226" s="255"/>
      <c r="D226" s="135"/>
      <c r="E226" s="135"/>
      <c r="F226" s="135"/>
    </row>
    <row r="227" spans="1:6">
      <c r="A227" s="260"/>
      <c r="B227" s="260"/>
      <c r="C227" s="260"/>
      <c r="D227" s="1882" t="s">
        <v>275</v>
      </c>
      <c r="E227" s="1882"/>
      <c r="F227" s="1882"/>
    </row>
    <row r="228" spans="1:6" ht="14.25">
      <c r="A228" s="261"/>
      <c r="B228" s="679" t="s">
        <v>316</v>
      </c>
      <c r="D228" s="1932" t="s">
        <v>1294</v>
      </c>
      <c r="E228" s="1932"/>
      <c r="F228" s="1932"/>
    </row>
    <row r="229" spans="1:6" ht="14.25">
      <c r="A229" s="261"/>
      <c r="B229" s="261"/>
      <c r="D229" s="1932"/>
      <c r="E229" s="1932"/>
      <c r="F229" s="1932"/>
    </row>
    <row r="230" spans="1:6">
      <c r="D230" s="135"/>
      <c r="E230" s="135"/>
      <c r="F230" s="135"/>
    </row>
    <row r="231" spans="1:6" ht="14.45" customHeight="1">
      <c r="A231" s="261"/>
      <c r="B231" s="679" t="s">
        <v>316</v>
      </c>
      <c r="D231" s="1879" t="s">
        <v>1295</v>
      </c>
      <c r="E231" s="1879"/>
      <c r="F231" s="1879"/>
    </row>
    <row r="232" spans="1:6">
      <c r="D232" s="1879"/>
      <c r="E232" s="1879"/>
      <c r="F232" s="1879"/>
    </row>
    <row r="233" spans="1:6">
      <c r="D233" s="1891" t="s">
        <v>953</v>
      </c>
      <c r="E233" s="1891"/>
      <c r="F233" s="1891"/>
    </row>
    <row r="234" spans="1:6">
      <c r="D234" s="135"/>
      <c r="E234" s="135"/>
      <c r="F234" s="135"/>
    </row>
    <row r="235" spans="1:6" ht="14.45" customHeight="1">
      <c r="A235" s="261"/>
      <c r="B235" s="679" t="s">
        <v>316</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9" t="s">
        <v>316</v>
      </c>
      <c r="D241" s="1858" t="s">
        <v>1296</v>
      </c>
      <c r="E241" s="1858"/>
      <c r="F241" s="1858"/>
    </row>
    <row r="242" spans="1:7">
      <c r="D242" s="1858"/>
      <c r="E242" s="1858"/>
      <c r="F242" s="1858"/>
    </row>
    <row r="243" spans="1:7">
      <c r="D243" s="1858"/>
      <c r="E243" s="1858"/>
      <c r="F243" s="1858"/>
    </row>
    <row r="244" spans="1:7">
      <c r="D244" s="263"/>
      <c r="E244" s="135"/>
      <c r="F244" s="135"/>
    </row>
    <row r="245" spans="1:7">
      <c r="A245" s="1884" t="s">
        <v>1165</v>
      </c>
      <c r="B245" s="1884"/>
      <c r="C245" s="1884"/>
      <c r="D245" s="1884"/>
      <c r="E245" s="1884"/>
      <c r="F245" s="1884"/>
      <c r="G245" s="1884"/>
    </row>
    <row r="246" spans="1:7">
      <c r="D246" s="263"/>
      <c r="E246" s="135"/>
      <c r="F246" s="135"/>
    </row>
    <row r="247" spans="1:7">
      <c r="C247" s="255"/>
      <c r="D247" s="1900" t="s">
        <v>1298</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1299</v>
      </c>
      <c r="E251" s="1888"/>
      <c r="F251" s="1888"/>
    </row>
    <row r="252" spans="1:7">
      <c r="E252" s="135"/>
      <c r="F252" s="135"/>
    </row>
    <row r="253" spans="1:7" ht="14.25">
      <c r="A253" s="261"/>
      <c r="B253" s="679" t="s">
        <v>316</v>
      </c>
      <c r="D253" s="1858" t="s">
        <v>1300</v>
      </c>
      <c r="E253" s="1858"/>
      <c r="F253" s="1858"/>
    </row>
    <row r="254" spans="1:7" ht="14.25">
      <c r="A254" s="261"/>
      <c r="B254" s="261"/>
      <c r="D254" s="1858"/>
      <c r="E254" s="1858"/>
      <c r="F254" s="1858"/>
    </row>
    <row r="255" spans="1:7">
      <c r="D255" s="135"/>
      <c r="E255" s="135"/>
      <c r="F255" s="135"/>
    </row>
    <row r="256" spans="1:7" ht="14.25">
      <c r="A256" s="261"/>
      <c r="B256" s="679" t="s">
        <v>316</v>
      </c>
      <c r="D256" s="1879" t="s">
        <v>1301</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9" t="s">
        <v>316</v>
      </c>
      <c r="D260" s="1858" t="s">
        <v>1302</v>
      </c>
      <c r="E260" s="1858"/>
      <c r="F260" s="1858"/>
    </row>
    <row r="261" spans="1:7" ht="14.25">
      <c r="A261" s="261"/>
      <c r="B261" s="261"/>
      <c r="D261" s="1858"/>
      <c r="E261" s="1858"/>
      <c r="F261" s="1858"/>
    </row>
    <row r="262" spans="1:7">
      <c r="A262" s="23"/>
      <c r="B262" s="675"/>
      <c r="E262" s="135"/>
      <c r="F262" s="135"/>
    </row>
    <row r="263" spans="1:7">
      <c r="A263" s="1884" t="s">
        <v>1166</v>
      </c>
      <c r="B263" s="1884"/>
      <c r="C263" s="1884"/>
      <c r="D263" s="1884"/>
      <c r="E263" s="1884"/>
      <c r="F263" s="1884"/>
      <c r="G263" s="1884"/>
    </row>
    <row r="264" spans="1:7">
      <c r="A264" s="23"/>
      <c r="B264" s="675"/>
      <c r="D264" s="135"/>
      <c r="E264" s="135"/>
      <c r="F264" s="135"/>
    </row>
    <row r="265" spans="1:7">
      <c r="C265" s="23"/>
      <c r="D265" s="1882" t="s">
        <v>718</v>
      </c>
      <c r="E265" s="1882"/>
      <c r="F265" s="1882"/>
    </row>
    <row r="266" spans="1:7">
      <c r="C266" s="23"/>
      <c r="D266" s="1883" t="s">
        <v>1303</v>
      </c>
      <c r="E266" s="1883"/>
      <c r="F266" s="1883"/>
    </row>
    <row r="267" spans="1:7">
      <c r="C267" s="23"/>
      <c r="D267" s="259"/>
    </row>
    <row r="268" spans="1:7">
      <c r="A268" s="273"/>
      <c r="B268" s="679" t="s">
        <v>316</v>
      </c>
      <c r="D268" s="1883" t="s">
        <v>1304</v>
      </c>
      <c r="E268" s="1883"/>
      <c r="F268" s="1883"/>
    </row>
    <row r="269" spans="1:7" s="39" customFormat="1" ht="14.25">
      <c r="A269" s="403"/>
      <c r="B269" s="403"/>
      <c r="C269" s="273"/>
      <c r="D269" s="497"/>
      <c r="E269" s="498"/>
      <c r="F269" s="498"/>
      <c r="G269" s="130"/>
    </row>
    <row r="270" spans="1:7" s="39" customFormat="1" ht="13.35" customHeight="1">
      <c r="A270" s="273"/>
      <c r="B270" s="679" t="s">
        <v>316</v>
      </c>
      <c r="C270" s="273"/>
      <c r="D270" s="1933" t="s">
        <v>1305</v>
      </c>
      <c r="E270" s="1933"/>
      <c r="F270" s="1933"/>
      <c r="G270" s="130"/>
    </row>
    <row r="271" spans="1:7" s="39" customFormat="1" ht="14.25">
      <c r="A271" s="403"/>
      <c r="B271" s="403"/>
      <c r="C271" s="273"/>
      <c r="D271" s="1933"/>
      <c r="E271" s="1933"/>
      <c r="F271" s="1933"/>
      <c r="G271" s="130"/>
    </row>
    <row r="272" spans="1:7" s="39" customFormat="1" ht="14.25">
      <c r="A272" s="403"/>
      <c r="B272" s="403"/>
      <c r="C272" s="273"/>
      <c r="D272" s="1933"/>
      <c r="E272" s="1933"/>
      <c r="F272" s="1933"/>
      <c r="G272" s="130"/>
    </row>
    <row r="273" spans="1:7" s="39" customFormat="1" ht="14.25">
      <c r="A273" s="403"/>
      <c r="B273" s="403"/>
      <c r="C273" s="273"/>
      <c r="D273" s="1933"/>
      <c r="E273" s="1933"/>
      <c r="F273" s="1933"/>
      <c r="G273" s="130"/>
    </row>
    <row r="274" spans="1:7" s="39" customFormat="1" ht="14.25">
      <c r="A274" s="403"/>
      <c r="B274" s="403"/>
      <c r="C274" s="273"/>
      <c r="D274" s="1933"/>
      <c r="E274" s="1933"/>
      <c r="F274" s="1933"/>
      <c r="G274" s="130"/>
    </row>
    <row r="275" spans="1:7" s="39" customFormat="1" ht="14.25">
      <c r="A275" s="403"/>
      <c r="B275" s="403"/>
      <c r="C275" s="273"/>
      <c r="D275" s="497"/>
      <c r="E275" s="498"/>
      <c r="F275" s="498"/>
      <c r="G275" s="130"/>
    </row>
    <row r="276" spans="1:7" s="39" customFormat="1" ht="13.35" customHeight="1">
      <c r="A276" s="273"/>
      <c r="B276" s="679" t="s">
        <v>316</v>
      </c>
      <c r="C276" s="273"/>
      <c r="D276" s="1933" t="s">
        <v>1306</v>
      </c>
      <c r="E276" s="1933"/>
      <c r="F276" s="1933"/>
      <c r="G276" s="130"/>
    </row>
    <row r="277" spans="1:7" s="39" customFormat="1">
      <c r="A277" s="273"/>
      <c r="B277" s="273"/>
      <c r="C277" s="273"/>
      <c r="D277" s="1933"/>
      <c r="E277" s="1933"/>
      <c r="F277" s="1933"/>
      <c r="G277" s="130"/>
    </row>
    <row r="278" spans="1:7" s="39" customFormat="1" ht="14.25">
      <c r="A278" s="403"/>
      <c r="B278" s="403"/>
      <c r="C278" s="273"/>
      <c r="D278" s="497"/>
      <c r="E278" s="498"/>
      <c r="F278" s="498"/>
      <c r="G278" s="130"/>
    </row>
    <row r="279" spans="1:7">
      <c r="A279" s="273"/>
      <c r="B279" s="679" t="s">
        <v>316</v>
      </c>
      <c r="D279" s="1883" t="s">
        <v>1307</v>
      </c>
      <c r="E279" s="1883"/>
      <c r="F279" s="1883"/>
    </row>
    <row r="280" spans="1:7">
      <c r="E280" s="135"/>
      <c r="F280" s="135"/>
    </row>
    <row r="281" spans="1:7" ht="14.25">
      <c r="A281" s="261"/>
      <c r="B281" s="679" t="s">
        <v>316</v>
      </c>
      <c r="D281" s="1879" t="s">
        <v>1308</v>
      </c>
      <c r="E281" s="1879"/>
      <c r="F281" s="1879"/>
    </row>
    <row r="282" spans="1:7" ht="14.25">
      <c r="A282" s="261"/>
      <c r="B282" s="261"/>
      <c r="D282" s="1879"/>
      <c r="E282" s="1879"/>
      <c r="F282" s="1879"/>
    </row>
    <row r="283" spans="1:7" s="719" customFormat="1" ht="14.25">
      <c r="A283" s="714"/>
      <c r="B283" s="714"/>
      <c r="C283" s="731"/>
      <c r="D283" s="1879"/>
      <c r="E283" s="1879"/>
      <c r="F283" s="1879"/>
      <c r="G283" s="7"/>
    </row>
    <row r="284" spans="1:7" s="719" customFormat="1" ht="14.25">
      <c r="A284" s="714"/>
      <c r="B284" s="714"/>
      <c r="C284" s="731"/>
      <c r="D284" s="1879"/>
      <c r="E284" s="1879"/>
      <c r="F284" s="1879"/>
      <c r="G284" s="7"/>
    </row>
    <row r="285" spans="1:7" s="719" customFormat="1" ht="14.25">
      <c r="A285" s="714"/>
      <c r="B285" s="714"/>
      <c r="C285" s="731"/>
      <c r="D285" s="1879"/>
      <c r="E285" s="1879"/>
      <c r="F285" s="1879"/>
      <c r="G285" s="7"/>
    </row>
    <row r="286" spans="1:7" s="719" customFormat="1" ht="14.25">
      <c r="A286" s="714"/>
      <c r="B286" s="714"/>
      <c r="C286" s="731"/>
      <c r="D286" s="1879"/>
      <c r="E286" s="1879"/>
      <c r="F286" s="1879"/>
      <c r="G286" s="7"/>
    </row>
    <row r="287" spans="1:7" s="719" customFormat="1" ht="14.25">
      <c r="A287" s="714"/>
      <c r="B287" s="714"/>
      <c r="C287" s="731"/>
      <c r="D287" s="1879"/>
      <c r="E287" s="1879"/>
      <c r="F287" s="1879"/>
      <c r="G287" s="7"/>
    </row>
    <row r="288" spans="1:7" s="719" customFormat="1" ht="14.25">
      <c r="A288" s="714"/>
      <c r="B288" s="714"/>
      <c r="C288" s="731"/>
      <c r="D288" s="1879"/>
      <c r="E288" s="1879"/>
      <c r="F288" s="1879"/>
      <c r="G288" s="7"/>
    </row>
    <row r="289" spans="1:7" s="719" customFormat="1" ht="14.25">
      <c r="A289" s="714"/>
      <c r="B289" s="714"/>
      <c r="C289" s="731"/>
      <c r="D289" s="1879"/>
      <c r="E289" s="1879"/>
      <c r="F289" s="1879"/>
      <c r="G289" s="7"/>
    </row>
    <row r="290" spans="1:7" s="719" customFormat="1" ht="14.25">
      <c r="A290" s="714"/>
      <c r="B290" s="714"/>
      <c r="C290" s="731"/>
      <c r="D290" s="1879"/>
      <c r="E290" s="1879"/>
      <c r="F290" s="1879"/>
      <c r="G290" s="7"/>
    </row>
    <row r="291" spans="1:7" s="719" customFormat="1" ht="14.25">
      <c r="A291" s="714"/>
      <c r="B291" s="714"/>
      <c r="C291" s="731"/>
      <c r="D291" s="1879"/>
      <c r="E291" s="1879"/>
      <c r="F291" s="1879"/>
      <c r="G291" s="7"/>
    </row>
    <row r="292" spans="1:7" s="719" customFormat="1" ht="14.25">
      <c r="A292" s="714"/>
      <c r="B292" s="714"/>
      <c r="C292" s="731"/>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9" t="s">
        <v>316</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9" t="s">
        <v>316</v>
      </c>
      <c r="D307" s="1858" t="s">
        <v>1310</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5" thickBot="1">
      <c r="D314" s="1929" t="s">
        <v>1059</v>
      </c>
      <c r="E314" s="1929"/>
      <c r="F314" s="1929"/>
      <c r="G314" s="12"/>
    </row>
    <row r="315" spans="1:7" s="719" customFormat="1" ht="13.5" thickTop="1">
      <c r="A315" s="731"/>
      <c r="B315" s="731"/>
      <c r="C315" s="731"/>
      <c r="D315" s="1930" t="s">
        <v>1311</v>
      </c>
      <c r="E315" s="1930"/>
      <c r="F315" s="1930"/>
    </row>
    <row r="316" spans="1:7">
      <c r="A316" s="325"/>
      <c r="B316" s="325"/>
      <c r="C316" s="325"/>
      <c r="D316" s="467"/>
      <c r="E316" s="467"/>
      <c r="F316" s="135"/>
      <c r="G316" s="12"/>
    </row>
    <row r="317" spans="1:7" ht="14.25">
      <c r="A317" s="261"/>
      <c r="B317" s="679" t="s">
        <v>316</v>
      </c>
      <c r="C317" s="325"/>
      <c r="D317" s="1931" t="s">
        <v>1312</v>
      </c>
      <c r="E317" s="1931"/>
      <c r="F317" s="1931"/>
      <c r="G317" s="12"/>
    </row>
    <row r="318" spans="1:7">
      <c r="A318" s="325"/>
      <c r="B318" s="325"/>
      <c r="C318" s="325"/>
      <c r="D318" s="467"/>
      <c r="E318" s="467"/>
      <c r="F318" s="135"/>
      <c r="G318" s="12"/>
    </row>
    <row r="319" spans="1:7">
      <c r="A319" s="325"/>
      <c r="B319" s="679" t="s">
        <v>316</v>
      </c>
      <c r="C319" s="325"/>
      <c r="D319" s="1915" t="s">
        <v>1313</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25">
      <c r="A331" s="261"/>
      <c r="B331" s="679" t="s">
        <v>316</v>
      </c>
      <c r="C331" s="325"/>
      <c r="D331" s="1934" t="s">
        <v>1314</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1315</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35" customHeight="1">
      <c r="A345" s="325"/>
      <c r="B345" s="325"/>
      <c r="C345" s="325"/>
      <c r="D345" s="1927" t="s">
        <v>1316</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1317</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25">
      <c r="A367" s="261"/>
      <c r="B367" s="679" t="s">
        <v>316</v>
      </c>
      <c r="C367" s="325"/>
      <c r="D367" s="1915" t="s">
        <v>1318</v>
      </c>
      <c r="E367" s="1915"/>
      <c r="F367" s="1915"/>
      <c r="G367" s="12"/>
    </row>
    <row r="368" spans="1:7" ht="14.25">
      <c r="A368" s="506"/>
      <c r="B368" s="506"/>
      <c r="C368" s="325"/>
      <c r="D368" s="1915"/>
      <c r="E368" s="1915"/>
      <c r="F368" s="1915"/>
      <c r="G368" s="12"/>
    </row>
    <row r="369" spans="1:7" ht="14.25">
      <c r="A369" s="506"/>
      <c r="B369" s="506"/>
      <c r="C369" s="325"/>
      <c r="D369" s="1915"/>
      <c r="E369" s="1915"/>
      <c r="F369" s="1915"/>
      <c r="G369" s="12"/>
    </row>
    <row r="370" spans="1:7" ht="14.25">
      <c r="A370" s="506"/>
      <c r="B370" s="506"/>
      <c r="C370" s="325"/>
      <c r="D370" s="1915"/>
      <c r="E370" s="1915"/>
      <c r="F370" s="1915"/>
      <c r="G370" s="12"/>
    </row>
    <row r="371" spans="1:7" ht="14.25">
      <c r="A371" s="506"/>
      <c r="B371" s="506"/>
      <c r="C371" s="325"/>
      <c r="D371" s="1915"/>
      <c r="E371" s="1915"/>
      <c r="F371" s="1915"/>
      <c r="G371" s="12"/>
    </row>
    <row r="372" spans="1:7">
      <c r="D372" s="135"/>
      <c r="E372" s="135"/>
      <c r="F372" s="135"/>
      <c r="G372" s="12"/>
    </row>
    <row r="373" spans="1:7" ht="14.25">
      <c r="A373" s="261"/>
      <c r="B373" s="679" t="s">
        <v>316</v>
      </c>
      <c r="C373" s="266"/>
      <c r="D373" s="1858" t="s">
        <v>1319</v>
      </c>
      <c r="E373" s="1858"/>
      <c r="F373" s="1858"/>
      <c r="G373" s="12"/>
    </row>
    <row r="374" spans="1:7" ht="14.25">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00000000000003" customHeight="1">
      <c r="A403" s="132"/>
      <c r="B403" s="676"/>
      <c r="C403" s="132"/>
      <c r="D403" s="1858"/>
      <c r="E403" s="1858"/>
      <c r="F403" s="1858"/>
      <c r="G403" s="30"/>
    </row>
    <row r="404" spans="1:7" s="32" customFormat="1">
      <c r="A404" s="132"/>
      <c r="B404" s="676"/>
      <c r="C404" s="132"/>
      <c r="D404" s="135"/>
      <c r="E404" s="135"/>
      <c r="F404" s="135"/>
      <c r="G404" s="30"/>
    </row>
    <row r="405" spans="1:7" ht="14.25">
      <c r="A405" s="261"/>
      <c r="B405" s="679" t="s">
        <v>316</v>
      </c>
      <c r="C405" s="266"/>
      <c r="D405" s="1883" t="s">
        <v>1320</v>
      </c>
      <c r="E405" s="1883"/>
      <c r="F405" s="1883"/>
    </row>
    <row r="406" spans="1:7">
      <c r="D406" s="1928" t="s">
        <v>1084</v>
      </c>
      <c r="E406" s="1928"/>
      <c r="F406" s="1928"/>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9" t="s">
        <v>316</v>
      </c>
      <c r="C412" s="266"/>
      <c r="D412" s="1858" t="s">
        <v>1322</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25">
      <c r="B416" s="679" t="s">
        <v>316</v>
      </c>
      <c r="C416" s="261"/>
      <c r="D416" s="1879" t="s">
        <v>1323</v>
      </c>
      <c r="E416" s="1879"/>
      <c r="F416" s="1879"/>
      <c r="G416" s="12"/>
    </row>
    <row r="417" spans="1:7">
      <c r="D417" s="1879"/>
      <c r="E417" s="1879"/>
      <c r="F417" s="1879"/>
      <c r="G417" s="12"/>
    </row>
    <row r="418" spans="1:7">
      <c r="D418" s="135"/>
      <c r="E418" s="135"/>
      <c r="F418" s="135"/>
      <c r="G418" s="12"/>
    </row>
    <row r="419" spans="1:7" ht="14.25">
      <c r="B419" s="679" t="s">
        <v>316</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90" t="s">
        <v>1326</v>
      </c>
      <c r="E440" s="1890"/>
      <c r="F440" s="1890"/>
    </row>
    <row r="441" spans="1:7">
      <c r="A441" s="135"/>
      <c r="B441" s="135"/>
    </row>
    <row r="442" spans="1:7">
      <c r="A442" s="1884" t="s">
        <v>1167</v>
      </c>
      <c r="B442" s="1884"/>
      <c r="C442" s="1884"/>
      <c r="D442" s="1884"/>
      <c r="E442" s="1884"/>
      <c r="F442" s="1884"/>
      <c r="G442" s="1884"/>
    </row>
    <row r="443" spans="1:7">
      <c r="A443" s="135"/>
      <c r="B443" s="135"/>
    </row>
    <row r="444" spans="1:7">
      <c r="D444" s="1935" t="s">
        <v>947</v>
      </c>
      <c r="E444" s="1935"/>
      <c r="F444" s="1935"/>
    </row>
    <row r="445" spans="1:7" s="39" customFormat="1" ht="14.25">
      <c r="A445" s="403"/>
      <c r="B445" s="403"/>
      <c r="C445" s="273"/>
      <c r="D445" s="1936" t="s">
        <v>1327</v>
      </c>
      <c r="E445" s="1936"/>
      <c r="F445" s="1936"/>
      <c r="G445" s="130"/>
    </row>
    <row r="446" spans="1:7" s="39" customFormat="1" ht="14.25">
      <c r="A446" s="403"/>
      <c r="B446" s="403"/>
      <c r="C446" s="273"/>
      <c r="D446" s="732"/>
      <c r="E446" s="6"/>
      <c r="F446" s="6"/>
      <c r="G446" s="130"/>
    </row>
    <row r="447" spans="1:7" s="39" customFormat="1" ht="14.25">
      <c r="A447" s="261"/>
      <c r="B447" s="679" t="s">
        <v>316</v>
      </c>
      <c r="C447" s="273"/>
      <c r="D447" s="1937" t="s">
        <v>1328</v>
      </c>
      <c r="E447" s="1937"/>
      <c r="F447" s="1937"/>
      <c r="G447" s="130"/>
    </row>
    <row r="448" spans="1:7" s="39" customFormat="1" ht="14.25">
      <c r="A448" s="261"/>
      <c r="B448" s="261"/>
      <c r="C448" s="273"/>
      <c r="D448" s="1937"/>
      <c r="E448" s="1937"/>
      <c r="F448" s="1937"/>
      <c r="G448" s="130"/>
    </row>
    <row r="449" spans="1:7" s="39" customFormat="1" ht="14.25">
      <c r="A449" s="261"/>
      <c r="B449" s="261"/>
      <c r="C449" s="273"/>
      <c r="D449" s="730"/>
      <c r="E449" s="6"/>
      <c r="F449" s="6"/>
      <c r="G449" s="130"/>
    </row>
    <row r="450" spans="1:7">
      <c r="B450" s="679" t="s">
        <v>316</v>
      </c>
      <c r="D450" s="1907" t="s">
        <v>1329</v>
      </c>
      <c r="E450" s="1907"/>
      <c r="F450" s="1907"/>
    </row>
    <row r="451" spans="1:7" ht="14.25">
      <c r="A451" s="261"/>
      <c r="D451" s="1907"/>
      <c r="E451" s="1907"/>
      <c r="F451" s="1907"/>
    </row>
    <row r="452" spans="1:7" ht="14.25">
      <c r="A452" s="261"/>
      <c r="B452" s="261"/>
      <c r="D452" s="1907"/>
      <c r="E452" s="1907"/>
      <c r="F452" s="1907"/>
    </row>
    <row r="453" spans="1:7" ht="14.25">
      <c r="A453" s="261"/>
      <c r="B453" s="261"/>
      <c r="D453" s="1907"/>
      <c r="E453" s="1907"/>
      <c r="F453" s="1907"/>
    </row>
    <row r="454" spans="1:7">
      <c r="D454" s="678"/>
      <c r="E454" s="678"/>
      <c r="F454" s="678"/>
      <c r="G454" s="12"/>
    </row>
    <row r="455" spans="1:7" ht="14.25">
      <c r="A455" s="261"/>
      <c r="B455" s="679" t="s">
        <v>316</v>
      </c>
      <c r="D455" s="1860" t="s">
        <v>1330</v>
      </c>
      <c r="E455" s="1860"/>
      <c r="F455" s="1860"/>
      <c r="G455" s="12"/>
    </row>
    <row r="456" spans="1:7" ht="14.25">
      <c r="A456" s="261"/>
      <c r="B456" s="261"/>
      <c r="D456" s="1860"/>
      <c r="E456" s="1860"/>
      <c r="F456" s="1860"/>
      <c r="G456" s="12"/>
    </row>
    <row r="457" spans="1:7" ht="14.25">
      <c r="A457" s="261"/>
      <c r="D457" s="1860"/>
      <c r="E457" s="1860"/>
      <c r="F457" s="1860"/>
      <c r="G457" s="12"/>
    </row>
    <row r="458" spans="1:7" ht="14.25">
      <c r="A458" s="261"/>
      <c r="B458" s="261"/>
      <c r="D458" s="678"/>
      <c r="E458" s="678"/>
      <c r="F458" s="678"/>
      <c r="G458" s="12"/>
    </row>
    <row r="459" spans="1:7" ht="14.25">
      <c r="A459" s="261"/>
      <c r="B459" s="718" t="s">
        <v>316</v>
      </c>
      <c r="D459" s="1883" t="s">
        <v>1331</v>
      </c>
      <c r="E459" s="1883"/>
      <c r="F459" s="1883"/>
      <c r="G459" s="12"/>
    </row>
    <row r="460" spans="1:7" ht="14.25">
      <c r="A460" s="261"/>
      <c r="B460" s="261"/>
      <c r="D460" s="730"/>
      <c r="E460" s="6"/>
      <c r="F460" s="6"/>
      <c r="G460" s="12"/>
    </row>
    <row r="461" spans="1:7" ht="14.25">
      <c r="A461" s="261"/>
      <c r="B461" s="679" t="s">
        <v>316</v>
      </c>
      <c r="D461" s="1858" t="s">
        <v>1332</v>
      </c>
      <c r="E461" s="1858"/>
      <c r="F461" s="1858"/>
      <c r="G461" s="12"/>
    </row>
    <row r="462" spans="1:7" ht="14.25">
      <c r="A462" s="261"/>
      <c r="D462" s="1858"/>
      <c r="E462" s="1858"/>
      <c r="F462" s="1858"/>
      <c r="G462" s="12"/>
    </row>
    <row r="463" spans="1:7">
      <c r="A463" s="23"/>
      <c r="B463" s="675"/>
      <c r="D463" s="733"/>
      <c r="E463" s="6"/>
      <c r="F463" s="6"/>
      <c r="G463" s="12"/>
    </row>
    <row r="464" spans="1:7">
      <c r="A464" s="23"/>
      <c r="B464" s="718" t="s">
        <v>316</v>
      </c>
      <c r="D464" s="1883" t="s">
        <v>1333</v>
      </c>
      <c r="E464" s="1883"/>
      <c r="F464" s="1883"/>
      <c r="G464" s="12"/>
    </row>
    <row r="465" spans="1:7" ht="14.25">
      <c r="A465" s="261"/>
      <c r="B465" s="261"/>
      <c r="D465" s="135"/>
    </row>
    <row r="466" spans="1:7">
      <c r="A466" s="1884" t="s">
        <v>1168</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850</v>
      </c>
      <c r="E468" s="1938"/>
      <c r="F468" s="1938"/>
      <c r="G468" s="182"/>
    </row>
    <row r="469" spans="1:7" customFormat="1" ht="13.35" customHeight="1">
      <c r="A469" s="260"/>
      <c r="B469" s="260"/>
      <c r="C469" s="313"/>
      <c r="D469" s="1939" t="s">
        <v>1211</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45" customHeight="1">
      <c r="A475" s="261"/>
      <c r="B475" s="679" t="s">
        <v>316</v>
      </c>
      <c r="C475" s="313"/>
      <c r="D475" s="1905" t="s">
        <v>1202</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45" customHeight="1">
      <c r="A481" s="261"/>
      <c r="B481" s="679" t="s">
        <v>316</v>
      </c>
      <c r="C481" s="313"/>
      <c r="D481" s="1905" t="s">
        <v>1205</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5" t="s">
        <v>1203</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45" customHeight="1">
      <c r="A490" s="261"/>
      <c r="B490" s="679" t="s">
        <v>316</v>
      </c>
      <c r="C490" s="313"/>
      <c r="D490" s="1905" t="s">
        <v>1204</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35" customHeight="1">
      <c r="A500" s="487"/>
      <c r="B500" s="679" t="s">
        <v>316</v>
      </c>
      <c r="C500" s="486"/>
      <c r="D500" s="1918" t="s">
        <v>1348</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45" customHeight="1">
      <c r="A506" s="261"/>
      <c r="B506" s="679" t="s">
        <v>316</v>
      </c>
      <c r="C506" s="10"/>
      <c r="D506" s="1905" t="s">
        <v>1206</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2" customHeight="1">
      <c r="A509" s="135"/>
      <c r="B509" s="135"/>
      <c r="C509" s="315"/>
      <c r="D509" s="135"/>
      <c r="E509" s="149"/>
      <c r="F509" s="314"/>
      <c r="G509" s="149"/>
    </row>
    <row r="510" spans="1:7">
      <c r="A510" s="1884" t="s">
        <v>1169</v>
      </c>
      <c r="B510" s="1884"/>
      <c r="C510" s="1884"/>
      <c r="D510" s="1884"/>
      <c r="E510" s="1884"/>
      <c r="F510" s="1884"/>
      <c r="G510" s="1884"/>
    </row>
    <row r="511" spans="1:7">
      <c r="A511" s="135"/>
      <c r="B511" s="135"/>
      <c r="C511" s="266"/>
      <c r="F511" s="134"/>
    </row>
    <row r="512" spans="1:7">
      <c r="B512" s="1880" t="s">
        <v>469</v>
      </c>
      <c r="C512" s="1880"/>
      <c r="D512" s="1880"/>
      <c r="E512" s="1880"/>
      <c r="F512" s="1880"/>
    </row>
    <row r="513" spans="1:7">
      <c r="A513" s="135"/>
      <c r="B513" s="135"/>
      <c r="C513" s="266"/>
      <c r="D513" s="135"/>
      <c r="F513" s="135"/>
    </row>
    <row r="514" spans="1:7">
      <c r="A514" s="1885" t="s">
        <v>1170</v>
      </c>
      <c r="B514" s="1885"/>
      <c r="C514" s="1885"/>
      <c r="D514" s="1885"/>
      <c r="E514" s="1885"/>
      <c r="F514" s="1885"/>
      <c r="G514" s="1885"/>
    </row>
    <row r="515" spans="1:7">
      <c r="A515" s="135"/>
      <c r="B515" s="135"/>
      <c r="C515" s="266"/>
      <c r="D515" s="135"/>
      <c r="F515" s="135"/>
    </row>
    <row r="516" spans="1:7">
      <c r="C516" s="266"/>
      <c r="D516" s="1882" t="s">
        <v>719</v>
      </c>
      <c r="E516" s="1882"/>
      <c r="F516" s="1882"/>
    </row>
    <row r="517" spans="1:7" s="682" customFormat="1">
      <c r="A517" s="699"/>
      <c r="B517" s="699"/>
      <c r="C517" s="266"/>
      <c r="D517" s="1883" t="s">
        <v>1227</v>
      </c>
      <c r="E517" s="1883"/>
      <c r="F517" s="1883"/>
      <c r="G517" s="7"/>
    </row>
    <row r="518" spans="1:7" s="682" customFormat="1">
      <c r="A518" s="699"/>
      <c r="B518" s="699"/>
      <c r="C518" s="266"/>
      <c r="D518" s="704"/>
      <c r="E518" s="704"/>
      <c r="F518" s="704"/>
      <c r="G518" s="7"/>
    </row>
    <row r="519" spans="1:7" ht="13.35" customHeight="1">
      <c r="A519" s="261"/>
      <c r="B519" s="679" t="s">
        <v>316</v>
      </c>
      <c r="C519" s="266"/>
      <c r="D519" s="1883" t="s">
        <v>948</v>
      </c>
      <c r="E519" s="1883"/>
      <c r="F519" s="1883"/>
      <c r="G519" s="12"/>
    </row>
    <row r="520" spans="1:7" ht="13.35" customHeight="1">
      <c r="A520" s="266"/>
      <c r="B520" s="266"/>
      <c r="C520" s="266"/>
      <c r="D520" s="704"/>
      <c r="E520" s="677"/>
      <c r="F520" s="677"/>
      <c r="G520" s="12"/>
    </row>
    <row r="521" spans="1:7" ht="14.25">
      <c r="A521" s="261"/>
      <c r="B521" s="679" t="s">
        <v>316</v>
      </c>
      <c r="C521" s="266"/>
      <c r="D521" s="1858" t="s">
        <v>1228</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25">
      <c r="A524" s="261"/>
      <c r="B524" s="679" t="s">
        <v>316</v>
      </c>
      <c r="C524" s="266"/>
      <c r="D524" s="1858" t="s">
        <v>1229</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25">
      <c r="A527" s="261"/>
      <c r="B527" s="679" t="s">
        <v>316</v>
      </c>
      <c r="C527" s="266"/>
      <c r="D527" s="1858" t="s">
        <v>1230</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25">
      <c r="A530" s="261"/>
      <c r="B530" s="679" t="s">
        <v>316</v>
      </c>
      <c r="C530" s="266"/>
      <c r="D530" s="1858" t="s">
        <v>1231</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25">
      <c r="A534" s="261"/>
      <c r="B534" s="679" t="s">
        <v>316</v>
      </c>
      <c r="C534" s="266"/>
      <c r="D534" s="1881" t="s">
        <v>1349</v>
      </c>
      <c r="E534" s="1881"/>
      <c r="F534" s="1881"/>
    </row>
    <row r="535" spans="1:7">
      <c r="A535" s="266"/>
      <c r="B535" s="266"/>
      <c r="C535" s="266"/>
      <c r="D535" s="1881"/>
      <c r="E535" s="1881"/>
      <c r="F535" s="1881"/>
    </row>
    <row r="536" spans="1:7">
      <c r="A536" s="266"/>
      <c r="B536" s="266"/>
      <c r="C536" s="266"/>
      <c r="D536" s="135"/>
      <c r="E536" s="135"/>
      <c r="F536" s="135"/>
    </row>
    <row r="537" spans="1:7" ht="14.25">
      <c r="A537" s="261"/>
      <c r="B537" s="679" t="s">
        <v>316</v>
      </c>
      <c r="C537" s="266"/>
      <c r="D537" s="1881" t="s">
        <v>1232</v>
      </c>
      <c r="E537" s="1881"/>
      <c r="F537" s="1881"/>
    </row>
    <row r="538" spans="1:7">
      <c r="A538" s="266"/>
      <c r="B538" s="266"/>
      <c r="C538" s="266"/>
      <c r="D538" s="1881"/>
      <c r="E538" s="1881"/>
      <c r="F538" s="1881"/>
    </row>
    <row r="539" spans="1:7">
      <c r="A539" s="266"/>
      <c r="B539" s="266"/>
      <c r="C539" s="266"/>
      <c r="D539" s="135"/>
      <c r="E539" s="135"/>
      <c r="F539" s="135"/>
    </row>
    <row r="540" spans="1:7" ht="14.25">
      <c r="A540" s="261"/>
      <c r="B540" s="679" t="s">
        <v>316</v>
      </c>
      <c r="C540" s="266"/>
      <c r="D540" s="1858" t="s">
        <v>1233</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25">
      <c r="A543" s="261"/>
      <c r="B543" s="679" t="s">
        <v>316</v>
      </c>
      <c r="C543" s="266"/>
      <c r="D543" s="1883" t="s">
        <v>1234</v>
      </c>
      <c r="E543" s="1883"/>
      <c r="F543" s="1883"/>
      <c r="G543" s="57"/>
    </row>
    <row r="544" spans="1:7">
      <c r="A544" s="23"/>
      <c r="B544" s="675"/>
      <c r="C544" s="266"/>
      <c r="D544" s="1883" t="s">
        <v>880</v>
      </c>
      <c r="E544" s="1883"/>
      <c r="F544" s="1883"/>
      <c r="G544" s="57"/>
    </row>
    <row r="545" spans="1:7">
      <c r="A545" s="23"/>
      <c r="B545" s="675"/>
      <c r="C545" s="266"/>
      <c r="D545" s="6"/>
      <c r="E545" s="1888" t="s">
        <v>1235</v>
      </c>
      <c r="F545" s="1888"/>
      <c r="G545" s="57"/>
    </row>
    <row r="546" spans="1:7" ht="14.25">
      <c r="A546" s="261"/>
      <c r="B546" s="261"/>
      <c r="C546" s="266"/>
      <c r="E546" s="135"/>
      <c r="F546" s="135"/>
      <c r="G546" s="57"/>
    </row>
    <row r="547" spans="1:7" ht="14.25">
      <c r="A547" s="261"/>
      <c r="B547" s="679" t="s">
        <v>316</v>
      </c>
      <c r="C547" s="266"/>
      <c r="D547" s="1889" t="s">
        <v>1236</v>
      </c>
      <c r="E547" s="1889"/>
      <c r="F547" s="1889"/>
      <c r="G547" s="57"/>
    </row>
    <row r="548" spans="1:7">
      <c r="C548" s="266"/>
      <c r="D548" s="1858" t="s">
        <v>1237</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25">
      <c r="A552" s="261"/>
      <c r="B552" s="679" t="s">
        <v>316</v>
      </c>
      <c r="C552" s="266"/>
      <c r="D552" s="1858" t="s">
        <v>1238</v>
      </c>
      <c r="E552" s="1858"/>
      <c r="F552" s="1858"/>
      <c r="G552" s="57"/>
    </row>
    <row r="553" spans="1:7" ht="14.25">
      <c r="A553" s="261"/>
      <c r="B553" s="261"/>
      <c r="C553" s="266"/>
      <c r="D553" s="1858"/>
      <c r="E553" s="1858"/>
      <c r="F553" s="1858"/>
      <c r="G553" s="57"/>
    </row>
    <row r="554" spans="1:7" ht="14.25">
      <c r="A554" s="261"/>
      <c r="B554" s="261"/>
      <c r="C554" s="266"/>
      <c r="D554" s="1858"/>
      <c r="E554" s="1858"/>
      <c r="F554" s="1858"/>
      <c r="G554" s="57"/>
    </row>
    <row r="555" spans="1:7" ht="14.25">
      <c r="A555" s="261"/>
      <c r="B555" s="261"/>
      <c r="C555" s="266"/>
      <c r="D555" s="1858"/>
      <c r="E555" s="1858"/>
      <c r="F555" s="1858"/>
      <c r="G555" s="57"/>
    </row>
    <row r="556" spans="1:7" ht="14.25">
      <c r="A556" s="261"/>
      <c r="B556" s="261"/>
      <c r="C556" s="266"/>
      <c r="D556" s="135"/>
      <c r="E556" s="135"/>
      <c r="F556" s="135"/>
      <c r="G556" s="57"/>
    </row>
    <row r="557" spans="1:7">
      <c r="A557" s="1884" t="s">
        <v>1171</v>
      </c>
      <c r="B557" s="1884"/>
      <c r="C557" s="1884"/>
      <c r="D557" s="1884"/>
      <c r="E557" s="1884"/>
      <c r="F557" s="1884"/>
      <c r="G557" s="1884"/>
    </row>
    <row r="558" spans="1:7">
      <c r="A558" s="266"/>
      <c r="B558" s="266"/>
      <c r="C558" s="266"/>
      <c r="E558" s="135"/>
      <c r="F558" s="135"/>
      <c r="G558" s="57"/>
    </row>
    <row r="559" spans="1:7" ht="12.75" customHeight="1">
      <c r="C559" s="255"/>
      <c r="D559" s="1900" t="s">
        <v>216</v>
      </c>
      <c r="E559" s="1900"/>
      <c r="F559" s="1900"/>
      <c r="G559" s="57"/>
    </row>
    <row r="560" spans="1:7">
      <c r="A560" s="260"/>
      <c r="B560" s="260"/>
      <c r="C560" s="260"/>
      <c r="D560" s="1906" t="s">
        <v>1187</v>
      </c>
      <c r="E560" s="1906"/>
      <c r="F560" s="1906"/>
      <c r="G560" s="57"/>
    </row>
    <row r="561" spans="1:7">
      <c r="A561" s="12"/>
      <c r="B561" s="12"/>
      <c r="C561" s="260"/>
      <c r="D561" s="377"/>
      <c r="G561" s="57"/>
    </row>
    <row r="562" spans="1:7">
      <c r="A562" s="260"/>
      <c r="B562" s="679" t="s">
        <v>316</v>
      </c>
      <c r="D562" s="1906" t="s">
        <v>954</v>
      </c>
      <c r="E562" s="1906"/>
      <c r="F562" s="1906"/>
      <c r="G562" s="57"/>
    </row>
    <row r="563" spans="1:7">
      <c r="A563" s="23"/>
      <c r="B563" s="675"/>
      <c r="D563" s="325"/>
    </row>
    <row r="564" spans="1:7">
      <c r="A564" s="23"/>
      <c r="B564" s="679" t="s">
        <v>316</v>
      </c>
      <c r="D564" s="1907" t="s">
        <v>1188</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316</v>
      </c>
      <c r="C568" s="689"/>
      <c r="D568" s="1907" t="s">
        <v>1189</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316</v>
      </c>
      <c r="D573" s="1907" t="s">
        <v>1190</v>
      </c>
      <c r="E573" s="1907"/>
      <c r="F573" s="1907"/>
    </row>
    <row r="574" spans="1:7">
      <c r="A574" s="23"/>
      <c r="B574" s="675"/>
      <c r="D574" s="1907"/>
      <c r="E574" s="1907"/>
      <c r="F574" s="1907"/>
    </row>
    <row r="575" spans="1:7">
      <c r="A575" s="23"/>
      <c r="B575" s="675"/>
      <c r="D575" s="377"/>
    </row>
    <row r="576" spans="1:7" s="682" customFormat="1">
      <c r="A576" s="688"/>
      <c r="B576" s="679" t="s">
        <v>316</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316</v>
      </c>
      <c r="D579" s="1906" t="s">
        <v>949</v>
      </c>
      <c r="E579" s="1906"/>
      <c r="F579" s="1906"/>
    </row>
    <row r="580" spans="1:7" ht="14.25">
      <c r="A580" s="261"/>
      <c r="B580" s="261"/>
      <c r="D580" s="377"/>
    </row>
    <row r="581" spans="1:7" ht="14.25">
      <c r="A581" s="261"/>
      <c r="B581" s="679" t="s">
        <v>316</v>
      </c>
      <c r="D581" s="1906" t="s">
        <v>1192</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1172</v>
      </c>
      <c r="B588" s="1884"/>
      <c r="C588" s="1884"/>
      <c r="D588" s="1884"/>
      <c r="E588" s="1884"/>
      <c r="F588" s="1884"/>
      <c r="G588" s="1884"/>
    </row>
    <row r="589" spans="1:7"/>
    <row r="590" spans="1:7">
      <c r="D590" s="1874" t="s">
        <v>1272</v>
      </c>
      <c r="E590" s="1874"/>
      <c r="F590" s="1874"/>
    </row>
    <row r="591" spans="1:7">
      <c r="D591" s="1875" t="s">
        <v>1273</v>
      </c>
      <c r="E591" s="1875"/>
      <c r="F591" s="1875"/>
    </row>
    <row r="592" spans="1:7" s="719" customFormat="1">
      <c r="A592" s="705"/>
      <c r="B592" s="705"/>
      <c r="C592" s="705"/>
      <c r="D592" s="723"/>
      <c r="E592" s="722"/>
      <c r="F592" s="722"/>
      <c r="G592" s="7"/>
    </row>
    <row r="593" spans="1:7" s="39" customFormat="1" ht="14.25">
      <c r="A593" s="403"/>
      <c r="B593" s="679" t="s">
        <v>316</v>
      </c>
      <c r="C593" s="273"/>
      <c r="D593" s="1876" t="s">
        <v>1274</v>
      </c>
      <c r="E593" s="1876"/>
      <c r="F593" s="1876"/>
      <c r="G593" s="130"/>
    </row>
    <row r="594" spans="1:7">
      <c r="D594" s="1876"/>
      <c r="E594" s="1876"/>
      <c r="F594" s="1876"/>
    </row>
    <row r="595" spans="1:7">
      <c r="D595" s="1876"/>
      <c r="E595" s="1876"/>
      <c r="F595" s="1876"/>
    </row>
    <row r="596" spans="1:7"/>
    <row r="597" spans="1:7">
      <c r="A597" s="1884" t="s">
        <v>1173</v>
      </c>
      <c r="B597" s="1884"/>
      <c r="C597" s="1884"/>
      <c r="D597" s="1884"/>
      <c r="E597" s="1884"/>
      <c r="F597" s="1884"/>
      <c r="G597" s="1884"/>
    </row>
    <row r="598" spans="1:7">
      <c r="A598" s="135"/>
      <c r="B598" s="135"/>
      <c r="G598" s="57"/>
    </row>
    <row r="599" spans="1:7">
      <c r="A599" s="257"/>
      <c r="B599" s="674"/>
      <c r="C599" s="255"/>
      <c r="D599" s="1877" t="s">
        <v>1275</v>
      </c>
      <c r="E599" s="1877"/>
      <c r="F599" s="1877"/>
      <c r="G599" s="57"/>
    </row>
    <row r="600" spans="1:7">
      <c r="A600" s="257"/>
      <c r="B600" s="674"/>
      <c r="C600" s="255"/>
      <c r="D600" s="1877"/>
      <c r="E600" s="1877"/>
      <c r="F600" s="1877"/>
      <c r="G600" s="57"/>
    </row>
    <row r="601" spans="1:7">
      <c r="C601" s="260"/>
      <c r="D601" s="1875" t="s">
        <v>1276</v>
      </c>
      <c r="E601" s="1875"/>
      <c r="F601" s="1875"/>
      <c r="G601" s="57"/>
    </row>
    <row r="602" spans="1:7" s="719" customFormat="1">
      <c r="A602" s="705"/>
      <c r="B602" s="705"/>
      <c r="C602" s="720"/>
      <c r="D602" s="724"/>
      <c r="E602" s="724"/>
      <c r="F602" s="724"/>
      <c r="G602" s="57"/>
    </row>
    <row r="603" spans="1:7">
      <c r="A603" s="23"/>
      <c r="B603" s="679" t="s">
        <v>316</v>
      </c>
      <c r="D603" s="1875" t="s">
        <v>452</v>
      </c>
      <c r="E603" s="1875"/>
      <c r="F603" s="1875"/>
      <c r="G603" s="57"/>
    </row>
    <row r="604" spans="1:7">
      <c r="C604" s="268"/>
      <c r="E604" s="12"/>
      <c r="G604" s="57"/>
    </row>
    <row r="605" spans="1:7">
      <c r="A605" s="23"/>
      <c r="B605" s="679" t="s">
        <v>316</v>
      </c>
      <c r="D605" s="1878" t="s">
        <v>1277</v>
      </c>
      <c r="E605" s="1878"/>
      <c r="F605" s="1878"/>
      <c r="G605" s="57"/>
    </row>
    <row r="606" spans="1:7">
      <c r="D606" s="1878"/>
      <c r="E606" s="1878"/>
      <c r="F606" s="1878"/>
      <c r="G606" s="57"/>
    </row>
    <row r="607" spans="1:7">
      <c r="D607" s="12"/>
      <c r="G607" s="57"/>
    </row>
    <row r="608" spans="1:7">
      <c r="B608" s="679" t="s">
        <v>316</v>
      </c>
      <c r="D608" s="1878" t="s">
        <v>1278</v>
      </c>
      <c r="E608" s="1878"/>
      <c r="F608" s="1878"/>
      <c r="G608" s="57"/>
    </row>
    <row r="609" spans="1:7">
      <c r="C609" s="268"/>
      <c r="D609" s="1878"/>
      <c r="E609" s="1878"/>
      <c r="F609" s="1878"/>
      <c r="G609" s="57"/>
    </row>
    <row r="610" spans="1:7">
      <c r="C610" s="268"/>
      <c r="G610" s="57"/>
    </row>
    <row r="611" spans="1:7">
      <c r="B611" s="679" t="s">
        <v>316</v>
      </c>
      <c r="C611" s="268"/>
      <c r="D611" s="1878" t="s">
        <v>1279</v>
      </c>
      <c r="E611" s="1878"/>
      <c r="F611" s="1878"/>
      <c r="G611" s="57"/>
    </row>
    <row r="612" spans="1:7">
      <c r="C612" s="268"/>
      <c r="D612" s="1878"/>
      <c r="E612" s="1878"/>
      <c r="F612" s="1878"/>
      <c r="G612" s="57"/>
    </row>
    <row r="613" spans="1:7">
      <c r="C613" s="268"/>
      <c r="G613" s="57"/>
    </row>
    <row r="614" spans="1:7">
      <c r="A614" s="1884" t="s">
        <v>1174</v>
      </c>
      <c r="B614" s="1884"/>
      <c r="C614" s="1884"/>
      <c r="D614" s="1884"/>
      <c r="E614" s="1884"/>
      <c r="F614" s="1884"/>
      <c r="G614" s="1884"/>
    </row>
    <row r="615" spans="1:7">
      <c r="A615" s="267"/>
      <c r="B615" s="267"/>
      <c r="C615" s="267"/>
      <c r="G615" s="57"/>
    </row>
    <row r="616" spans="1:7">
      <c r="C616" s="23"/>
      <c r="D616" s="1874" t="s">
        <v>1280</v>
      </c>
      <c r="E616" s="1874"/>
      <c r="F616" s="1874"/>
      <c r="G616" s="57"/>
    </row>
    <row r="617" spans="1:7">
      <c r="A617" s="23"/>
      <c r="B617" s="675"/>
      <c r="C617" s="265"/>
      <c r="D617" s="50"/>
      <c r="G617" s="57"/>
    </row>
    <row r="618" spans="1:7" ht="14.25">
      <c r="A618" s="261"/>
      <c r="B618" s="679" t="s">
        <v>316</v>
      </c>
      <c r="C618" s="265"/>
      <c r="D618" s="1919" t="s">
        <v>1281</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25">
      <c r="A625" s="261"/>
      <c r="B625" s="679" t="s">
        <v>316</v>
      </c>
      <c r="C625" s="265"/>
      <c r="D625" s="1919" t="s">
        <v>1282</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25">
      <c r="A628" s="261"/>
      <c r="B628" s="679" t="s">
        <v>316</v>
      </c>
      <c r="C628" s="266"/>
      <c r="D628" s="1876" t="s">
        <v>1283</v>
      </c>
      <c r="E628" s="1876"/>
      <c r="F628" s="1876"/>
      <c r="G628" s="57"/>
    </row>
    <row r="629" spans="1:7" ht="14.25">
      <c r="A629" s="261"/>
      <c r="B629" s="261"/>
      <c r="C629" s="266"/>
      <c r="D629" s="1876"/>
      <c r="E629" s="1876"/>
      <c r="F629" s="1876"/>
      <c r="G629" s="57"/>
    </row>
    <row r="630" spans="1:7" ht="14.25">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316</v>
      </c>
      <c r="C633" s="266"/>
      <c r="D633" s="1924" t="s">
        <v>1284</v>
      </c>
      <c r="E633" s="1924"/>
      <c r="F633" s="1924"/>
      <c r="G633" s="57"/>
    </row>
    <row r="634" spans="1:7">
      <c r="A634" s="266"/>
      <c r="B634" s="266"/>
      <c r="C634" s="266"/>
      <c r="D634" s="727"/>
      <c r="E634" s="727"/>
      <c r="F634" s="727"/>
      <c r="G634" s="57"/>
    </row>
    <row r="635" spans="1:7">
      <c r="A635" s="1884" t="s">
        <v>1175</v>
      </c>
      <c r="B635" s="1884"/>
      <c r="C635" s="1884"/>
      <c r="D635" s="1884"/>
      <c r="E635" s="1884"/>
      <c r="F635" s="1884"/>
      <c r="G635" s="1884"/>
    </row>
    <row r="636" spans="1:7">
      <c r="A636" s="135"/>
      <c r="B636" s="135"/>
      <c r="C636" s="266"/>
      <c r="D636" s="147"/>
      <c r="E636" s="147"/>
      <c r="F636" s="147"/>
      <c r="G636" s="57"/>
    </row>
    <row r="637" spans="1:7">
      <c r="C637" s="267"/>
      <c r="D637" s="1925" t="s">
        <v>1334</v>
      </c>
      <c r="E637" s="1925"/>
      <c r="F637" s="1925"/>
      <c r="G637" s="57"/>
    </row>
    <row r="638" spans="1:7">
      <c r="A638" s="260"/>
      <c r="B638" s="260"/>
      <c r="C638" s="260"/>
      <c r="D638" s="1926" t="s">
        <v>1335</v>
      </c>
      <c r="E638" s="1926"/>
      <c r="F638" s="1926"/>
      <c r="G638" s="57"/>
    </row>
    <row r="639" spans="1:7" s="719" customFormat="1">
      <c r="A639" s="720"/>
      <c r="B639" s="720"/>
      <c r="C639" s="720"/>
      <c r="D639" s="734"/>
      <c r="E639" s="734"/>
      <c r="F639" s="734"/>
      <c r="G639" s="57"/>
    </row>
    <row r="640" spans="1:7" ht="14.45" customHeight="1">
      <c r="A640" s="261"/>
      <c r="B640" s="679" t="s">
        <v>316</v>
      </c>
      <c r="C640" s="266"/>
      <c r="D640" s="1872" t="s">
        <v>1336</v>
      </c>
      <c r="E640" s="1872"/>
      <c r="F640" s="1872"/>
      <c r="G640" s="57"/>
    </row>
    <row r="641" spans="1:11" ht="14.25">
      <c r="A641" s="261"/>
      <c r="B641" s="261"/>
      <c r="C641" s="266"/>
      <c r="D641" s="1872"/>
      <c r="E641" s="1872"/>
      <c r="F641" s="1872"/>
      <c r="G641" s="57"/>
    </row>
    <row r="642" spans="1:11" ht="14.25">
      <c r="A642" s="261"/>
      <c r="B642" s="261"/>
      <c r="C642" s="266"/>
      <c r="D642" s="1872"/>
      <c r="E642" s="1872"/>
      <c r="F642" s="1872"/>
      <c r="G642" s="57"/>
    </row>
    <row r="643" spans="1:11" ht="14.25">
      <c r="A643" s="261"/>
      <c r="B643" s="261"/>
      <c r="C643" s="266"/>
      <c r="D643" s="1872"/>
      <c r="E643" s="1872"/>
      <c r="F643" s="1872"/>
      <c r="G643" s="57"/>
    </row>
    <row r="644" spans="1:11" s="682" customFormat="1" ht="14.25">
      <c r="A644" s="261"/>
      <c r="B644" s="261"/>
      <c r="C644" s="266"/>
      <c r="D644" s="1872"/>
      <c r="E644" s="1872"/>
      <c r="F644" s="1872"/>
      <c r="G644" s="57"/>
    </row>
    <row r="645" spans="1:11" s="719" customFormat="1" ht="14.25">
      <c r="A645" s="714"/>
      <c r="B645" s="714"/>
      <c r="C645" s="266"/>
      <c r="D645" s="736"/>
      <c r="E645" s="736"/>
      <c r="F645" s="736"/>
      <c r="G645" s="57"/>
    </row>
    <row r="646" spans="1:11" s="682" customFormat="1" ht="14.25">
      <c r="A646" s="261"/>
      <c r="B646" s="679" t="s">
        <v>316</v>
      </c>
      <c r="C646" s="266"/>
      <c r="D646" s="1902" t="s">
        <v>1186</v>
      </c>
      <c r="E646" s="1902"/>
      <c r="F646" s="1902"/>
      <c r="G646" s="57"/>
    </row>
    <row r="647" spans="1:11" s="682" customFormat="1" ht="14.25">
      <c r="A647" s="261"/>
      <c r="B647" s="261"/>
      <c r="C647" s="266"/>
      <c r="D647" s="1903" t="s">
        <v>1337</v>
      </c>
      <c r="E647" s="1903"/>
      <c r="F647" s="1903"/>
      <c r="G647" s="57"/>
    </row>
    <row r="648" spans="1:11" s="682" customFormat="1" ht="14.25">
      <c r="A648" s="261"/>
      <c r="B648" s="261"/>
      <c r="C648" s="266"/>
      <c r="D648" s="1903"/>
      <c r="E648" s="1903"/>
      <c r="F648" s="1903"/>
      <c r="G648" s="57"/>
    </row>
    <row r="649" spans="1:11" s="682" customFormat="1" ht="14.25">
      <c r="A649" s="261"/>
      <c r="B649" s="261"/>
      <c r="C649" s="266"/>
      <c r="D649" s="1903"/>
      <c r="E649" s="1903"/>
      <c r="F649" s="1903"/>
      <c r="G649" s="57"/>
    </row>
    <row r="650" spans="1:11" s="682" customFormat="1" ht="14.25">
      <c r="A650" s="261"/>
      <c r="B650" s="261"/>
      <c r="C650" s="266"/>
      <c r="D650" s="1903"/>
      <c r="E650" s="1903"/>
      <c r="F650" s="1903"/>
      <c r="G650" s="57"/>
    </row>
    <row r="651" spans="1:11" s="682" customFormat="1" ht="14.25">
      <c r="A651" s="261"/>
      <c r="B651" s="261"/>
      <c r="C651" s="266"/>
      <c r="D651" s="1903"/>
      <c r="E651" s="1903"/>
      <c r="F651" s="1903"/>
      <c r="G651" s="57"/>
    </row>
    <row r="652" spans="1:11" s="682" customFormat="1" ht="14.25">
      <c r="A652" s="261"/>
      <c r="B652" s="261"/>
      <c r="C652" s="266"/>
      <c r="D652" s="1904" t="s">
        <v>1338</v>
      </c>
      <c r="E652" s="1904"/>
      <c r="F652" s="1904"/>
      <c r="G652" s="57"/>
    </row>
    <row r="653" spans="1:11">
      <c r="A653" s="266"/>
      <c r="B653" s="266"/>
      <c r="C653" s="266"/>
      <c r="D653" s="147"/>
      <c r="E653" s="147"/>
      <c r="F653" s="147"/>
      <c r="G653" s="57"/>
    </row>
    <row r="654" spans="1:11">
      <c r="A654" s="1884" t="s">
        <v>1176</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1212</v>
      </c>
      <c r="E658" s="1883"/>
      <c r="F658" s="1883"/>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3" t="s">
        <v>950</v>
      </c>
      <c r="E660" s="1883"/>
      <c r="F660" s="1883"/>
      <c r="G660" s="57"/>
      <c r="H660" s="269"/>
      <c r="I660" s="269"/>
      <c r="J660" s="269"/>
      <c r="K660" s="269"/>
    </row>
    <row r="661" spans="1:11">
      <c r="A661" s="260"/>
      <c r="B661" s="260"/>
      <c r="C661" s="260"/>
      <c r="D661" s="1883" t="s">
        <v>961</v>
      </c>
      <c r="E661" s="1883"/>
      <c r="F661" s="1883"/>
      <c r="G661" s="57"/>
      <c r="H661" s="269"/>
      <c r="I661" s="269"/>
      <c r="J661" s="269"/>
      <c r="K661" s="269"/>
    </row>
    <row r="662" spans="1:11">
      <c r="A662" s="260"/>
      <c r="B662" s="260"/>
      <c r="C662" s="260"/>
      <c r="D662" s="6"/>
      <c r="E662" s="1862" t="s">
        <v>1213</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8" t="s">
        <v>1214</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3" t="s">
        <v>990</v>
      </c>
      <c r="E669" s="1883"/>
      <c r="F669" s="1883"/>
      <c r="G669" s="57"/>
      <c r="H669" s="269"/>
      <c r="I669" s="269"/>
      <c r="J669" s="269"/>
      <c r="K669" s="269"/>
    </row>
    <row r="670" spans="1:11" ht="14.25">
      <c r="A670" s="261"/>
      <c r="B670" s="261"/>
      <c r="C670" s="260"/>
      <c r="D670" s="1883" t="s">
        <v>961</v>
      </c>
      <c r="E670" s="1883"/>
      <c r="F670" s="1883"/>
      <c r="G670" s="57"/>
      <c r="H670" s="269"/>
      <c r="I670" s="269"/>
      <c r="J670" s="269"/>
      <c r="K670" s="269"/>
    </row>
    <row r="671" spans="1:11">
      <c r="A671" s="260"/>
      <c r="B671" s="260"/>
      <c r="C671" s="260"/>
      <c r="D671" s="6"/>
      <c r="E671" s="1888" t="s">
        <v>1215</v>
      </c>
      <c r="F671" s="1888"/>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1" t="s">
        <v>1225</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1" t="s">
        <v>1216</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1" t="s">
        <v>1226</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1" t="s">
        <v>1223</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1" t="s">
        <v>1224</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1" t="s">
        <v>1217</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1" t="s">
        <v>1218</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8" t="s">
        <v>1219</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1" t="s">
        <v>1352</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1220</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1177</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35" customHeight="1">
      <c r="C728" s="260"/>
      <c r="D728" s="1900" t="s">
        <v>1193</v>
      </c>
      <c r="E728" s="1900"/>
      <c r="F728" s="1900"/>
      <c r="G728" s="271"/>
      <c r="H728" s="269"/>
      <c r="I728" s="269"/>
      <c r="J728" s="269"/>
      <c r="K728" s="269"/>
    </row>
    <row r="729" spans="1:11">
      <c r="A729" s="260"/>
      <c r="B729" s="260"/>
      <c r="C729" s="260"/>
      <c r="D729" s="1887" t="s">
        <v>1194</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8" t="s">
        <v>1195</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0" t="s">
        <v>1196</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25">
      <c r="A743" s="261"/>
      <c r="B743" s="679" t="s">
        <v>316</v>
      </c>
      <c r="C743" s="408"/>
      <c r="D743" s="1901" t="s">
        <v>1197</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25">
      <c r="A747" s="261"/>
      <c r="B747" s="679" t="s">
        <v>316</v>
      </c>
      <c r="C747" s="273"/>
      <c r="D747" s="1860" t="s">
        <v>1198</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0" t="s">
        <v>1199</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1200</v>
      </c>
      <c r="B754" s="1895"/>
      <c r="C754" s="1895"/>
      <c r="D754" s="1895"/>
      <c r="E754" s="1895"/>
      <c r="F754" s="1895"/>
      <c r="G754" s="1895"/>
    </row>
    <row r="755" spans="1:11">
      <c r="A755" s="260"/>
      <c r="B755" s="260"/>
      <c r="C755" s="260"/>
      <c r="D755" s="276"/>
      <c r="F755" s="147"/>
      <c r="G755" s="271"/>
    </row>
    <row r="756" spans="1:11">
      <c r="A756" s="273"/>
      <c r="B756" s="273"/>
      <c r="C756" s="442"/>
      <c r="D756" s="1896" t="s">
        <v>1184</v>
      </c>
      <c r="E756" s="1896"/>
      <c r="F756" s="1896"/>
      <c r="G756" s="271"/>
    </row>
    <row r="757" spans="1:11">
      <c r="A757" s="503"/>
      <c r="B757" s="503"/>
      <c r="C757" s="502"/>
      <c r="D757" s="1897" t="s">
        <v>1201</v>
      </c>
      <c r="E757" s="1897"/>
      <c r="F757" s="1897"/>
      <c r="G757" s="271"/>
    </row>
    <row r="758" spans="1:11">
      <c r="A758" s="273"/>
      <c r="B758" s="273"/>
      <c r="C758" s="442"/>
      <c r="D758" s="693"/>
      <c r="E758" s="693"/>
      <c r="F758" s="693"/>
      <c r="G758" s="271"/>
    </row>
    <row r="759" spans="1:11" ht="14.25">
      <c r="A759" s="261"/>
      <c r="B759" s="679" t="s">
        <v>316</v>
      </c>
      <c r="C759" s="442"/>
      <c r="D759" s="1898" t="s">
        <v>1069</v>
      </c>
      <c r="E759" s="1898"/>
      <c r="F759" s="1898"/>
      <c r="G759" s="271"/>
    </row>
    <row r="760" spans="1:11">
      <c r="A760" s="273"/>
      <c r="B760" s="273"/>
      <c r="C760" s="442"/>
      <c r="D760" s="692"/>
      <c r="E760" s="1899" t="s">
        <v>1185</v>
      </c>
      <c r="F760" s="1899"/>
      <c r="G760" s="271"/>
    </row>
    <row r="761" spans="1:11">
      <c r="A761" s="267"/>
      <c r="B761" s="267"/>
      <c r="C761" s="267"/>
      <c r="D761" s="135"/>
      <c r="F761" s="57"/>
      <c r="G761" s="271"/>
    </row>
    <row r="762" spans="1:11">
      <c r="A762" s="1893" t="s">
        <v>470</v>
      </c>
      <c r="B762" s="1893"/>
      <c r="C762" s="1893"/>
      <c r="D762" s="1893"/>
      <c r="E762" s="1893"/>
      <c r="F762" s="1893"/>
      <c r="G762" s="1893"/>
    </row>
    <row r="763" spans="1:11">
      <c r="A763" s="255"/>
      <c r="B763" s="673"/>
      <c r="C763" s="266"/>
      <c r="D763" s="271"/>
      <c r="E763" s="271"/>
      <c r="F763" s="271"/>
      <c r="G763" s="271"/>
    </row>
    <row r="764" spans="1:11">
      <c r="A764" s="135"/>
      <c r="B764" s="1894" t="s">
        <v>1068</v>
      </c>
      <c r="C764" s="1894"/>
      <c r="D764" s="1894"/>
      <c r="E764" s="1894"/>
      <c r="F764" s="1894"/>
      <c r="G764" s="271"/>
    </row>
    <row r="765" spans="1:11">
      <c r="A765" s="23"/>
      <c r="B765" s="675"/>
      <c r="G765" s="271"/>
    </row>
    <row r="766" spans="1:11">
      <c r="A766" s="1893" t="s">
        <v>471</v>
      </c>
      <c r="B766" s="1893"/>
      <c r="C766" s="1893"/>
      <c r="D766" s="1893"/>
      <c r="E766" s="1893"/>
      <c r="F766" s="1893"/>
      <c r="G766" s="1893"/>
    </row>
    <row r="767" spans="1:11">
      <c r="A767" s="255"/>
      <c r="B767" s="673"/>
      <c r="C767" s="255"/>
      <c r="D767" s="263"/>
      <c r="G767" s="271"/>
    </row>
    <row r="768" spans="1:11">
      <c r="A768" s="135"/>
      <c r="B768" s="1890" t="s">
        <v>469</v>
      </c>
      <c r="C768" s="1890"/>
      <c r="D768" s="1890"/>
      <c r="E768" s="1890"/>
      <c r="F768" s="1890"/>
      <c r="G768" s="271"/>
    </row>
    <row r="769" spans="1:7" ht="14.25">
      <c r="A769" s="261"/>
      <c r="B769" s="261"/>
      <c r="D769" s="135"/>
      <c r="E769" s="135"/>
      <c r="F769" s="271"/>
      <c r="G769" s="271"/>
    </row>
    <row r="770" spans="1:7">
      <c r="A770" s="1893" t="s">
        <v>472</v>
      </c>
      <c r="B770" s="1893"/>
      <c r="C770" s="1893"/>
      <c r="D770" s="1893"/>
      <c r="E770" s="1893"/>
      <c r="F770" s="1893"/>
      <c r="G770" s="1893"/>
    </row>
    <row r="771" spans="1:7">
      <c r="C771" s="260"/>
      <c r="D771" s="259"/>
      <c r="E771" s="135"/>
      <c r="F771" s="271"/>
      <c r="G771" s="271"/>
    </row>
    <row r="772" spans="1:7">
      <c r="A772" s="135"/>
      <c r="B772" s="1890" t="s">
        <v>469</v>
      </c>
      <c r="C772" s="1890"/>
      <c r="D772" s="1890"/>
      <c r="E772" s="1890"/>
      <c r="F772" s="1890"/>
      <c r="G772" s="271"/>
    </row>
    <row r="773" spans="1:7">
      <c r="A773" s="135"/>
      <c r="B773" s="135"/>
      <c r="C773" s="266"/>
      <c r="D773" s="271"/>
      <c r="E773" s="271"/>
      <c r="F773" s="271"/>
      <c r="G773" s="271"/>
    </row>
    <row r="774" spans="1:7">
      <c r="A774" s="1893" t="s">
        <v>473</v>
      </c>
      <c r="B774" s="1893"/>
      <c r="C774" s="1893"/>
      <c r="D774" s="1893"/>
      <c r="E774" s="1893"/>
      <c r="F774" s="1893"/>
      <c r="G774" s="1893"/>
    </row>
    <row r="775" spans="1:7">
      <c r="A775" s="135"/>
      <c r="B775" s="135"/>
    </row>
    <row r="776" spans="1:7">
      <c r="A776" s="135"/>
      <c r="B776" s="1890" t="s">
        <v>469</v>
      </c>
      <c r="C776" s="1890"/>
      <c r="D776" s="1890"/>
      <c r="E776" s="1890"/>
      <c r="F776" s="1890"/>
    </row>
    <row r="777" spans="1:7">
      <c r="A777" s="266"/>
      <c r="B777" s="266"/>
      <c r="C777" s="266"/>
      <c r="D777" s="258"/>
      <c r="F777" s="271"/>
    </row>
    <row r="778" spans="1:7">
      <c r="A778" s="1893" t="s">
        <v>474</v>
      </c>
      <c r="B778" s="1893"/>
      <c r="C778" s="1893"/>
      <c r="D778" s="1893"/>
      <c r="E778" s="1893"/>
      <c r="F778" s="1893"/>
      <c r="G778" s="1893"/>
    </row>
    <row r="779" spans="1:7">
      <c r="A779" s="135"/>
      <c r="B779" s="135"/>
    </row>
    <row r="780" spans="1:7">
      <c r="A780" s="135"/>
      <c r="B780" s="1890" t="s">
        <v>469</v>
      </c>
      <c r="C780" s="1890"/>
      <c r="D780" s="1890"/>
      <c r="E780" s="1890"/>
      <c r="F780" s="1890"/>
    </row>
    <row r="781" spans="1:7">
      <c r="A781" s="266"/>
      <c r="B781" s="266"/>
      <c r="C781" s="266"/>
      <c r="D781" s="258"/>
      <c r="F781" s="271"/>
    </row>
    <row r="782" spans="1:7">
      <c r="A782" s="1893" t="s">
        <v>475</v>
      </c>
      <c r="B782" s="1893"/>
      <c r="C782" s="1893"/>
      <c r="D782" s="1893"/>
      <c r="E782" s="1893"/>
      <c r="F782" s="1893"/>
      <c r="G782" s="1893"/>
    </row>
    <row r="783" spans="1:7">
      <c r="A783" s="135"/>
      <c r="B783" s="135"/>
    </row>
    <row r="784" spans="1:7">
      <c r="A784" s="135"/>
      <c r="B784" s="1890" t="s">
        <v>469</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469</v>
      </c>
      <c r="C788" s="1890"/>
      <c r="D788" s="1890"/>
      <c r="E788" s="1890"/>
      <c r="F788" s="1890"/>
    </row>
    <row r="789" spans="1:7">
      <c r="A789" s="135"/>
      <c r="B789" s="135"/>
      <c r="D789" s="258"/>
    </row>
    <row r="790" spans="1:7">
      <c r="A790" s="1893" t="s">
        <v>937</v>
      </c>
      <c r="B790" s="1893"/>
      <c r="C790" s="1893"/>
      <c r="D790" s="1893"/>
      <c r="E790" s="1893"/>
      <c r="F790" s="1893"/>
      <c r="G790" s="1893"/>
    </row>
    <row r="791" spans="1:7">
      <c r="A791" s="135"/>
      <c r="B791" s="135"/>
    </row>
    <row r="792" spans="1:7">
      <c r="A792" s="135"/>
      <c r="B792" s="1890" t="s">
        <v>469</v>
      </c>
      <c r="C792" s="1890"/>
      <c r="D792" s="1890"/>
      <c r="E792" s="1890"/>
      <c r="F792" s="1890"/>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0" t="s">
        <v>2397</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2.75"/>
    <row r="5" spans="1:10" ht="12.75" customHeight="1">
      <c r="A5" s="1942" t="s">
        <v>2400</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2401</v>
      </c>
      <c r="B9" s="1829"/>
      <c r="C9" s="1829"/>
      <c r="D9" s="1829"/>
      <c r="E9" s="1829"/>
      <c r="F9" s="1829"/>
      <c r="G9" s="1829"/>
      <c r="H9" s="1829"/>
      <c r="I9" s="1829"/>
      <c r="J9" s="1829"/>
    </row>
    <row r="10" spans="1:10" ht="12.75"/>
    <row r="11" spans="1:10" ht="12.75" customHeight="1">
      <c r="A11" s="1947" t="s">
        <v>2403</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2402</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9" t="s">
        <v>1390</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1391</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2398</v>
      </c>
      <c r="B72" s="1944"/>
      <c r="C72" s="1944"/>
      <c r="D72" s="1944"/>
      <c r="E72" s="1944"/>
      <c r="F72" s="1944"/>
      <c r="G72" s="1944"/>
      <c r="H72" s="1944"/>
      <c r="I72" s="1944"/>
    </row>
    <row r="73" spans="1:9" ht="12.75">
      <c r="A73" s="1866" t="s">
        <v>1093</v>
      </c>
      <c r="B73" s="1866"/>
      <c r="C73" s="1866"/>
      <c r="D73" s="1866"/>
      <c r="E73" s="1866"/>
    </row>
    <row r="74" spans="1:9" ht="12.75">
      <c r="A74" s="1866" t="s">
        <v>1392</v>
      </c>
      <c r="B74" s="1866"/>
      <c r="C74" s="1866"/>
      <c r="D74" s="1866"/>
      <c r="E74" s="1866"/>
    </row>
    <row r="75" spans="1:9" ht="12.75">
      <c r="A75" s="1866" t="s">
        <v>2399</v>
      </c>
      <c r="B75" s="1866"/>
      <c r="C75" s="1866"/>
      <c r="D75" s="1866"/>
      <c r="E75" s="1866"/>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1950" t="s">
        <v>2238</v>
      </c>
      <c r="B2" s="1950"/>
      <c r="C2" s="1950"/>
      <c r="D2" s="1950"/>
      <c r="E2" s="1950"/>
      <c r="F2" s="1950"/>
      <c r="G2" s="1950"/>
      <c r="H2" s="1950"/>
      <c r="I2" s="1950"/>
    </row>
    <row r="3" spans="1:9">
      <c r="A3" s="1951" t="s">
        <v>2239</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1254</v>
      </c>
      <c r="B6" s="1972"/>
      <c r="C6" s="1973"/>
      <c r="D6" s="1973"/>
      <c r="E6" s="1973"/>
      <c r="F6" s="1973"/>
      <c r="G6" s="1973"/>
      <c r="I6" s="1836" t="s">
        <v>2413</v>
      </c>
    </row>
    <row r="7" spans="1:9" s="791" customFormat="1">
      <c r="A7" s="1972" t="s">
        <v>1255</v>
      </c>
      <c r="B7" s="1972"/>
      <c r="C7" s="1973"/>
      <c r="D7" s="1973"/>
      <c r="E7" s="1973"/>
      <c r="F7" s="1973"/>
      <c r="G7" s="1973"/>
      <c r="I7" s="1836" t="s">
        <v>2414</v>
      </c>
    </row>
    <row r="8" spans="1:9">
      <c r="A8" s="792"/>
      <c r="B8" s="792"/>
      <c r="C8" s="793"/>
      <c r="D8" s="793"/>
      <c r="E8" s="793"/>
      <c r="F8" s="793"/>
    </row>
    <row r="9" spans="1:9">
      <c r="A9" s="1914" t="s">
        <v>1257</v>
      </c>
      <c r="B9" s="1914"/>
      <c r="C9" s="1914"/>
      <c r="D9" s="1914"/>
      <c r="E9" s="1914"/>
      <c r="F9" s="1914"/>
      <c r="G9" s="1914"/>
      <c r="H9" s="1853"/>
      <c r="I9" s="1854"/>
    </row>
    <row r="10" spans="1:9">
      <c r="A10" s="793"/>
      <c r="B10" s="793"/>
      <c r="E10" s="794"/>
    </row>
    <row r="11" spans="1:9" ht="13.7" customHeight="1">
      <c r="C11" s="793"/>
      <c r="D11" s="1975" t="s">
        <v>1256</v>
      </c>
      <c r="E11" s="1975"/>
      <c r="F11" s="1975"/>
    </row>
    <row r="12" spans="1:9">
      <c r="C12" s="793"/>
      <c r="D12" s="1975"/>
      <c r="E12" s="1975"/>
      <c r="F12" s="1975"/>
    </row>
    <row r="13" spans="1:9">
      <c r="A13" s="795"/>
      <c r="B13" s="795"/>
      <c r="C13" s="795"/>
      <c r="D13" s="1924" t="s">
        <v>1239</v>
      </c>
      <c r="E13" s="1924"/>
      <c r="F13" s="1924"/>
    </row>
    <row r="14" spans="1:9">
      <c r="A14" s="795"/>
      <c r="B14" s="795"/>
      <c r="C14" s="795"/>
      <c r="D14" s="796"/>
    </row>
    <row r="15" spans="1:9" ht="14.25">
      <c r="A15" s="797"/>
      <c r="B15" s="798" t="s">
        <v>2654</v>
      </c>
      <c r="C15" s="799"/>
      <c r="D15" s="1919" t="s">
        <v>1240</v>
      </c>
      <c r="E15" s="1919"/>
      <c r="F15" s="1919"/>
      <c r="I15" s="1774" t="s">
        <v>2415</v>
      </c>
    </row>
    <row r="16" spans="1:9">
      <c r="A16" s="795"/>
      <c r="B16" s="795"/>
      <c r="C16" s="799"/>
      <c r="D16" s="1919"/>
      <c r="E16" s="1919"/>
      <c r="F16" s="1919"/>
    </row>
    <row r="17" spans="1:9">
      <c r="A17" s="795"/>
      <c r="B17" s="795"/>
      <c r="C17" s="799"/>
      <c r="D17" s="1919"/>
      <c r="E17" s="1919"/>
      <c r="F17" s="1919"/>
    </row>
    <row r="18" spans="1:9">
      <c r="A18" s="795"/>
      <c r="B18" s="795"/>
      <c r="C18" s="795"/>
    </row>
    <row r="19" spans="1:9" ht="14.25">
      <c r="A19" s="797"/>
      <c r="B19" s="798" t="s">
        <v>2655</v>
      </c>
      <c r="D19" s="1898" t="s">
        <v>1241</v>
      </c>
      <c r="E19" s="1898"/>
      <c r="F19" s="1898"/>
      <c r="I19" s="1774" t="s">
        <v>2416</v>
      </c>
    </row>
    <row r="20" spans="1:9" ht="14.25">
      <c r="A20" s="797"/>
      <c r="B20" s="797"/>
      <c r="D20" s="800"/>
    </row>
    <row r="21" spans="1:9" ht="14.25">
      <c r="A21" s="797"/>
      <c r="B21" s="1775" t="s">
        <v>2654</v>
      </c>
      <c r="D21" s="1919" t="s">
        <v>1242</v>
      </c>
      <c r="E21" s="1919"/>
      <c r="F21" s="1919"/>
      <c r="I21" s="1774" t="s">
        <v>2416</v>
      </c>
    </row>
    <row r="22" spans="1:9" ht="14.25">
      <c r="A22" s="797"/>
      <c r="B22" s="797"/>
      <c r="D22" s="1919"/>
      <c r="E22" s="1919"/>
      <c r="F22" s="1919"/>
    </row>
    <row r="23" spans="1:9"/>
    <row r="24" spans="1:9" ht="14.25">
      <c r="A24" s="797"/>
      <c r="B24" s="1775" t="s">
        <v>2655</v>
      </c>
      <c r="D24" s="1964" t="s">
        <v>1243</v>
      </c>
      <c r="E24" s="1964"/>
      <c r="F24" s="1964"/>
      <c r="I24" s="1774" t="s">
        <v>2419</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1775" t="s">
        <v>2654</v>
      </c>
      <c r="C30" s="801"/>
      <c r="D30" s="1876" t="s">
        <v>1244</v>
      </c>
      <c r="E30" s="1876"/>
      <c r="F30" s="1876"/>
      <c r="G30" s="802"/>
      <c r="I30" s="1837" t="s">
        <v>2415</v>
      </c>
    </row>
    <row r="31" spans="1:9" s="791" customFormat="1">
      <c r="A31" s="801"/>
      <c r="B31" s="801"/>
      <c r="C31" s="801"/>
      <c r="D31" s="1876"/>
      <c r="E31" s="1876"/>
      <c r="F31" s="1876"/>
      <c r="G31" s="802"/>
      <c r="I31" s="1837"/>
    </row>
    <row r="32" spans="1:9" ht="14.25">
      <c r="A32" s="797"/>
      <c r="B32" s="797"/>
      <c r="D32" s="803"/>
    </row>
    <row r="33" spans="1:9" ht="14.45" customHeight="1">
      <c r="A33" s="797"/>
      <c r="B33" s="1775" t="s">
        <v>2654</v>
      </c>
      <c r="D33" s="1876" t="s">
        <v>1423</v>
      </c>
      <c r="E33" s="1876"/>
      <c r="F33" s="1876"/>
      <c r="I33" s="1837" t="s">
        <v>2487</v>
      </c>
    </row>
    <row r="34" spans="1:9" ht="14.25">
      <c r="A34" s="797"/>
      <c r="B34" s="797"/>
      <c r="D34" s="1876"/>
      <c r="E34" s="1876"/>
      <c r="F34" s="1876"/>
    </row>
    <row r="35" spans="1:9" ht="14.25">
      <c r="A35" s="797"/>
      <c r="B35" s="797"/>
      <c r="D35" s="1876"/>
      <c r="E35" s="1876"/>
      <c r="F35" s="1876"/>
    </row>
    <row r="36" spans="1:9" ht="14.25">
      <c r="A36" s="797"/>
      <c r="B36" s="797"/>
      <c r="D36" s="1876"/>
      <c r="E36" s="1876"/>
      <c r="F36" s="1876"/>
    </row>
    <row r="37" spans="1:9" ht="14.25">
      <c r="A37" s="797"/>
      <c r="B37" s="797"/>
      <c r="D37" s="790"/>
    </row>
    <row r="38" spans="1:9" ht="14.25">
      <c r="A38" s="797"/>
      <c r="B38" s="1775" t="s">
        <v>2654</v>
      </c>
      <c r="D38" s="1876" t="s">
        <v>1246</v>
      </c>
      <c r="E38" s="1876"/>
      <c r="F38" s="1876"/>
    </row>
    <row r="39" spans="1:9" ht="14.25">
      <c r="A39" s="797"/>
      <c r="B39" s="797"/>
      <c r="D39" s="1876"/>
      <c r="E39" s="1876"/>
      <c r="F39" s="1876"/>
    </row>
    <row r="40" spans="1:9" ht="14.25">
      <c r="A40" s="797"/>
      <c r="B40" s="797"/>
      <c r="D40" s="1876"/>
      <c r="E40" s="1876"/>
      <c r="F40" s="1876"/>
    </row>
    <row r="41" spans="1:9" ht="14.25">
      <c r="A41" s="797"/>
      <c r="B41" s="797"/>
      <c r="D41" s="1876"/>
      <c r="E41" s="1876"/>
      <c r="F41" s="1876"/>
    </row>
    <row r="42" spans="1:9" ht="14.25">
      <c r="A42" s="797"/>
      <c r="B42" s="797"/>
      <c r="D42" s="1876"/>
      <c r="E42" s="1876"/>
      <c r="F42" s="1876"/>
    </row>
    <row r="43" spans="1:9" ht="14.25">
      <c r="A43" s="797"/>
      <c r="B43" s="797"/>
      <c r="D43" s="781"/>
      <c r="E43" s="781"/>
      <c r="F43" s="781"/>
    </row>
    <row r="44" spans="1:9" ht="14.25">
      <c r="A44" s="797"/>
      <c r="B44" s="1775" t="s">
        <v>2654</v>
      </c>
      <c r="D44" s="1876" t="s">
        <v>1247</v>
      </c>
      <c r="E44" s="1876"/>
      <c r="F44" s="1876"/>
      <c r="I44" s="1837" t="s">
        <v>2487</v>
      </c>
    </row>
    <row r="45" spans="1:9" ht="14.25">
      <c r="A45" s="797"/>
      <c r="B45" s="797"/>
      <c r="D45" s="1876"/>
      <c r="E45" s="1876"/>
      <c r="F45" s="1876"/>
    </row>
    <row r="46" spans="1:9" ht="14.25">
      <c r="A46" s="797"/>
      <c r="B46" s="797"/>
      <c r="D46" s="1876"/>
      <c r="E46" s="1876"/>
      <c r="F46" s="1876"/>
    </row>
    <row r="47" spans="1:9" ht="23.25" customHeight="1">
      <c r="A47" s="797"/>
      <c r="B47" s="797"/>
      <c r="D47" s="1876"/>
      <c r="E47" s="1876"/>
      <c r="F47" s="1876"/>
    </row>
    <row r="48" spans="1:9" ht="14.25">
      <c r="A48" s="797"/>
      <c r="B48" s="797"/>
      <c r="D48" s="785"/>
    </row>
    <row r="49" spans="1:9" ht="14.45" customHeight="1">
      <c r="A49" s="797"/>
      <c r="B49" s="1775" t="s">
        <v>2654</v>
      </c>
      <c r="D49" s="1876" t="s">
        <v>1248</v>
      </c>
      <c r="E49" s="1876"/>
      <c r="F49" s="1876"/>
      <c r="I49" s="1837" t="s">
        <v>2487</v>
      </c>
    </row>
    <row r="50" spans="1:9" ht="14.25">
      <c r="A50" s="797"/>
      <c r="B50" s="797"/>
      <c r="D50" s="1876"/>
      <c r="E50" s="1876"/>
      <c r="F50" s="1876"/>
    </row>
    <row r="51" spans="1:9" ht="14.25">
      <c r="A51" s="797"/>
      <c r="B51" s="797"/>
      <c r="D51" s="1876"/>
      <c r="E51" s="1876"/>
      <c r="F51" s="1876"/>
    </row>
    <row r="52" spans="1:9" s="618" customFormat="1" ht="14.25">
      <c r="A52" s="797"/>
      <c r="B52" s="797"/>
      <c r="C52" s="804"/>
      <c r="D52" s="802"/>
      <c r="E52" s="693"/>
      <c r="F52" s="693"/>
      <c r="G52" s="693"/>
      <c r="I52" s="642"/>
    </row>
    <row r="53" spans="1:9" s="618" customFormat="1" ht="14.25">
      <c r="A53" s="805"/>
      <c r="B53" s="1775" t="s">
        <v>2655</v>
      </c>
      <c r="C53" s="806"/>
      <c r="D53" s="1876" t="s">
        <v>1249</v>
      </c>
      <c r="E53" s="1876"/>
      <c r="F53" s="1876"/>
      <c r="G53" s="693"/>
      <c r="I53" s="1774"/>
    </row>
    <row r="54" spans="1:9" s="618" customFormat="1" ht="14.25">
      <c r="A54" s="805"/>
      <c r="B54" s="805"/>
      <c r="C54" s="806"/>
      <c r="D54" s="1876"/>
      <c r="E54" s="1876"/>
      <c r="F54" s="1876"/>
      <c r="G54" s="693"/>
      <c r="I54" s="642"/>
    </row>
    <row r="55" spans="1:9" s="791" customFormat="1">
      <c r="A55" s="801"/>
      <c r="B55" s="801"/>
      <c r="C55" s="801"/>
      <c r="D55" s="733"/>
      <c r="E55" s="802"/>
      <c r="F55" s="802"/>
      <c r="G55" s="802"/>
      <c r="I55" s="1837"/>
    </row>
    <row r="56" spans="1:9" ht="14.25">
      <c r="A56" s="797"/>
      <c r="B56" s="1775" t="s">
        <v>2654</v>
      </c>
      <c r="D56" s="1876" t="s">
        <v>1250</v>
      </c>
      <c r="E56" s="1876"/>
      <c r="F56" s="1876"/>
      <c r="I56" s="1774" t="s">
        <v>2417</v>
      </c>
    </row>
    <row r="57" spans="1:9">
      <c r="D57" s="1876"/>
      <c r="E57" s="1876"/>
      <c r="F57" s="1876"/>
    </row>
    <row r="58" spans="1:9">
      <c r="D58" s="1876"/>
      <c r="E58" s="1876"/>
      <c r="F58" s="1876"/>
    </row>
    <row r="59" spans="1:9">
      <c r="D59" s="693"/>
    </row>
    <row r="60" spans="1:9" ht="14.25">
      <c r="A60" s="797"/>
      <c r="B60" s="798" t="s">
        <v>2654</v>
      </c>
      <c r="D60" s="1876" t="s">
        <v>1251</v>
      </c>
      <c r="E60" s="1876"/>
      <c r="F60" s="1876"/>
      <c r="I60" s="1774" t="s">
        <v>2418</v>
      </c>
    </row>
    <row r="61" spans="1:9">
      <c r="D61" s="1876"/>
      <c r="E61" s="1876"/>
      <c r="F61" s="1876"/>
    </row>
    <row r="62" spans="1:9"/>
    <row r="63" spans="1:9" ht="14.25">
      <c r="A63" s="797"/>
      <c r="B63" s="1775" t="s">
        <v>2655</v>
      </c>
      <c r="D63" s="1876" t="s">
        <v>1252</v>
      </c>
      <c r="E63" s="1876"/>
      <c r="F63" s="1876"/>
    </row>
    <row r="64" spans="1:9">
      <c r="D64" s="1876"/>
      <c r="E64" s="1876"/>
      <c r="F64" s="1876"/>
      <c r="I64" s="1774" t="s">
        <v>2419</v>
      </c>
    </row>
    <row r="65" spans="1:9">
      <c r="D65" s="1876"/>
      <c r="E65" s="1876"/>
      <c r="F65" s="1876"/>
    </row>
    <row r="66" spans="1:9">
      <c r="D66" s="790"/>
    </row>
    <row r="67" spans="1:9" ht="14.25">
      <c r="A67" s="797"/>
      <c r="B67" s="1775" t="s">
        <v>2655</v>
      </c>
      <c r="D67" s="1919" t="s">
        <v>1253</v>
      </c>
      <c r="E67" s="1919"/>
      <c r="F67" s="1919"/>
      <c r="I67" s="1774" t="s">
        <v>2419</v>
      </c>
    </row>
    <row r="68" spans="1:9">
      <c r="D68" s="1919"/>
      <c r="E68" s="1919"/>
      <c r="F68" s="1919"/>
    </row>
    <row r="69" spans="1:9" ht="14.25">
      <c r="A69" s="797"/>
      <c r="B69" s="797"/>
      <c r="D69" s="800"/>
    </row>
    <row r="70" spans="1:9">
      <c r="A70" s="1884" t="s">
        <v>1160</v>
      </c>
      <c r="B70" s="1884"/>
      <c r="C70" s="1884"/>
      <c r="D70" s="1884"/>
      <c r="E70" s="1884"/>
      <c r="F70" s="1884"/>
      <c r="G70" s="1884"/>
      <c r="H70" s="1853"/>
      <c r="I70" s="1854"/>
    </row>
    <row r="71" spans="1:9"/>
    <row r="72" spans="1:9">
      <c r="C72" s="807"/>
      <c r="D72" s="1957" t="s">
        <v>1258</v>
      </c>
      <c r="E72" s="1957"/>
      <c r="F72" s="1957"/>
    </row>
    <row r="73" spans="1:9">
      <c r="A73" s="800"/>
      <c r="B73" s="800"/>
      <c r="D73" s="1919" t="s">
        <v>1285</v>
      </c>
      <c r="E73" s="1919"/>
      <c r="F73" s="1919"/>
    </row>
    <row r="74" spans="1:9">
      <c r="A74" s="800"/>
      <c r="B74" s="800"/>
    </row>
    <row r="75" spans="1:9" ht="13.7" customHeight="1">
      <c r="A75" s="797"/>
      <c r="B75" s="1775" t="s">
        <v>2655</v>
      </c>
      <c r="D75" s="1919" t="s">
        <v>1472</v>
      </c>
      <c r="E75" s="1919"/>
      <c r="F75" s="1919"/>
      <c r="I75" s="1774" t="s">
        <v>2420</v>
      </c>
    </row>
    <row r="76" spans="1:9" ht="14.25">
      <c r="A76" s="797"/>
      <c r="B76" s="797"/>
      <c r="D76" s="1919"/>
      <c r="E76" s="1919"/>
      <c r="F76" s="1919"/>
    </row>
    <row r="77" spans="1:9" ht="14.25">
      <c r="A77" s="797"/>
      <c r="B77" s="797"/>
      <c r="D77" s="1919"/>
      <c r="E77" s="1919"/>
      <c r="F77" s="1919"/>
    </row>
    <row r="78" spans="1:9" ht="14.25">
      <c r="A78" s="797"/>
      <c r="B78" s="797"/>
      <c r="D78" s="1919"/>
      <c r="E78" s="1919"/>
      <c r="F78" s="1919"/>
    </row>
    <row r="79" spans="1:9" ht="14.25">
      <c r="A79" s="797"/>
      <c r="B79" s="797"/>
      <c r="D79" s="1919"/>
      <c r="E79" s="1919"/>
      <c r="F79" s="1919"/>
    </row>
    <row r="80" spans="1:9" ht="14.25">
      <c r="A80" s="797"/>
      <c r="B80" s="797"/>
      <c r="D80" s="1919"/>
      <c r="E80" s="1919"/>
      <c r="F80" s="1919"/>
    </row>
    <row r="81" spans="1:9" ht="14.25">
      <c r="A81" s="797"/>
      <c r="B81" s="797"/>
      <c r="D81" s="1919"/>
      <c r="E81" s="1919"/>
      <c r="F81" s="1919"/>
    </row>
    <row r="82" spans="1:9" ht="14.25">
      <c r="A82" s="797"/>
      <c r="B82" s="797"/>
      <c r="D82" s="1919"/>
      <c r="E82" s="1919"/>
      <c r="F82" s="1919"/>
    </row>
    <row r="83" spans="1:9" ht="14.25">
      <c r="A83" s="797"/>
      <c r="B83" s="797"/>
      <c r="D83" s="878"/>
      <c r="E83" s="878"/>
      <c r="F83" s="878"/>
    </row>
    <row r="84" spans="1:9" ht="15" customHeight="1">
      <c r="A84" s="797"/>
      <c r="B84" s="1775" t="s">
        <v>2655</v>
      </c>
      <c r="D84" s="1919" t="s">
        <v>2240</v>
      </c>
      <c r="E84" s="1919"/>
      <c r="F84" s="1919"/>
      <c r="I84" s="1774" t="s">
        <v>2421</v>
      </c>
    </row>
    <row r="85" spans="1:9" ht="14.25">
      <c r="A85" s="797"/>
      <c r="B85" s="797"/>
      <c r="D85" s="1919"/>
      <c r="E85" s="1919"/>
      <c r="F85" s="1919"/>
    </row>
    <row r="86" spans="1:9" ht="14.25">
      <c r="A86" s="797"/>
      <c r="B86" s="797"/>
      <c r="D86" s="1712"/>
      <c r="E86" s="1712"/>
      <c r="F86" s="1712"/>
    </row>
    <row r="87" spans="1:9" ht="14.25">
      <c r="A87" s="797"/>
      <c r="B87" s="1775" t="s">
        <v>2655</v>
      </c>
      <c r="D87" s="1919" t="s">
        <v>2244</v>
      </c>
      <c r="E87" s="1919"/>
      <c r="F87" s="1919"/>
      <c r="I87" s="1774" t="s">
        <v>2422</v>
      </c>
    </row>
    <row r="88" spans="1:9" ht="14.25">
      <c r="A88" s="797"/>
      <c r="B88" s="797"/>
      <c r="D88" s="1919"/>
      <c r="E88" s="1919"/>
      <c r="F88" s="1919"/>
    </row>
    <row r="89" spans="1:9" ht="14.25">
      <c r="A89" s="797"/>
      <c r="B89" s="797"/>
      <c r="D89" s="1919"/>
      <c r="E89" s="1919"/>
      <c r="F89" s="1919"/>
    </row>
    <row r="90" spans="1:9" ht="14.25">
      <c r="A90" s="797"/>
      <c r="B90" s="797"/>
      <c r="D90" s="1712"/>
      <c r="E90" s="1712"/>
      <c r="F90" s="1712"/>
    </row>
    <row r="91" spans="1:9" ht="14.25">
      <c r="A91" s="797"/>
      <c r="B91" s="1775" t="s">
        <v>2654</v>
      </c>
      <c r="D91" s="1919" t="s">
        <v>2242</v>
      </c>
      <c r="E91" s="1919"/>
      <c r="F91" s="1919"/>
      <c r="I91" s="1774" t="s">
        <v>2467</v>
      </c>
    </row>
    <row r="92" spans="1:9" s="1729" customFormat="1" ht="14.25">
      <c r="A92" s="1727"/>
      <c r="B92" s="1727"/>
      <c r="C92" s="1728"/>
      <c r="D92" s="1919"/>
      <c r="E92" s="1919"/>
      <c r="F92" s="1919"/>
      <c r="I92" s="1838"/>
    </row>
    <row r="93" spans="1:9" ht="14.25">
      <c r="A93" s="797"/>
      <c r="B93" s="797"/>
      <c r="D93" s="1718"/>
      <c r="E93" s="1719" t="s">
        <v>2243</v>
      </c>
      <c r="F93" s="1712"/>
    </row>
    <row r="94" spans="1:9" ht="14.25">
      <c r="A94" s="797"/>
      <c r="B94" s="797"/>
      <c r="D94" s="878"/>
      <c r="E94" s="878"/>
      <c r="F94" s="878"/>
    </row>
    <row r="95" spans="1:9" ht="14.25">
      <c r="A95" s="797"/>
      <c r="B95" s="1775" t="s">
        <v>2654</v>
      </c>
      <c r="D95" s="1919" t="s">
        <v>2241</v>
      </c>
      <c r="E95" s="1919"/>
      <c r="F95" s="1919"/>
      <c r="I95" s="1774" t="s">
        <v>2423</v>
      </c>
    </row>
    <row r="96" spans="1:9" ht="14.25">
      <c r="A96" s="797"/>
      <c r="B96" s="797"/>
      <c r="D96" s="1919"/>
      <c r="E96" s="1919"/>
      <c r="F96" s="1919"/>
    </row>
    <row r="97" spans="1:9" ht="14.25">
      <c r="A97" s="797"/>
      <c r="B97" s="797"/>
      <c r="D97" s="1712"/>
      <c r="E97" s="1712"/>
      <c r="F97" s="1712"/>
    </row>
    <row r="98" spans="1:9" ht="14.45" customHeight="1">
      <c r="A98" s="797"/>
      <c r="B98" s="1775" t="s">
        <v>2654</v>
      </c>
      <c r="D98" s="1919" t="s">
        <v>1398</v>
      </c>
      <c r="E98" s="1919"/>
      <c r="F98" s="1919"/>
      <c r="G98" s="790"/>
      <c r="I98" s="1774" t="s">
        <v>2424</v>
      </c>
    </row>
    <row r="99" spans="1:9" ht="14.25">
      <c r="A99" s="797"/>
      <c r="B99" s="797"/>
      <c r="D99" s="1919"/>
      <c r="E99" s="1919"/>
      <c r="F99" s="1919"/>
      <c r="G99" s="790"/>
    </row>
    <row r="100" spans="1:9" ht="14.25">
      <c r="A100" s="797"/>
      <c r="B100" s="797"/>
      <c r="D100" s="1919"/>
      <c r="E100" s="1919"/>
      <c r="F100" s="1919"/>
      <c r="G100" s="790"/>
    </row>
    <row r="101" spans="1:9" ht="14.25">
      <c r="A101" s="797"/>
      <c r="B101" s="797"/>
      <c r="D101" s="1919"/>
      <c r="E101" s="1919"/>
      <c r="F101" s="1919"/>
      <c r="G101" s="790"/>
    </row>
    <row r="102" spans="1:9" ht="14.25">
      <c r="A102" s="797"/>
      <c r="B102" s="797"/>
      <c r="D102" s="1919"/>
      <c r="E102" s="1919"/>
      <c r="F102" s="1919"/>
      <c r="G102" s="790"/>
    </row>
    <row r="103" spans="1:9" ht="14.25">
      <c r="A103" s="797"/>
      <c r="B103" s="797"/>
      <c r="D103" s="1919"/>
      <c r="E103" s="1919"/>
      <c r="F103" s="1919"/>
      <c r="G103" s="790"/>
    </row>
    <row r="104" spans="1:9" ht="14.25">
      <c r="A104" s="797"/>
      <c r="B104" s="797"/>
      <c r="D104" s="1919"/>
      <c r="E104" s="1919"/>
      <c r="F104" s="1919"/>
      <c r="G104" s="790"/>
    </row>
    <row r="105" spans="1:9" ht="14.25">
      <c r="A105" s="797"/>
      <c r="B105" s="797"/>
      <c r="D105" s="1919"/>
      <c r="E105" s="1919"/>
      <c r="F105" s="1919"/>
      <c r="G105" s="790"/>
    </row>
    <row r="106" spans="1:9" ht="14.25">
      <c r="A106" s="797"/>
      <c r="B106" s="797"/>
      <c r="D106" s="1919"/>
      <c r="E106" s="1919"/>
      <c r="F106" s="1919"/>
      <c r="G106" s="790"/>
    </row>
    <row r="107" spans="1:9" ht="14.25">
      <c r="A107" s="797"/>
      <c r="B107" s="797"/>
      <c r="D107" s="1919"/>
      <c r="E107" s="1919"/>
      <c r="F107" s="1919"/>
      <c r="G107" s="790"/>
    </row>
    <row r="108" spans="1:9" ht="14.25">
      <c r="A108" s="797"/>
      <c r="B108" s="797"/>
      <c r="D108" s="1919"/>
      <c r="E108" s="1919"/>
      <c r="F108" s="1919"/>
      <c r="G108" s="790"/>
    </row>
    <row r="109" spans="1:9" ht="14.25">
      <c r="A109" s="797"/>
      <c r="B109" s="797"/>
      <c r="D109" s="1919"/>
      <c r="E109" s="1919"/>
      <c r="F109" s="1919"/>
      <c r="G109" s="790"/>
    </row>
    <row r="110" spans="1:9" ht="14.25">
      <c r="A110" s="797"/>
      <c r="B110" s="797"/>
      <c r="D110" s="1919"/>
      <c r="E110" s="1919"/>
      <c r="F110" s="1919"/>
      <c r="G110" s="790"/>
    </row>
    <row r="111" spans="1:9" ht="14.25">
      <c r="A111" s="797"/>
      <c r="B111" s="797"/>
      <c r="D111" s="1919"/>
      <c r="E111" s="1919"/>
      <c r="F111" s="1919"/>
    </row>
    <row r="112" spans="1:9" ht="14.25">
      <c r="A112" s="797"/>
      <c r="B112" s="797"/>
      <c r="D112" s="1919"/>
      <c r="E112" s="1919"/>
      <c r="F112" s="1919"/>
    </row>
    <row r="113" spans="1:11" ht="14.25">
      <c r="A113" s="797"/>
      <c r="B113" s="797"/>
      <c r="D113" s="904"/>
      <c r="E113" s="904"/>
      <c r="F113" s="904"/>
    </row>
    <row r="114" spans="1:11" ht="14.25" customHeight="1">
      <c r="A114" s="797"/>
      <c r="B114" s="1775" t="s">
        <v>2654</v>
      </c>
      <c r="D114" s="1917" t="s">
        <v>1260</v>
      </c>
      <c r="E114" s="1917"/>
      <c r="F114" s="1917"/>
    </row>
    <row r="115" spans="1:11" ht="14.25">
      <c r="A115" s="797"/>
      <c r="B115" s="797"/>
      <c r="D115" s="1917"/>
      <c r="E115" s="1917"/>
      <c r="F115" s="1917"/>
    </row>
    <row r="116" spans="1:11" ht="14.25">
      <c r="A116" s="797"/>
      <c r="B116" s="797"/>
      <c r="D116" s="1917"/>
      <c r="E116" s="1917"/>
      <c r="F116" s="1917"/>
    </row>
    <row r="117" spans="1:11" ht="14.25">
      <c r="A117" s="797"/>
      <c r="B117" s="797"/>
      <c r="D117" s="1917"/>
      <c r="E117" s="1917"/>
      <c r="F117" s="1917"/>
    </row>
    <row r="118" spans="1:11" ht="14.25">
      <c r="A118" s="797"/>
      <c r="B118" s="797"/>
      <c r="D118" s="1917"/>
      <c r="E118" s="1917"/>
      <c r="F118" s="1917"/>
    </row>
    <row r="119" spans="1:11" ht="14.25">
      <c r="A119" s="797"/>
      <c r="B119" s="797"/>
      <c r="D119" s="1917"/>
      <c r="E119" s="1917"/>
      <c r="F119" s="1917"/>
    </row>
    <row r="120" spans="1:11" ht="14.25">
      <c r="A120" s="797"/>
      <c r="B120" s="797"/>
      <c r="D120" s="1917"/>
      <c r="E120" s="1917"/>
      <c r="F120" s="1917"/>
    </row>
    <row r="121" spans="1:11" ht="14.25">
      <c r="A121" s="797"/>
      <c r="B121" s="797"/>
      <c r="D121" s="1917"/>
      <c r="E121" s="1917"/>
      <c r="F121" s="1917"/>
    </row>
    <row r="122" spans="1:11">
      <c r="C122" s="722"/>
      <c r="D122" s="905"/>
      <c r="E122" s="905"/>
      <c r="F122" s="905"/>
      <c r="G122" s="722"/>
      <c r="H122" s="722"/>
      <c r="I122" s="622"/>
      <c r="J122" s="722"/>
      <c r="K122" s="722"/>
    </row>
    <row r="123" spans="1:11" ht="14.25">
      <c r="A123" s="797"/>
      <c r="B123" s="1775" t="s">
        <v>2655</v>
      </c>
      <c r="C123" s="722"/>
      <c r="D123" s="1917" t="s">
        <v>1262</v>
      </c>
      <c r="E123" s="1917"/>
      <c r="F123" s="1917"/>
      <c r="G123" s="722"/>
      <c r="H123" s="722"/>
      <c r="I123" s="622" t="s">
        <v>2425</v>
      </c>
      <c r="J123" s="722"/>
      <c r="K123" s="722"/>
    </row>
    <row r="124" spans="1:11" ht="14.25">
      <c r="A124" s="797"/>
      <c r="B124" s="797"/>
      <c r="C124" s="722"/>
      <c r="D124" s="1917"/>
      <c r="E124" s="1917"/>
      <c r="F124" s="1917"/>
      <c r="G124" s="722"/>
      <c r="H124" s="722"/>
      <c r="I124" s="622"/>
      <c r="J124" s="722"/>
      <c r="K124" s="722"/>
    </row>
    <row r="125" spans="1:11"/>
    <row r="126" spans="1:11" ht="14.25">
      <c r="A126" s="797"/>
      <c r="B126" s="1775" t="s">
        <v>2654</v>
      </c>
      <c r="C126" s="804"/>
      <c r="D126" s="1919" t="s">
        <v>1263</v>
      </c>
      <c r="E126" s="1919"/>
      <c r="F126" s="1919"/>
      <c r="I126" s="622" t="s">
        <v>2425</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25">
      <c r="A132" s="797"/>
      <c r="B132" s="798" t="s">
        <v>2655</v>
      </c>
      <c r="C132" s="804"/>
      <c r="D132" s="1876" t="s">
        <v>1264</v>
      </c>
      <c r="E132" s="1876"/>
      <c r="F132" s="1876"/>
      <c r="G132" s="672"/>
      <c r="I132" s="622" t="s">
        <v>2426</v>
      </c>
    </row>
    <row r="133" spans="1:9" s="812" customFormat="1" ht="13.7" customHeight="1">
      <c r="A133" s="809"/>
      <c r="B133" s="809"/>
      <c r="C133" s="810"/>
      <c r="D133" s="1876"/>
      <c r="E133" s="1876"/>
      <c r="F133" s="1876"/>
      <c r="G133" s="811"/>
      <c r="I133" s="1839"/>
    </row>
    <row r="134" spans="1:9" s="722" customFormat="1" ht="13.7" customHeight="1">
      <c r="A134" s="788"/>
      <c r="B134" s="788"/>
      <c r="C134" s="804"/>
      <c r="D134" s="1876"/>
      <c r="E134" s="1876"/>
      <c r="F134" s="1876"/>
      <c r="G134" s="672"/>
      <c r="I134" s="622"/>
    </row>
    <row r="135" spans="1:9" s="722" customFormat="1" ht="13.7" customHeight="1">
      <c r="A135" s="788"/>
      <c r="B135" s="788"/>
      <c r="C135" s="804"/>
      <c r="D135" s="1876"/>
      <c r="E135" s="1876"/>
      <c r="F135" s="1876"/>
      <c r="G135" s="672"/>
      <c r="I135" s="622"/>
    </row>
    <row r="136" spans="1:9" s="722" customFormat="1" ht="13.7" customHeight="1">
      <c r="A136" s="788"/>
      <c r="B136" s="788"/>
      <c r="C136" s="804"/>
      <c r="D136" s="1876"/>
      <c r="E136" s="1876"/>
      <c r="F136" s="1876"/>
      <c r="G136" s="672"/>
      <c r="I136" s="622"/>
    </row>
    <row r="137" spans="1:9" s="722" customFormat="1" ht="13.7" customHeight="1">
      <c r="A137" s="813"/>
      <c r="B137" s="813"/>
      <c r="C137" s="804"/>
      <c r="D137" s="1876"/>
      <c r="E137" s="1876"/>
      <c r="F137" s="1876"/>
      <c r="G137" s="672"/>
      <c r="I137" s="622"/>
    </row>
    <row r="138" spans="1:9" s="618" customFormat="1" ht="13.7" customHeight="1">
      <c r="A138" s="801"/>
      <c r="B138" s="801"/>
      <c r="C138" s="806"/>
      <c r="D138" s="1876"/>
      <c r="E138" s="1876"/>
      <c r="F138" s="1876"/>
      <c r="G138" s="693"/>
      <c r="I138" s="642"/>
    </row>
    <row r="139" spans="1:9" s="618" customFormat="1" ht="13.7" customHeight="1">
      <c r="A139" s="801"/>
      <c r="B139" s="801"/>
      <c r="C139" s="806"/>
      <c r="D139" s="1876"/>
      <c r="E139" s="1876"/>
      <c r="F139" s="1876"/>
      <c r="G139" s="693"/>
      <c r="I139" s="642"/>
    </row>
    <row r="140" spans="1:9" s="722" customFormat="1" ht="13.7" customHeight="1">
      <c r="A140" s="788"/>
      <c r="B140" s="788"/>
      <c r="C140" s="804"/>
      <c r="D140" s="1876"/>
      <c r="E140" s="1876"/>
      <c r="F140" s="1876"/>
      <c r="G140" s="672"/>
      <c r="I140" s="622"/>
    </row>
    <row r="141" spans="1:9" s="722" customFormat="1" ht="13.7" customHeight="1">
      <c r="A141" s="788"/>
      <c r="B141" s="788"/>
      <c r="C141" s="804"/>
      <c r="D141" s="1876"/>
      <c r="E141" s="1876"/>
      <c r="F141" s="1876"/>
      <c r="G141" s="672"/>
      <c r="I141" s="622"/>
    </row>
    <row r="142" spans="1:9" s="722" customFormat="1" ht="13.7" customHeight="1">
      <c r="A142" s="788"/>
      <c r="B142" s="788"/>
      <c r="C142" s="804"/>
      <c r="D142" s="1876"/>
      <c r="E142" s="1876"/>
      <c r="F142" s="1876"/>
      <c r="G142" s="672"/>
      <c r="I142" s="622"/>
    </row>
    <row r="143" spans="1:9" s="722" customFormat="1" ht="13.7" customHeight="1">
      <c r="A143" s="788"/>
      <c r="B143" s="788"/>
      <c r="C143" s="804"/>
      <c r="D143" s="1876"/>
      <c r="E143" s="1876"/>
      <c r="F143" s="1876"/>
      <c r="G143" s="672"/>
      <c r="I143" s="622"/>
    </row>
    <row r="144" spans="1:9" s="722" customFormat="1" ht="13.7" customHeight="1">
      <c r="A144" s="788"/>
      <c r="B144" s="788"/>
      <c r="C144" s="804"/>
      <c r="D144" s="796"/>
      <c r="E144" s="785"/>
      <c r="F144" s="785"/>
      <c r="G144" s="672"/>
      <c r="I144" s="622"/>
    </row>
    <row r="145" spans="1:9" s="722" customFormat="1" ht="13.7" customHeight="1">
      <c r="A145" s="788"/>
      <c r="B145" s="1775" t="s">
        <v>2654</v>
      </c>
      <c r="C145" s="804"/>
      <c r="D145" s="1961" t="s">
        <v>1372</v>
      </c>
      <c r="E145" s="1961"/>
      <c r="F145" s="1961"/>
      <c r="G145" s="672"/>
      <c r="I145" s="622" t="s">
        <v>2427</v>
      </c>
    </row>
    <row r="146" spans="1:9" s="722" customFormat="1" ht="13.7" customHeight="1">
      <c r="A146" s="788"/>
      <c r="B146" s="788"/>
      <c r="C146" s="804"/>
      <c r="D146" s="1961"/>
      <c r="E146" s="1961"/>
      <c r="F146" s="1961"/>
      <c r="G146" s="672"/>
      <c r="I146" s="622"/>
    </row>
    <row r="147" spans="1:9" s="722" customFormat="1" ht="13.7" customHeight="1">
      <c r="A147" s="788"/>
      <c r="B147" s="788"/>
      <c r="C147" s="804"/>
      <c r="D147" s="1961"/>
      <c r="E147" s="1961"/>
      <c r="F147" s="1961"/>
      <c r="G147" s="672"/>
      <c r="I147" s="622"/>
    </row>
    <row r="148" spans="1:9" s="722" customFormat="1" ht="13.7" customHeight="1">
      <c r="A148" s="788"/>
      <c r="B148" s="788"/>
      <c r="C148" s="804"/>
      <c r="D148" s="1961"/>
      <c r="E148" s="1961"/>
      <c r="F148" s="1961"/>
      <c r="G148" s="672"/>
      <c r="I148" s="622"/>
    </row>
    <row r="149" spans="1:9" s="722" customFormat="1" ht="13.7" customHeight="1">
      <c r="A149" s="788"/>
      <c r="B149" s="788"/>
      <c r="C149" s="804"/>
      <c r="D149" s="1961"/>
      <c r="E149" s="1961"/>
      <c r="F149" s="1961"/>
      <c r="G149" s="672"/>
      <c r="I149" s="622"/>
    </row>
    <row r="150" spans="1:9" s="722" customFormat="1" ht="13.7" customHeight="1">
      <c r="A150" s="788"/>
      <c r="B150" s="788"/>
      <c r="C150" s="804"/>
      <c r="D150" s="1961"/>
      <c r="E150" s="1961"/>
      <c r="F150" s="1961"/>
      <c r="G150" s="672"/>
      <c r="I150" s="622"/>
    </row>
    <row r="151" spans="1:9" s="722" customFormat="1" ht="13.7" customHeight="1">
      <c r="A151" s="788"/>
      <c r="B151" s="788"/>
      <c r="C151" s="804"/>
      <c r="D151" s="1961"/>
      <c r="E151" s="1961"/>
      <c r="F151" s="1961"/>
      <c r="G151" s="672"/>
      <c r="I151" s="622"/>
    </row>
    <row r="152" spans="1:9" s="722" customFormat="1" ht="13.7" customHeight="1">
      <c r="A152" s="788"/>
      <c r="B152" s="788"/>
      <c r="C152" s="804"/>
      <c r="D152" s="1961"/>
      <c r="E152" s="1961"/>
      <c r="F152" s="1961"/>
      <c r="G152" s="672"/>
      <c r="I152" s="622"/>
    </row>
    <row r="153" spans="1:9" s="722" customFormat="1" ht="13.7" customHeight="1">
      <c r="A153" s="788"/>
      <c r="B153" s="788"/>
      <c r="C153" s="804"/>
      <c r="D153" s="1961"/>
      <c r="E153" s="1961"/>
      <c r="F153" s="1961"/>
      <c r="G153" s="672"/>
      <c r="I153" s="622"/>
    </row>
    <row r="154" spans="1:9" s="722" customFormat="1" ht="13.7" customHeight="1">
      <c r="A154" s="788"/>
      <c r="B154" s="788"/>
      <c r="C154" s="804"/>
      <c r="D154" s="1961"/>
      <c r="E154" s="1961"/>
      <c r="F154" s="1961"/>
      <c r="G154" s="672"/>
      <c r="I154" s="622"/>
    </row>
    <row r="155" spans="1:9" s="722" customFormat="1" ht="13.7" customHeight="1">
      <c r="A155" s="788"/>
      <c r="B155" s="788"/>
      <c r="C155" s="804"/>
      <c r="D155" s="1961"/>
      <c r="E155" s="1961"/>
      <c r="F155" s="1961"/>
      <c r="G155" s="672"/>
      <c r="I155" s="622"/>
    </row>
    <row r="156" spans="1:9" s="722" customFormat="1" ht="13.7" customHeight="1">
      <c r="A156" s="788"/>
      <c r="B156" s="788"/>
      <c r="C156" s="804"/>
      <c r="D156" s="1961"/>
      <c r="E156" s="1961"/>
      <c r="F156" s="1961"/>
      <c r="G156" s="672"/>
      <c r="I156" s="622"/>
    </row>
    <row r="157" spans="1:9" s="722" customFormat="1" ht="13.7" customHeight="1">
      <c r="A157" s="788"/>
      <c r="B157" s="788"/>
      <c r="C157" s="804"/>
      <c r="D157" s="1961"/>
      <c r="E157" s="1961"/>
      <c r="F157" s="1961"/>
      <c r="G157" s="672"/>
      <c r="I157" s="622"/>
    </row>
    <row r="158" spans="1:9" s="722" customFormat="1" ht="13.7" customHeight="1">
      <c r="A158" s="788"/>
      <c r="B158" s="788"/>
      <c r="C158" s="804"/>
      <c r="D158" s="1961"/>
      <c r="E158" s="1961"/>
      <c r="F158" s="1961"/>
      <c r="G158" s="672"/>
      <c r="I158" s="622"/>
    </row>
    <row r="159" spans="1:9" s="722" customFormat="1" ht="13.7" customHeight="1">
      <c r="A159" s="788"/>
      <c r="B159" s="788"/>
      <c r="C159" s="804"/>
      <c r="D159" s="1961"/>
      <c r="E159" s="1961"/>
      <c r="F159" s="1961"/>
      <c r="G159" s="672"/>
      <c r="I159" s="622"/>
    </row>
    <row r="160" spans="1:9" s="722" customFormat="1" ht="13.7" customHeight="1">
      <c r="A160" s="788"/>
      <c r="B160" s="788"/>
      <c r="C160" s="804"/>
      <c r="D160" s="1961"/>
      <c r="E160" s="1961"/>
      <c r="F160" s="1961"/>
      <c r="G160" s="672"/>
      <c r="I160" s="622"/>
    </row>
    <row r="161" spans="1:9" s="722" customFormat="1" ht="13.7" customHeight="1">
      <c r="A161" s="788"/>
      <c r="B161" s="788"/>
      <c r="C161" s="804"/>
      <c r="D161" s="1961"/>
      <c r="E161" s="1961"/>
      <c r="F161" s="1961"/>
      <c r="G161" s="672"/>
      <c r="I161" s="622"/>
    </row>
    <row r="162" spans="1:9" s="722" customFormat="1" ht="13.7" customHeight="1">
      <c r="A162" s="788"/>
      <c r="B162" s="788"/>
      <c r="C162" s="804"/>
      <c r="D162" s="1961"/>
      <c r="E162" s="1961"/>
      <c r="F162" s="1961"/>
      <c r="G162" s="672"/>
      <c r="I162" s="622"/>
    </row>
    <row r="163" spans="1:9" s="722" customFormat="1" ht="13.7" customHeight="1">
      <c r="A163" s="788"/>
      <c r="B163" s="788"/>
      <c r="C163" s="804"/>
      <c r="D163" s="1982" t="s">
        <v>1406</v>
      </c>
      <c r="E163" s="1982"/>
      <c r="F163" s="1982"/>
      <c r="G163" s="856"/>
      <c r="I163" s="622"/>
    </row>
    <row r="164" spans="1:9" s="722" customFormat="1" ht="13.7" customHeight="1">
      <c r="A164" s="788"/>
      <c r="B164" s="788"/>
      <c r="C164" s="804"/>
      <c r="D164" s="1981"/>
      <c r="E164" s="1981"/>
      <c r="F164" s="1981"/>
      <c r="G164" s="1981"/>
      <c r="I164" s="622"/>
    </row>
    <row r="165" spans="1:9" s="722" customFormat="1" ht="14.45" customHeight="1">
      <c r="A165" s="813"/>
      <c r="B165" s="1775" t="s">
        <v>2654</v>
      </c>
      <c r="C165" s="814"/>
      <c r="D165" s="1918" t="s">
        <v>1434</v>
      </c>
      <c r="E165" s="1918"/>
      <c r="F165" s="1918"/>
      <c r="G165" s="815"/>
      <c r="I165" s="622" t="s">
        <v>2422</v>
      </c>
    </row>
    <row r="166" spans="1:9" s="722" customFormat="1" ht="14.45" customHeight="1">
      <c r="A166" s="813"/>
      <c r="B166" s="813"/>
      <c r="C166" s="814"/>
      <c r="D166" s="1918"/>
      <c r="E166" s="1918"/>
      <c r="F166" s="1918"/>
      <c r="G166" s="815"/>
      <c r="I166" s="622"/>
    </row>
    <row r="167" spans="1:9" s="722" customFormat="1" ht="13.7" customHeight="1">
      <c r="A167" s="813"/>
      <c r="B167" s="813"/>
      <c r="C167" s="814"/>
      <c r="D167" s="1918"/>
      <c r="E167" s="1918"/>
      <c r="F167" s="1918"/>
      <c r="G167" s="815"/>
      <c r="I167" s="622"/>
    </row>
    <row r="168" spans="1:9" s="722" customFormat="1" ht="13.7" customHeight="1">
      <c r="A168" s="813"/>
      <c r="B168" s="813"/>
      <c r="C168" s="814"/>
      <c r="D168" s="796"/>
      <c r="E168" s="814"/>
      <c r="F168" s="814"/>
      <c r="G168" s="815"/>
      <c r="I168" s="622"/>
    </row>
    <row r="169" spans="1:9" s="722" customFormat="1" ht="13.7" customHeight="1">
      <c r="A169" s="813"/>
      <c r="B169" s="1775" t="s">
        <v>2654</v>
      </c>
      <c r="C169" s="814"/>
      <c r="D169" s="1861" t="s">
        <v>1266</v>
      </c>
      <c r="E169" s="1861"/>
      <c r="F169" s="1861"/>
      <c r="G169" s="815"/>
      <c r="I169" s="622" t="s">
        <v>2428</v>
      </c>
    </row>
    <row r="170" spans="1:9" s="722" customFormat="1" ht="13.7" customHeight="1">
      <c r="A170" s="813"/>
      <c r="B170" s="813"/>
      <c r="C170" s="814"/>
      <c r="D170" s="1861"/>
      <c r="E170" s="1861"/>
      <c r="F170" s="1861"/>
      <c r="G170" s="815"/>
      <c r="I170" s="622"/>
    </row>
    <row r="171" spans="1:9" s="722" customFormat="1" ht="13.7" customHeight="1">
      <c r="A171" s="813"/>
      <c r="B171" s="813"/>
      <c r="C171" s="814"/>
      <c r="D171" s="1861"/>
      <c r="E171" s="1861"/>
      <c r="F171" s="1861"/>
      <c r="G171" s="815"/>
      <c r="I171" s="622"/>
    </row>
    <row r="172" spans="1:9" s="722" customFormat="1" ht="13.7" customHeight="1">
      <c r="A172" s="813"/>
      <c r="B172" s="813"/>
      <c r="C172" s="814"/>
      <c r="D172" s="1861"/>
      <c r="E172" s="1861"/>
      <c r="F172" s="1861"/>
      <c r="G172" s="815"/>
      <c r="I172" s="622"/>
    </row>
    <row r="173" spans="1:9" s="722" customFormat="1" ht="13.7" customHeight="1">
      <c r="A173" s="788"/>
      <c r="B173" s="788"/>
      <c r="C173" s="804"/>
      <c r="D173" s="785"/>
      <c r="E173" s="785"/>
      <c r="F173" s="785"/>
      <c r="G173" s="672"/>
      <c r="I173" s="622"/>
    </row>
    <row r="174" spans="1:9" s="722" customFormat="1" ht="13.7" customHeight="1">
      <c r="A174" s="788"/>
      <c r="B174" s="1775" t="s">
        <v>2654</v>
      </c>
      <c r="C174" s="804"/>
      <c r="D174" s="1906" t="s">
        <v>1267</v>
      </c>
      <c r="E174" s="1906"/>
      <c r="F174" s="1906"/>
      <c r="G174" s="672"/>
      <c r="I174" s="622" t="s">
        <v>2429</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4" t="s">
        <v>2404</v>
      </c>
      <c r="B178" s="1884"/>
      <c r="C178" s="1884"/>
      <c r="D178" s="1884"/>
      <c r="E178" s="1884"/>
      <c r="F178" s="1884"/>
      <c r="G178" s="1884"/>
      <c r="H178" s="1853"/>
      <c r="I178" s="1854"/>
    </row>
    <row r="179" spans="1:9" ht="12" customHeight="1">
      <c r="D179" s="800"/>
      <c r="E179" s="800"/>
      <c r="F179" s="800"/>
    </row>
    <row r="180" spans="1:9">
      <c r="B180" s="1956" t="s">
        <v>469</v>
      </c>
      <c r="C180" s="1956"/>
      <c r="D180" s="1956"/>
      <c r="E180" s="1956"/>
      <c r="F180" s="1956"/>
    </row>
    <row r="181" spans="1:9" s="1772" customFormat="1">
      <c r="A181" s="788"/>
      <c r="B181" s="1831" t="s">
        <v>2405</v>
      </c>
      <c r="C181" s="1831"/>
      <c r="D181" s="1831"/>
      <c r="E181" s="1831"/>
      <c r="F181" s="1831"/>
      <c r="G181" s="1771"/>
      <c r="I181" s="1774"/>
    </row>
    <row r="182" spans="1:9" ht="12" customHeight="1">
      <c r="A182" s="793"/>
      <c r="B182" s="793"/>
      <c r="C182" s="793"/>
    </row>
    <row r="183" spans="1:9">
      <c r="A183" s="1884" t="s">
        <v>1162</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20" t="s">
        <v>2245</v>
      </c>
      <c r="E185" s="1920"/>
      <c r="F185" s="1920"/>
      <c r="G185" s="819"/>
    </row>
    <row r="186" spans="1:9">
      <c r="A186" s="817"/>
      <c r="B186" s="817"/>
      <c r="C186" s="818"/>
      <c r="D186" s="1920"/>
      <c r="E186" s="1920"/>
      <c r="F186" s="1920"/>
      <c r="G186" s="819"/>
    </row>
    <row r="187" spans="1:9">
      <c r="A187" s="817"/>
      <c r="B187" s="817"/>
      <c r="C187" s="818"/>
      <c r="D187" s="1921" t="s">
        <v>1399</v>
      </c>
      <c r="E187" s="1921"/>
      <c r="F187" s="1921"/>
      <c r="G187" s="819"/>
    </row>
    <row r="188" spans="1:9">
      <c r="A188" s="817"/>
      <c r="B188" s="817"/>
      <c r="C188" s="818"/>
      <c r="D188" s="1713"/>
      <c r="E188" s="1713"/>
      <c r="F188" s="1713"/>
      <c r="G188" s="819"/>
    </row>
    <row r="189" spans="1:9">
      <c r="A189" s="817"/>
      <c r="B189" s="1775" t="s">
        <v>2655</v>
      </c>
      <c r="C189" s="818"/>
      <c r="D189" s="1883" t="s">
        <v>2246</v>
      </c>
      <c r="E189" s="1883"/>
      <c r="F189" s="1883"/>
      <c r="G189" s="819"/>
      <c r="I189" s="1774" t="s">
        <v>2478</v>
      </c>
    </row>
    <row r="190" spans="1:9">
      <c r="A190" s="817"/>
      <c r="B190" s="817"/>
      <c r="C190" s="818"/>
      <c r="D190" s="1887" t="s">
        <v>2247</v>
      </c>
      <c r="E190" s="1887"/>
      <c r="F190" s="1887"/>
      <c r="G190" s="819"/>
    </row>
    <row r="191" spans="1:9">
      <c r="A191" s="817"/>
      <c r="B191" s="817"/>
      <c r="C191" s="818"/>
      <c r="D191" s="1730" t="s">
        <v>2248</v>
      </c>
      <c r="E191" s="1974" t="s">
        <v>2249</v>
      </c>
      <c r="F191" s="1974"/>
      <c r="G191" s="819"/>
    </row>
    <row r="192" spans="1:9">
      <c r="A192" s="817"/>
      <c r="B192" s="817"/>
      <c r="C192" s="818"/>
      <c r="D192" s="155"/>
      <c r="E192" s="155"/>
      <c r="F192" s="155"/>
      <c r="G192" s="819"/>
    </row>
    <row r="193" spans="1:9">
      <c r="A193" s="817"/>
      <c r="B193" s="798" t="s">
        <v>2654</v>
      </c>
      <c r="C193" s="818"/>
      <c r="D193" s="1887" t="s">
        <v>2250</v>
      </c>
      <c r="E193" s="1887"/>
      <c r="F193" s="1887"/>
      <c r="G193" s="819"/>
      <c r="I193" s="1774" t="s">
        <v>2479</v>
      </c>
    </row>
    <row r="194" spans="1:9">
      <c r="A194" s="817"/>
      <c r="B194" s="817"/>
      <c r="C194" s="818"/>
      <c r="D194" s="1883" t="s">
        <v>2247</v>
      </c>
      <c r="E194" s="1883"/>
      <c r="F194" s="1883"/>
      <c r="G194" s="819"/>
    </row>
    <row r="195" spans="1:9">
      <c r="A195" s="817"/>
      <c r="B195" s="817"/>
      <c r="C195" s="818"/>
      <c r="D195" s="1711" t="s">
        <v>2251</v>
      </c>
      <c r="E195" s="1979" t="s">
        <v>2252</v>
      </c>
      <c r="F195" s="1979"/>
      <c r="G195" s="819"/>
    </row>
    <row r="196" spans="1:9">
      <c r="A196" s="817"/>
      <c r="B196" s="817"/>
      <c r="C196" s="818"/>
      <c r="D196" s="155"/>
      <c r="E196" s="155"/>
      <c r="F196" s="155"/>
      <c r="G196" s="819"/>
    </row>
    <row r="197" spans="1:9">
      <c r="A197" s="817"/>
      <c r="B197" s="1775" t="s">
        <v>2654</v>
      </c>
      <c r="C197" s="818"/>
      <c r="D197" s="1887" t="s">
        <v>2253</v>
      </c>
      <c r="E197" s="1887"/>
      <c r="F197" s="1887"/>
      <c r="G197" s="819"/>
      <c r="I197" s="1774" t="s">
        <v>2480</v>
      </c>
    </row>
    <row r="198" spans="1:9">
      <c r="A198" s="817"/>
      <c r="B198" s="817"/>
      <c r="C198" s="818"/>
      <c r="D198" s="1708" t="s">
        <v>2247</v>
      </c>
      <c r="E198" s="155"/>
      <c r="F198" s="155"/>
      <c r="G198" s="819"/>
    </row>
    <row r="199" spans="1:9">
      <c r="A199" s="817"/>
      <c r="B199" s="817"/>
      <c r="C199" s="818"/>
      <c r="D199" s="1711" t="s">
        <v>2248</v>
      </c>
      <c r="E199" s="1979" t="s">
        <v>2254</v>
      </c>
      <c r="F199" s="1979"/>
      <c r="G199" s="819"/>
    </row>
    <row r="200" spans="1:9">
      <c r="A200" s="817"/>
      <c r="B200" s="817"/>
      <c r="C200" s="818"/>
      <c r="D200" s="1713"/>
      <c r="E200" s="1713"/>
      <c r="F200" s="1713"/>
      <c r="G200" s="819"/>
    </row>
    <row r="201" spans="1:9" ht="14.25">
      <c r="A201" s="797"/>
      <c r="B201" s="1775" t="s">
        <v>2654</v>
      </c>
      <c r="C201" s="818"/>
      <c r="D201" s="1919" t="s">
        <v>2255</v>
      </c>
      <c r="E201" s="1919"/>
      <c r="F201" s="1919"/>
      <c r="G201" s="819"/>
      <c r="I201" s="1774" t="s">
        <v>2481</v>
      </c>
    </row>
    <row r="202" spans="1:9" ht="14.25">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1775" t="s">
        <v>2654</v>
      </c>
      <c r="C205" s="818"/>
      <c r="D205" s="1887" t="s">
        <v>2256</v>
      </c>
      <c r="E205" s="1887"/>
      <c r="F205" s="1887"/>
      <c r="I205" s="1774" t="s">
        <v>2482</v>
      </c>
    </row>
    <row r="206" spans="1:9">
      <c r="A206" s="818"/>
      <c r="B206" s="818"/>
      <c r="C206" s="818"/>
      <c r="D206" s="1887" t="s">
        <v>2247</v>
      </c>
      <c r="E206" s="1887"/>
      <c r="F206" s="1887"/>
    </row>
    <row r="207" spans="1:9">
      <c r="A207" s="818"/>
      <c r="B207" s="818"/>
      <c r="C207" s="818"/>
      <c r="D207" s="1711" t="s">
        <v>2248</v>
      </c>
      <c r="E207" s="1979" t="s">
        <v>2257</v>
      </c>
      <c r="F207" s="1979"/>
    </row>
    <row r="208" spans="1:9">
      <c r="A208" s="818"/>
      <c r="B208" s="818"/>
      <c r="C208" s="818"/>
      <c r="D208" s="779"/>
      <c r="E208" s="779"/>
      <c r="F208" s="779"/>
    </row>
    <row r="209" spans="1:9" s="618" customFormat="1" ht="14.25">
      <c r="A209" s="797"/>
      <c r="B209" s="1775" t="s">
        <v>2654</v>
      </c>
      <c r="C209" s="806"/>
      <c r="D209" s="1919" t="s">
        <v>1425</v>
      </c>
      <c r="E209" s="1919"/>
      <c r="F209" s="1919"/>
      <c r="G209" s="693"/>
      <c r="I209" s="642"/>
    </row>
    <row r="210" spans="1:9" s="618" customFormat="1" ht="14.45" customHeight="1">
      <c r="A210" s="797"/>
      <c r="C210" s="806"/>
      <c r="D210" s="1919"/>
      <c r="E210" s="1919"/>
      <c r="F210" s="1919"/>
      <c r="G210" s="693"/>
      <c r="I210" s="642"/>
    </row>
    <row r="211" spans="1:9" s="618" customFormat="1" ht="14.25">
      <c r="A211" s="797"/>
      <c r="B211" s="818"/>
      <c r="C211" s="806"/>
      <c r="D211" s="1919"/>
      <c r="E211" s="1919"/>
      <c r="F211" s="1919"/>
      <c r="G211" s="693"/>
      <c r="I211" s="642"/>
    </row>
    <row r="212" spans="1:9" s="618" customFormat="1" ht="14.25">
      <c r="A212" s="797"/>
      <c r="B212" s="818"/>
      <c r="C212" s="806"/>
      <c r="D212" s="1919"/>
      <c r="E212" s="1919"/>
      <c r="F212" s="1919"/>
      <c r="G212" s="693"/>
      <c r="I212" s="642"/>
    </row>
    <row r="213" spans="1:9">
      <c r="A213" s="818"/>
      <c r="B213" s="818"/>
      <c r="C213" s="818"/>
      <c r="D213" s="779"/>
      <c r="E213" s="779"/>
      <c r="F213" s="779"/>
    </row>
    <row r="214" spans="1:9">
      <c r="A214" s="1884" t="s">
        <v>1163</v>
      </c>
      <c r="B214" s="1884"/>
      <c r="C214" s="1884"/>
      <c r="D214" s="1884"/>
      <c r="E214" s="1884"/>
      <c r="F214" s="1884"/>
      <c r="G214" s="1884"/>
      <c r="H214" s="1853"/>
      <c r="I214" s="1854"/>
    </row>
    <row r="215" spans="1:9" ht="12" customHeight="1">
      <c r="D215" s="800"/>
      <c r="E215" s="800"/>
      <c r="F215" s="800"/>
    </row>
    <row r="216" spans="1:9">
      <c r="C216" s="807"/>
      <c r="D216" s="1978" t="s">
        <v>214</v>
      </c>
      <c r="E216" s="1978"/>
      <c r="F216" s="1978"/>
    </row>
    <row r="217" spans="1:9">
      <c r="A217" s="793"/>
      <c r="B217" s="793"/>
      <c r="C217" s="793"/>
      <c r="D217" s="1958" t="s">
        <v>1292</v>
      </c>
      <c r="E217" s="1958"/>
      <c r="F217" s="1958"/>
    </row>
    <row r="218" spans="1:9" ht="12" customHeight="1">
      <c r="A218" s="816"/>
      <c r="B218" s="816"/>
      <c r="C218" s="816"/>
    </row>
    <row r="219" spans="1:9" ht="13.7" customHeight="1">
      <c r="A219" s="816"/>
      <c r="C219" s="816"/>
      <c r="D219" s="1874" t="s">
        <v>578</v>
      </c>
      <c r="E219" s="1874"/>
      <c r="F219" s="1874"/>
      <c r="I219" s="1774" t="s">
        <v>2430</v>
      </c>
    </row>
    <row r="220" spans="1:9" ht="14.25">
      <c r="A220" s="797"/>
      <c r="B220" s="798" t="s">
        <v>2655</v>
      </c>
      <c r="D220" s="1919" t="s">
        <v>2258</v>
      </c>
      <c r="E220" s="1919"/>
      <c r="F220" s="1919"/>
    </row>
    <row r="221" spans="1:9" ht="14.25" customHeight="1">
      <c r="A221" s="797"/>
      <c r="B221" s="797"/>
      <c r="D221" s="1919"/>
      <c r="E221" s="1919"/>
      <c r="F221" s="1919"/>
    </row>
    <row r="222" spans="1:9" ht="14.25" customHeight="1">
      <c r="A222" s="797"/>
      <c r="B222" s="797"/>
      <c r="D222" s="1919"/>
      <c r="E222" s="1919"/>
      <c r="F222" s="1919"/>
    </row>
    <row r="223" spans="1:9" ht="14.25">
      <c r="A223" s="797"/>
      <c r="B223" s="797"/>
      <c r="D223" s="1919"/>
      <c r="E223" s="1919"/>
      <c r="F223" s="1919"/>
    </row>
    <row r="224" spans="1:9" ht="14.25">
      <c r="A224" s="797"/>
      <c r="B224" s="797"/>
      <c r="D224" s="1712"/>
      <c r="E224" s="1712"/>
      <c r="F224" s="1712"/>
    </row>
    <row r="225" spans="1:9" ht="14.25">
      <c r="A225" s="797"/>
      <c r="B225" s="1775" t="s">
        <v>2655</v>
      </c>
      <c r="D225" s="1919" t="s">
        <v>2259</v>
      </c>
      <c r="E225" s="1919"/>
      <c r="F225" s="1919"/>
      <c r="I225" s="1774" t="s">
        <v>2431</v>
      </c>
    </row>
    <row r="226" spans="1:9" ht="14.25">
      <c r="A226" s="797"/>
      <c r="B226" s="797"/>
      <c r="D226" s="1919"/>
      <c r="E226" s="1919"/>
      <c r="F226" s="1919"/>
    </row>
    <row r="227" spans="1:9" ht="14.25">
      <c r="A227" s="797"/>
      <c r="B227" s="797"/>
      <c r="D227" s="1919"/>
      <c r="E227" s="1919"/>
      <c r="F227" s="1919"/>
    </row>
    <row r="228" spans="1:9" ht="14.25">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25">
      <c r="A231" s="797"/>
      <c r="B231" s="797"/>
      <c r="D231" s="1919" t="s">
        <v>1288</v>
      </c>
      <c r="E231" s="1919"/>
      <c r="F231" s="1919"/>
      <c r="I231" s="1774" t="s">
        <v>2430</v>
      </c>
    </row>
    <row r="232" spans="1:9" ht="14.25">
      <c r="A232" s="797"/>
      <c r="B232" s="797"/>
      <c r="D232" s="1919"/>
      <c r="E232" s="1919"/>
      <c r="F232" s="1919"/>
    </row>
    <row r="233" spans="1:9" ht="14.25">
      <c r="A233" s="797"/>
      <c r="B233" s="797"/>
      <c r="D233" s="1919"/>
      <c r="E233" s="1919"/>
      <c r="F233" s="1919"/>
    </row>
    <row r="234" spans="1:9" ht="14.25">
      <c r="A234" s="797"/>
      <c r="B234" s="797"/>
      <c r="D234" s="1919"/>
      <c r="E234" s="1919"/>
      <c r="F234" s="1919"/>
    </row>
    <row r="235" spans="1:9" ht="14.25">
      <c r="A235" s="797"/>
      <c r="B235" s="797"/>
      <c r="D235" s="1919"/>
      <c r="E235" s="1919"/>
      <c r="F235" s="1919"/>
    </row>
    <row r="236" spans="1:9" ht="14.25">
      <c r="A236" s="797"/>
      <c r="B236" s="797"/>
      <c r="D236" s="800"/>
      <c r="E236" s="800"/>
      <c r="F236" s="800"/>
    </row>
    <row r="237" spans="1:9" ht="14.25">
      <c r="A237" s="797"/>
      <c r="B237" s="798" t="s">
        <v>2654</v>
      </c>
      <c r="D237" s="1955" t="s">
        <v>2263</v>
      </c>
      <c r="E237" s="1955"/>
      <c r="F237" s="1955"/>
      <c r="I237" s="1774" t="s">
        <v>2469</v>
      </c>
    </row>
    <row r="238" spans="1:9" ht="14.25">
      <c r="A238" s="797"/>
      <c r="B238" s="797"/>
      <c r="D238" s="1955"/>
      <c r="E238" s="1955"/>
      <c r="F238" s="1955"/>
    </row>
    <row r="239" spans="1:9" ht="14.25">
      <c r="A239" s="797"/>
      <c r="B239" s="797"/>
      <c r="D239" s="1955"/>
      <c r="E239" s="1955"/>
      <c r="F239" s="1955"/>
    </row>
    <row r="240" spans="1:9" ht="14.25">
      <c r="A240" s="797"/>
      <c r="B240" s="797"/>
      <c r="D240" s="1956" t="s">
        <v>962</v>
      </c>
      <c r="E240" s="1956"/>
      <c r="F240" s="1956"/>
    </row>
    <row r="241" spans="1:9" ht="14.25">
      <c r="A241" s="797"/>
      <c r="B241" s="797"/>
      <c r="D241" s="800"/>
      <c r="E241" s="800"/>
      <c r="F241" s="800"/>
    </row>
    <row r="242" spans="1:9" ht="14.45" customHeight="1">
      <c r="A242" s="797"/>
      <c r="B242" s="798" t="s">
        <v>2654</v>
      </c>
      <c r="D242" s="1955" t="s">
        <v>1291</v>
      </c>
      <c r="E242" s="1955"/>
      <c r="F242" s="1955"/>
      <c r="I242" s="1774" t="s">
        <v>2489</v>
      </c>
    </row>
    <row r="243" spans="1:9" ht="14.25">
      <c r="A243" s="797"/>
      <c r="B243" s="797"/>
      <c r="D243" s="1955"/>
      <c r="E243" s="1955"/>
      <c r="F243" s="1955"/>
    </row>
    <row r="244" spans="1:9" ht="14.25">
      <c r="A244" s="797"/>
      <c r="B244" s="797"/>
      <c r="D244" s="1955"/>
      <c r="E244" s="1955"/>
      <c r="F244" s="1955"/>
    </row>
    <row r="245" spans="1:9" ht="14.25">
      <c r="A245" s="797"/>
      <c r="B245" s="797"/>
      <c r="D245" s="1955"/>
      <c r="E245" s="1955"/>
      <c r="F245" s="1955"/>
    </row>
    <row r="246" spans="1:9" ht="14.25">
      <c r="A246" s="797"/>
      <c r="B246" s="797"/>
      <c r="D246" s="1955"/>
      <c r="E246" s="1955"/>
      <c r="F246" s="1955"/>
    </row>
    <row r="247" spans="1:9" ht="14.25">
      <c r="A247" s="797"/>
      <c r="B247" s="797"/>
      <c r="D247" s="1724"/>
      <c r="E247" s="1724"/>
      <c r="F247" s="1724"/>
    </row>
    <row r="248" spans="1:9" ht="14.25">
      <c r="A248" s="797"/>
      <c r="B248" s="798" t="s">
        <v>2655</v>
      </c>
      <c r="D248" s="1723" t="s">
        <v>2260</v>
      </c>
      <c r="E248" s="1724"/>
      <c r="F248" s="1724"/>
      <c r="I248" s="1774" t="s">
        <v>2468</v>
      </c>
    </row>
    <row r="249" spans="1:9" ht="14.25">
      <c r="A249" s="797"/>
      <c r="B249" s="797"/>
      <c r="D249" s="1723"/>
      <c r="E249" s="1731" t="s">
        <v>2261</v>
      </c>
      <c r="F249" s="1724"/>
    </row>
    <row r="250" spans="1:9">
      <c r="D250" s="800"/>
      <c r="E250" s="800"/>
      <c r="F250" s="800"/>
    </row>
    <row r="251" spans="1:9" ht="14.25">
      <c r="A251" s="797"/>
      <c r="B251" s="798" t="s">
        <v>2655</v>
      </c>
      <c r="D251" s="1919" t="s">
        <v>1290</v>
      </c>
      <c r="E251" s="1919"/>
      <c r="F251" s="1919"/>
    </row>
    <row r="252" spans="1:9" ht="14.25">
      <c r="A252" s="797"/>
      <c r="B252" s="797"/>
      <c r="D252" s="1919"/>
      <c r="E252" s="1919"/>
      <c r="F252" s="1919"/>
    </row>
    <row r="253" spans="1:9">
      <c r="D253" s="821"/>
    </row>
    <row r="254" spans="1:9">
      <c r="A254" s="1884" t="s">
        <v>1164</v>
      </c>
      <c r="B254" s="1884"/>
      <c r="C254" s="1884"/>
      <c r="D254" s="1884"/>
      <c r="E254" s="1884"/>
      <c r="F254" s="1884"/>
      <c r="G254" s="1884"/>
      <c r="H254" s="1853"/>
      <c r="I254" s="1854"/>
    </row>
    <row r="255" spans="1:9">
      <c r="D255" s="821"/>
    </row>
    <row r="256" spans="1:9">
      <c r="C256" s="807"/>
      <c r="D256" s="1874" t="s">
        <v>1293</v>
      </c>
      <c r="E256" s="1874"/>
      <c r="F256" s="1874"/>
    </row>
    <row r="257" spans="1:9">
      <c r="A257" s="793"/>
      <c r="B257" s="793"/>
      <c r="C257" s="793"/>
      <c r="D257" s="800"/>
      <c r="E257" s="800"/>
      <c r="F257" s="800"/>
    </row>
    <row r="258" spans="1:9">
      <c r="A258" s="795"/>
      <c r="B258" s="795"/>
      <c r="C258" s="795"/>
      <c r="D258" s="1874" t="s">
        <v>275</v>
      </c>
      <c r="E258" s="1874"/>
      <c r="F258" s="1874"/>
      <c r="I258" s="1774" t="s">
        <v>2470</v>
      </c>
    </row>
    <row r="259" spans="1:9" ht="14.45" customHeight="1">
      <c r="A259" s="797"/>
      <c r="B259" s="798" t="s">
        <v>2655</v>
      </c>
      <c r="D259" s="1987" t="s">
        <v>1400</v>
      </c>
      <c r="E259" s="1987"/>
      <c r="F259" s="1987"/>
    </row>
    <row r="260" spans="1:9">
      <c r="D260" s="1987"/>
      <c r="E260" s="1987"/>
      <c r="F260" s="1987"/>
    </row>
    <row r="261" spans="1:9">
      <c r="D261" s="1958" t="s">
        <v>953</v>
      </c>
      <c r="E261" s="1958"/>
      <c r="F261" s="1958"/>
    </row>
    <row r="262" spans="1:9">
      <c r="D262" s="800"/>
      <c r="E262" s="800"/>
      <c r="F262" s="800"/>
    </row>
    <row r="263" spans="1:9" ht="14.45" customHeight="1">
      <c r="A263" s="797"/>
      <c r="B263" s="798" t="s">
        <v>2654</v>
      </c>
      <c r="D263" s="1955" t="s">
        <v>2262</v>
      </c>
      <c r="E263" s="1955"/>
      <c r="F263" s="1955"/>
      <c r="I263" s="1774" t="s">
        <v>2490</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25">
      <c r="A270" s="797"/>
      <c r="B270" s="798" t="s">
        <v>2654</v>
      </c>
      <c r="D270" s="1919" t="s">
        <v>1296</v>
      </c>
      <c r="E270" s="1919"/>
      <c r="F270" s="1919"/>
    </row>
    <row r="271" spans="1:9">
      <c r="D271" s="1919"/>
      <c r="E271" s="1919"/>
      <c r="F271" s="1919"/>
    </row>
    <row r="272" spans="1:9">
      <c r="D272" s="1919"/>
      <c r="E272" s="1919"/>
      <c r="F272" s="1919"/>
    </row>
    <row r="273" spans="1:9">
      <c r="D273" s="822"/>
      <c r="E273" s="800"/>
      <c r="F273" s="800"/>
    </row>
    <row r="274" spans="1:9">
      <c r="A274" s="1884" t="s">
        <v>1165</v>
      </c>
      <c r="B274" s="1884"/>
      <c r="C274" s="1884"/>
      <c r="D274" s="1884"/>
      <c r="E274" s="1884"/>
      <c r="F274" s="1884"/>
      <c r="G274" s="1884"/>
      <c r="H274" s="1853"/>
      <c r="I274" s="1854"/>
    </row>
    <row r="275" spans="1:9">
      <c r="D275" s="822"/>
      <c r="E275" s="800"/>
      <c r="F275" s="800"/>
    </row>
    <row r="276" spans="1:9">
      <c r="C276" s="793"/>
      <c r="D276" s="1957" t="s">
        <v>1298</v>
      </c>
      <c r="E276" s="1957"/>
      <c r="F276" s="1957"/>
    </row>
    <row r="277" spans="1:9">
      <c r="C277" s="793"/>
      <c r="D277" s="1957"/>
      <c r="E277" s="1957"/>
      <c r="F277" s="1957"/>
    </row>
    <row r="278" spans="1:9">
      <c r="A278" s="795"/>
      <c r="B278" s="795"/>
      <c r="C278" s="795"/>
      <c r="D278" s="622"/>
      <c r="E278" s="672"/>
      <c r="F278" s="672"/>
    </row>
    <row r="279" spans="1:9">
      <c r="C279" s="795"/>
      <c r="D279" s="1874" t="s">
        <v>215</v>
      </c>
      <c r="E279" s="1874"/>
      <c r="F279" s="1874"/>
    </row>
    <row r="280" spans="1:9" ht="15.75" customHeight="1">
      <c r="A280" s="797"/>
      <c r="B280" s="797"/>
      <c r="D280" s="1967" t="s">
        <v>1299</v>
      </c>
      <c r="E280" s="1967"/>
      <c r="F280" s="1967"/>
    </row>
    <row r="281" spans="1:9">
      <c r="E281" s="800"/>
      <c r="F281" s="800"/>
    </row>
    <row r="282" spans="1:9" ht="14.25">
      <c r="A282" s="797"/>
      <c r="B282" s="1775" t="s">
        <v>2654</v>
      </c>
      <c r="D282" s="1919" t="s">
        <v>1300</v>
      </c>
      <c r="E282" s="1919"/>
      <c r="F282" s="1919"/>
      <c r="I282" s="1774" t="s">
        <v>2432</v>
      </c>
    </row>
    <row r="283" spans="1:9" ht="14.25">
      <c r="A283" s="797"/>
      <c r="B283" s="797"/>
      <c r="D283" s="1919"/>
      <c r="E283" s="1919"/>
      <c r="F283" s="1919"/>
    </row>
    <row r="284" spans="1:9">
      <c r="D284" s="800"/>
      <c r="E284" s="800"/>
      <c r="F284" s="800"/>
    </row>
    <row r="285" spans="1:9" ht="14.25">
      <c r="A285" s="797"/>
      <c r="B285" s="1775" t="s">
        <v>2654</v>
      </c>
      <c r="D285" s="1955" t="s">
        <v>1301</v>
      </c>
      <c r="E285" s="1955"/>
      <c r="F285" s="1955"/>
      <c r="I285" s="1774" t="s">
        <v>2432</v>
      </c>
    </row>
    <row r="286" spans="1:9" ht="14.25">
      <c r="A286" s="797"/>
      <c r="B286" s="797"/>
      <c r="D286" s="1955"/>
      <c r="E286" s="1955"/>
      <c r="F286" s="1955"/>
    </row>
    <row r="287" spans="1:9" ht="14.25">
      <c r="A287" s="797"/>
      <c r="B287" s="797"/>
      <c r="D287" s="1955"/>
      <c r="E287" s="1955"/>
      <c r="F287" s="1955"/>
    </row>
    <row r="288" spans="1:9">
      <c r="D288" s="800"/>
      <c r="E288" s="800"/>
      <c r="F288" s="800"/>
    </row>
    <row r="289" spans="1:9" ht="14.25">
      <c r="A289" s="797"/>
      <c r="B289" s="1775" t="s">
        <v>2654</v>
      </c>
      <c r="D289" s="1919" t="s">
        <v>1302</v>
      </c>
      <c r="E289" s="1919"/>
      <c r="F289" s="1919"/>
      <c r="I289" s="1774" t="s">
        <v>2432</v>
      </c>
    </row>
    <row r="290" spans="1:9" ht="14.25">
      <c r="A290" s="797"/>
      <c r="B290" s="797"/>
      <c r="D290" s="1919"/>
      <c r="E290" s="1919"/>
      <c r="F290" s="1919"/>
    </row>
    <row r="291" spans="1:9">
      <c r="A291" s="816"/>
      <c r="B291" s="816"/>
      <c r="E291" s="800"/>
      <c r="F291" s="800"/>
    </row>
    <row r="292" spans="1:9">
      <c r="A292" s="1884" t="s">
        <v>1166</v>
      </c>
      <c r="B292" s="1884"/>
      <c r="C292" s="1884"/>
      <c r="D292" s="1884"/>
      <c r="E292" s="1884"/>
      <c r="F292" s="1884"/>
      <c r="G292" s="1884"/>
      <c r="H292" s="1853"/>
      <c r="I292" s="1854"/>
    </row>
    <row r="293" spans="1:9">
      <c r="A293" s="816"/>
      <c r="B293" s="816"/>
      <c r="D293" s="800"/>
      <c r="E293" s="800"/>
      <c r="F293" s="800"/>
    </row>
    <row r="294" spans="1:9">
      <c r="C294" s="816"/>
      <c r="D294" s="1874" t="s">
        <v>718</v>
      </c>
      <c r="E294" s="1874"/>
      <c r="F294" s="1874"/>
    </row>
    <row r="295" spans="1:9">
      <c r="C295" s="816"/>
      <c r="D295" s="1924" t="s">
        <v>1303</v>
      </c>
      <c r="E295" s="1924"/>
      <c r="F295" s="1924"/>
    </row>
    <row r="296" spans="1:9">
      <c r="C296" s="816"/>
      <c r="D296" s="823"/>
    </row>
    <row r="297" spans="1:9">
      <c r="A297" s="801"/>
      <c r="B297" s="1775" t="s">
        <v>2654</v>
      </c>
      <c r="D297" s="1924" t="s">
        <v>1304</v>
      </c>
      <c r="E297" s="1924"/>
      <c r="F297" s="1924"/>
      <c r="I297" s="1774" t="s">
        <v>2433</v>
      </c>
    </row>
    <row r="298" spans="1:9" s="791" customFormat="1" ht="14.25">
      <c r="A298" s="805"/>
      <c r="B298" s="805"/>
      <c r="C298" s="801"/>
      <c r="D298" s="824"/>
      <c r="E298" s="825"/>
      <c r="F298" s="825"/>
      <c r="G298" s="802"/>
      <c r="I298" s="1837"/>
    </row>
    <row r="299" spans="1:9" s="791" customFormat="1" ht="13.7" customHeight="1">
      <c r="A299" s="801"/>
      <c r="B299" s="1775" t="s">
        <v>2654</v>
      </c>
      <c r="C299" s="801"/>
      <c r="D299" s="1962" t="s">
        <v>1429</v>
      </c>
      <c r="E299" s="1962"/>
      <c r="F299" s="1962"/>
      <c r="G299" s="802"/>
      <c r="I299" s="1837" t="s">
        <v>2433</v>
      </c>
    </row>
    <row r="300" spans="1:9" s="791" customFormat="1" ht="14.25">
      <c r="A300" s="805"/>
      <c r="B300" s="805"/>
      <c r="C300" s="801"/>
      <c r="D300" s="1962"/>
      <c r="E300" s="1962"/>
      <c r="F300" s="1962"/>
      <c r="G300" s="802"/>
      <c r="I300" s="1837"/>
    </row>
    <row r="301" spans="1:9" s="791" customFormat="1" ht="14.25">
      <c r="A301" s="805"/>
      <c r="B301" s="805"/>
      <c r="C301" s="801"/>
      <c r="D301" s="1962"/>
      <c r="E301" s="1962"/>
      <c r="F301" s="1962"/>
      <c r="G301" s="802"/>
      <c r="I301" s="1837"/>
    </row>
    <row r="302" spans="1:9" s="791" customFormat="1" ht="14.25">
      <c r="A302" s="805"/>
      <c r="B302" s="805"/>
      <c r="C302" s="801"/>
      <c r="D302" s="1962"/>
      <c r="E302" s="1962"/>
      <c r="F302" s="1962"/>
      <c r="G302" s="802"/>
      <c r="I302" s="1837"/>
    </row>
    <row r="303" spans="1:9" s="791" customFormat="1" ht="14.25">
      <c r="A303" s="805"/>
      <c r="B303" s="805"/>
      <c r="C303" s="801"/>
      <c r="D303" s="1962"/>
      <c r="E303" s="1962"/>
      <c r="F303" s="1962"/>
      <c r="G303" s="802"/>
      <c r="I303" s="1837"/>
    </row>
    <row r="304" spans="1:9" s="791" customFormat="1" ht="14.25">
      <c r="A304" s="805"/>
      <c r="B304" s="805"/>
      <c r="C304" s="801"/>
      <c r="D304" s="824"/>
      <c r="E304" s="825"/>
      <c r="F304" s="825"/>
      <c r="G304" s="802"/>
      <c r="I304" s="1837"/>
    </row>
    <row r="305" spans="1:9" s="791" customFormat="1" ht="13.7" customHeight="1">
      <c r="A305" s="801"/>
      <c r="B305" s="1775" t="s">
        <v>2654</v>
      </c>
      <c r="C305" s="801"/>
      <c r="D305" s="1962" t="s">
        <v>1306</v>
      </c>
      <c r="E305" s="1962"/>
      <c r="F305" s="1962"/>
      <c r="G305" s="802"/>
      <c r="I305" s="1837" t="s">
        <v>2433</v>
      </c>
    </row>
    <row r="306" spans="1:9" s="791" customFormat="1">
      <c r="A306" s="801"/>
      <c r="B306" s="801"/>
      <c r="C306" s="801"/>
      <c r="D306" s="1962"/>
      <c r="E306" s="1962"/>
      <c r="F306" s="1962"/>
      <c r="G306" s="802"/>
      <c r="I306" s="1837"/>
    </row>
    <row r="307" spans="1:9" s="791" customFormat="1" ht="14.25">
      <c r="A307" s="805"/>
      <c r="B307" s="805"/>
      <c r="C307" s="801"/>
      <c r="D307" s="824"/>
      <c r="E307" s="825"/>
      <c r="F307" s="825"/>
      <c r="G307" s="802"/>
      <c r="I307" s="1837"/>
    </row>
    <row r="308" spans="1:9">
      <c r="A308" s="801"/>
      <c r="B308" s="1775" t="s">
        <v>2654</v>
      </c>
      <c r="D308" s="1924" t="s">
        <v>1307</v>
      </c>
      <c r="E308" s="1924"/>
      <c r="F308" s="1924"/>
      <c r="I308" s="1774" t="s">
        <v>2419</v>
      </c>
    </row>
    <row r="309" spans="1:9">
      <c r="E309" s="800"/>
      <c r="F309" s="800"/>
    </row>
    <row r="310" spans="1:9" ht="14.25">
      <c r="A310" s="797"/>
      <c r="B310" s="1775" t="s">
        <v>2654</v>
      </c>
      <c r="D310" s="1955" t="s">
        <v>1456</v>
      </c>
      <c r="E310" s="1955"/>
      <c r="F310" s="1955"/>
      <c r="I310" s="1774" t="s">
        <v>2434</v>
      </c>
    </row>
    <row r="311" spans="1:9" ht="14.25">
      <c r="A311" s="797"/>
      <c r="B311" s="797"/>
      <c r="D311" s="1955"/>
      <c r="E311" s="1955"/>
      <c r="F311" s="1955"/>
    </row>
    <row r="312" spans="1:9" ht="14.25">
      <c r="A312" s="797"/>
      <c r="B312" s="797"/>
      <c r="D312" s="1955"/>
      <c r="E312" s="1955"/>
      <c r="F312" s="1955"/>
    </row>
    <row r="313" spans="1:9" ht="14.25">
      <c r="A313" s="797"/>
      <c r="B313" s="797"/>
      <c r="D313" s="1955"/>
      <c r="E313" s="1955"/>
      <c r="F313" s="1955"/>
    </row>
    <row r="314" spans="1:9" ht="14.25">
      <c r="A314" s="797"/>
      <c r="B314" s="797"/>
      <c r="D314" s="1955"/>
      <c r="E314" s="1955"/>
      <c r="F314" s="1955"/>
    </row>
    <row r="315" spans="1:9" ht="14.25">
      <c r="A315" s="797"/>
      <c r="B315" s="797"/>
      <c r="D315" s="1955"/>
      <c r="E315" s="1955"/>
      <c r="F315" s="1955"/>
    </row>
    <row r="316" spans="1:9" ht="14.25">
      <c r="A316" s="797"/>
      <c r="B316" s="797"/>
      <c r="D316" s="1955"/>
      <c r="E316" s="1955"/>
      <c r="F316" s="1955"/>
    </row>
    <row r="317" spans="1:9" ht="14.25">
      <c r="A317" s="797"/>
      <c r="B317" s="797"/>
      <c r="D317" s="1955"/>
      <c r="E317" s="1955"/>
      <c r="F317" s="1955"/>
    </row>
    <row r="318" spans="1:9" ht="14.25">
      <c r="A318" s="797"/>
      <c r="B318" s="797"/>
      <c r="D318" s="1955"/>
      <c r="E318" s="1955"/>
      <c r="F318" s="1955"/>
    </row>
    <row r="319" spans="1:9" ht="14.25">
      <c r="A319" s="797"/>
      <c r="B319" s="797"/>
      <c r="D319" s="1955"/>
      <c r="E319" s="1955"/>
      <c r="F319" s="1955"/>
    </row>
    <row r="320" spans="1:9" ht="14.25">
      <c r="A320" s="797"/>
      <c r="B320" s="797"/>
      <c r="D320" s="1955"/>
      <c r="E320" s="1955"/>
      <c r="F320" s="1955"/>
    </row>
    <row r="321" spans="1:9" ht="14.25">
      <c r="A321" s="797"/>
      <c r="B321" s="797"/>
      <c r="D321" s="1955"/>
      <c r="E321" s="1955"/>
      <c r="F321" s="1955"/>
    </row>
    <row r="322" spans="1:9" ht="14.25">
      <c r="A322" s="797"/>
      <c r="B322" s="797"/>
      <c r="D322" s="1955"/>
      <c r="E322" s="1955"/>
      <c r="F322" s="1955"/>
    </row>
    <row r="323" spans="1:9" ht="14.25">
      <c r="A323" s="797"/>
      <c r="B323" s="797"/>
      <c r="D323" s="1955"/>
      <c r="E323" s="1955"/>
      <c r="F323" s="1955"/>
    </row>
    <row r="324" spans="1:9" ht="14.25">
      <c r="A324" s="797"/>
      <c r="B324" s="797"/>
      <c r="D324" s="1955"/>
      <c r="E324" s="1955"/>
      <c r="F324" s="1955"/>
    </row>
    <row r="325" spans="1:9">
      <c r="D325" s="800"/>
      <c r="E325" s="800"/>
      <c r="F325" s="800"/>
    </row>
    <row r="326" spans="1:9" ht="14.25">
      <c r="A326" s="797"/>
      <c r="B326" s="1775" t="s">
        <v>2654</v>
      </c>
      <c r="D326" s="1955" t="s">
        <v>1309</v>
      </c>
      <c r="E326" s="1955"/>
      <c r="F326" s="1955"/>
      <c r="I326" s="1774" t="s">
        <v>2434</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25">
      <c r="A336" s="797"/>
      <c r="B336" s="1775" t="s">
        <v>2654</v>
      </c>
      <c r="D336" s="1919" t="s">
        <v>1506</v>
      </c>
      <c r="E336" s="1919"/>
      <c r="F336" s="1919"/>
      <c r="I336" s="1774" t="s">
        <v>2471</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5" thickBot="1">
      <c r="A343" s="1828"/>
      <c r="B343" s="1828"/>
      <c r="C343" s="1828"/>
      <c r="D343" s="1986" t="s">
        <v>1059</v>
      </c>
      <c r="E343" s="1986"/>
      <c r="F343" s="1986"/>
      <c r="G343" s="1851"/>
      <c r="H343" s="1851"/>
      <c r="I343" s="1852"/>
    </row>
    <row r="344" spans="1:9" ht="13.5" thickTop="1">
      <c r="D344" s="1963" t="s">
        <v>1311</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2435</v>
      </c>
    </row>
    <row r="347" spans="1:9" ht="14.25">
      <c r="A347" s="797"/>
      <c r="B347" s="1775" t="s">
        <v>2654</v>
      </c>
      <c r="C347" s="829"/>
      <c r="D347" s="1924" t="s">
        <v>1320</v>
      </c>
      <c r="E347" s="1924"/>
      <c r="F347" s="1924"/>
      <c r="I347" s="1952" t="s">
        <v>2486</v>
      </c>
    </row>
    <row r="348" spans="1:9" ht="12.75" customHeight="1">
      <c r="D348" s="1928" t="s">
        <v>1454</v>
      </c>
      <c r="E348" s="1928"/>
      <c r="F348" s="1928"/>
      <c r="I348" s="1953"/>
    </row>
    <row r="349" spans="1:9">
      <c r="D349" s="1955" t="s">
        <v>1453</v>
      </c>
      <c r="E349" s="1955"/>
      <c r="F349" s="1955"/>
      <c r="I349" s="1953"/>
    </row>
    <row r="350" spans="1:9">
      <c r="D350" s="1955"/>
      <c r="E350" s="1955"/>
      <c r="F350" s="1955"/>
      <c r="I350" s="1953"/>
    </row>
    <row r="351" spans="1:9">
      <c r="D351" s="1955"/>
      <c r="E351" s="1955"/>
      <c r="F351" s="1955"/>
      <c r="I351" s="1954"/>
    </row>
    <row r="352" spans="1:9" ht="14.25">
      <c r="A352" s="797"/>
      <c r="B352" s="1775" t="s">
        <v>2654</v>
      </c>
      <c r="C352" s="814"/>
      <c r="D352" s="1931" t="s">
        <v>1312</v>
      </c>
      <c r="E352" s="1931"/>
      <c r="F352" s="1931"/>
      <c r="G352" s="790"/>
      <c r="I352" s="619"/>
    </row>
    <row r="353" spans="1:9">
      <c r="A353" s="814"/>
      <c r="B353" s="814"/>
      <c r="C353" s="814"/>
      <c r="D353" s="786"/>
      <c r="E353" s="786"/>
      <c r="F353" s="800"/>
      <c r="G353" s="790"/>
    </row>
    <row r="354" spans="1:9">
      <c r="A354" s="814"/>
      <c r="B354" s="1775" t="s">
        <v>2654</v>
      </c>
      <c r="C354" s="814"/>
      <c r="D354" s="1915" t="s">
        <v>1432</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6" customHeight="1">
      <c r="A367" s="814"/>
      <c r="B367" s="1775" t="s">
        <v>2654</v>
      </c>
      <c r="C367" s="814"/>
      <c r="D367" s="1959" t="s">
        <v>1433</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2654</v>
      </c>
      <c r="C372" s="1777"/>
      <c r="D372" s="1772" t="s">
        <v>2354</v>
      </c>
      <c r="E372" s="1778"/>
      <c r="F372" s="1778"/>
      <c r="I372" s="1774"/>
    </row>
    <row r="373" spans="1:9" s="1772" customFormat="1">
      <c r="A373" s="1777"/>
      <c r="B373" s="1777"/>
      <c r="C373" s="1777"/>
      <c r="D373" s="1772" t="s">
        <v>2355</v>
      </c>
      <c r="E373" s="1778"/>
      <c r="F373" s="1778"/>
      <c r="I373" s="1774"/>
    </row>
    <row r="374" spans="1:9" s="1772" customFormat="1">
      <c r="A374" s="1777"/>
      <c r="B374" s="1777"/>
      <c r="C374" s="1777"/>
      <c r="D374" s="1772" t="s">
        <v>2356</v>
      </c>
      <c r="E374" s="1778"/>
      <c r="F374" s="1778"/>
      <c r="I374" s="1774"/>
    </row>
    <row r="375" spans="1:9" s="1772" customFormat="1">
      <c r="A375" s="1777"/>
      <c r="B375" s="1777"/>
      <c r="C375" s="1777"/>
      <c r="D375" s="1772" t="s">
        <v>2357</v>
      </c>
      <c r="E375" s="1778"/>
      <c r="F375" s="1778"/>
      <c r="I375" s="1774"/>
    </row>
    <row r="376" spans="1:9" s="1772" customFormat="1">
      <c r="A376" s="1777"/>
      <c r="B376" s="1777"/>
      <c r="C376" s="1777"/>
      <c r="D376" s="1772" t="s">
        <v>2358</v>
      </c>
      <c r="E376" s="1778"/>
      <c r="F376" s="1778"/>
      <c r="I376" s="1774"/>
    </row>
    <row r="377" spans="1:9" s="1772" customFormat="1">
      <c r="A377" s="1777"/>
      <c r="B377" s="1777"/>
      <c r="C377" s="1777"/>
      <c r="D377" s="1772" t="s">
        <v>2359</v>
      </c>
      <c r="E377" s="1778"/>
      <c r="F377" s="1778"/>
      <c r="I377" s="1774"/>
    </row>
    <row r="378" spans="1:9">
      <c r="A378" s="814"/>
      <c r="B378" s="814"/>
      <c r="C378" s="814"/>
      <c r="D378" s="790"/>
      <c r="E378" s="786"/>
      <c r="F378" s="800"/>
      <c r="G378" s="790"/>
    </row>
    <row r="379" spans="1:9" ht="14.25">
      <c r="A379" s="797"/>
      <c r="B379" s="1775" t="s">
        <v>2654</v>
      </c>
      <c r="C379" s="814"/>
      <c r="D379" s="1934" t="s">
        <v>1314</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1315</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25" customHeight="1">
      <c r="A392" s="814"/>
      <c r="B392" s="814"/>
      <c r="C392" s="814"/>
      <c r="D392" s="1934"/>
      <c r="E392" s="1934"/>
      <c r="F392" s="1934"/>
      <c r="G392" s="790"/>
    </row>
    <row r="393" spans="1:7" ht="13.7" customHeight="1">
      <c r="A393" s="814"/>
      <c r="B393" s="814"/>
      <c r="C393" s="814"/>
      <c r="D393" s="1927" t="s">
        <v>1316</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1775" t="s">
        <v>2654</v>
      </c>
      <c r="C412" s="814"/>
      <c r="D412" s="1927" t="s">
        <v>1317</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45" customHeight="1">
      <c r="A415" s="797"/>
      <c r="B415" s="1775" t="s">
        <v>2654</v>
      </c>
      <c r="D415" s="1927" t="s">
        <v>2472</v>
      </c>
      <c r="E415" s="1927"/>
      <c r="F415" s="1927"/>
    </row>
    <row r="416" spans="1:7" ht="14.45" customHeight="1">
      <c r="A416" s="797"/>
      <c r="D416" s="1927"/>
      <c r="E416" s="1927"/>
      <c r="F416" s="1927"/>
    </row>
    <row r="417" spans="1:7" ht="14.45" customHeight="1">
      <c r="A417" s="797"/>
      <c r="D417" s="1927"/>
      <c r="E417" s="1927"/>
      <c r="F417" s="1927"/>
    </row>
    <row r="418" spans="1:7" ht="14.45" customHeight="1">
      <c r="A418" s="797"/>
      <c r="D418" s="1927"/>
      <c r="E418" s="1927"/>
      <c r="F418" s="1927"/>
    </row>
    <row r="419" spans="1:7" ht="14.45" customHeight="1">
      <c r="A419" s="797"/>
      <c r="D419" s="1927"/>
      <c r="E419" s="1927"/>
      <c r="F419" s="1927"/>
    </row>
    <row r="420" spans="1:7" ht="14.45" customHeight="1">
      <c r="A420" s="797"/>
      <c r="D420" s="878"/>
      <c r="E420" s="878"/>
      <c r="F420" s="878"/>
    </row>
    <row r="421" spans="1:7" ht="13.7" customHeight="1">
      <c r="A421" s="797"/>
      <c r="B421" s="1775" t="s">
        <v>2654</v>
      </c>
      <c r="C421" s="814"/>
      <c r="D421" s="1915" t="s">
        <v>1457</v>
      </c>
      <c r="E421" s="1915"/>
      <c r="F421" s="1915"/>
      <c r="G421" s="790"/>
    </row>
    <row r="422" spans="1:7" ht="14.25">
      <c r="A422" s="828"/>
      <c r="B422" s="828"/>
      <c r="C422" s="814"/>
      <c r="D422" s="1915"/>
      <c r="E422" s="1915"/>
      <c r="F422" s="1915"/>
      <c r="G422" s="790"/>
    </row>
    <row r="423" spans="1:7" ht="14.25">
      <c r="A423" s="828"/>
      <c r="B423" s="828"/>
      <c r="C423" s="814"/>
      <c r="D423" s="1915"/>
      <c r="E423" s="1915"/>
      <c r="F423" s="1915"/>
      <c r="G423" s="790"/>
    </row>
    <row r="424" spans="1:7" ht="14.25">
      <c r="A424" s="828"/>
      <c r="B424" s="828"/>
      <c r="C424" s="814"/>
      <c r="D424" s="1915"/>
      <c r="E424" s="1915"/>
      <c r="F424" s="1915"/>
      <c r="G424" s="790"/>
    </row>
    <row r="425" spans="1:7" ht="15.75" customHeight="1">
      <c r="A425" s="828"/>
      <c r="B425" s="828"/>
      <c r="C425" s="814"/>
      <c r="D425" s="1965" t="s">
        <v>1507</v>
      </c>
      <c r="E425" s="1915"/>
      <c r="F425" s="1915"/>
      <c r="G425" s="790"/>
    </row>
    <row r="426" spans="1:7">
      <c r="D426" s="800"/>
      <c r="E426" s="800"/>
      <c r="F426" s="800"/>
      <c r="G426" s="790"/>
    </row>
    <row r="427" spans="1:7" ht="14.25">
      <c r="A427" s="797"/>
      <c r="B427" s="1775" t="s">
        <v>2654</v>
      </c>
      <c r="C427" s="829"/>
      <c r="D427" s="1919" t="s">
        <v>1319</v>
      </c>
      <c r="E427" s="1919"/>
      <c r="F427" s="1919"/>
      <c r="G427" s="790"/>
    </row>
    <row r="428" spans="1:7" ht="14.25">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00000000000003" customHeight="1">
      <c r="A457" s="788"/>
      <c r="B457" s="788"/>
      <c r="C457" s="788"/>
      <c r="D457" s="1919"/>
      <c r="E457" s="1919"/>
      <c r="F457" s="1919"/>
      <c r="G457" s="830"/>
      <c r="I457" s="1840"/>
    </row>
    <row r="458" spans="1:9">
      <c r="D458" s="800"/>
      <c r="E458" s="800"/>
      <c r="F458" s="800"/>
      <c r="G458" s="790"/>
    </row>
    <row r="459" spans="1:9" ht="14.25">
      <c r="A459" s="797"/>
      <c r="B459" s="1775" t="s">
        <v>2654</v>
      </c>
      <c r="C459" s="829"/>
      <c r="D459" s="1919" t="s">
        <v>1322</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25">
      <c r="B463" s="1775" t="s">
        <v>2654</v>
      </c>
      <c r="C463" s="797"/>
      <c r="D463" s="1955" t="s">
        <v>1401</v>
      </c>
      <c r="E463" s="1955"/>
      <c r="F463" s="1955"/>
      <c r="G463" s="790"/>
    </row>
    <row r="464" spans="1:9">
      <c r="D464" s="1955"/>
      <c r="E464" s="1955"/>
      <c r="F464" s="1955"/>
      <c r="G464" s="790"/>
    </row>
    <row r="465" spans="1:7">
      <c r="D465" s="800"/>
      <c r="E465" s="800"/>
      <c r="F465" s="800"/>
      <c r="G465" s="790"/>
    </row>
    <row r="466" spans="1:7" ht="14.25">
      <c r="B466" s="1775" t="s">
        <v>2654</v>
      </c>
      <c r="C466" s="797"/>
      <c r="D466" s="1955" t="s">
        <v>1324</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1775" t="s">
        <v>2654</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1775" t="s">
        <v>2654</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1775" t="s">
        <v>2654</v>
      </c>
      <c r="C478" s="790"/>
      <c r="D478" s="1955"/>
      <c r="E478" s="1955"/>
      <c r="F478" s="1955"/>
      <c r="G478" s="790"/>
    </row>
    <row r="479" spans="1:7">
      <c r="A479" s="790"/>
      <c r="C479" s="790"/>
      <c r="D479" s="1955"/>
      <c r="E479" s="1955"/>
      <c r="F479" s="1955"/>
      <c r="G479" s="790"/>
    </row>
    <row r="480" spans="1:7">
      <c r="A480" s="790"/>
      <c r="B480" s="1775" t="s">
        <v>2654</v>
      </c>
      <c r="C480" s="790"/>
      <c r="D480" s="1955" t="s">
        <v>1325</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1775" t="s">
        <v>2654</v>
      </c>
      <c r="D486" s="1958" t="s">
        <v>1326</v>
      </c>
      <c r="E486" s="1958"/>
      <c r="F486" s="1958"/>
    </row>
    <row r="487" spans="1:9">
      <c r="A487" s="800"/>
      <c r="B487" s="800"/>
    </row>
    <row r="488" spans="1:9">
      <c r="A488" s="1884" t="s">
        <v>1167</v>
      </c>
      <c r="B488" s="1884"/>
      <c r="C488" s="1884"/>
      <c r="D488" s="1884"/>
      <c r="E488" s="1884"/>
      <c r="F488" s="1884"/>
      <c r="G488" s="1884"/>
      <c r="H488" s="1853"/>
      <c r="I488" s="1854"/>
    </row>
    <row r="489" spans="1:9">
      <c r="A489" s="800"/>
      <c r="B489" s="800"/>
    </row>
    <row r="490" spans="1:9">
      <c r="D490" s="1935" t="s">
        <v>947</v>
      </c>
      <c r="E490" s="1935"/>
      <c r="F490" s="1935"/>
    </row>
    <row r="491" spans="1:9" s="791" customFormat="1" ht="14.25">
      <c r="A491" s="805"/>
      <c r="B491" s="805"/>
      <c r="C491" s="801"/>
      <c r="D491" s="1936" t="s">
        <v>1327</v>
      </c>
      <c r="E491" s="1936"/>
      <c r="F491" s="1936"/>
      <c r="G491" s="802"/>
      <c r="I491" s="1837"/>
    </row>
    <row r="492" spans="1:9" s="791" customFormat="1" ht="14.25">
      <c r="A492" s="805"/>
      <c r="B492" s="805"/>
      <c r="C492" s="801"/>
      <c r="D492" s="787"/>
      <c r="E492" s="672"/>
      <c r="F492" s="672"/>
      <c r="G492" s="802"/>
      <c r="I492" s="1837"/>
    </row>
    <row r="493" spans="1:9" s="791" customFormat="1" ht="14.25">
      <c r="A493" s="797"/>
      <c r="B493" s="798" t="s">
        <v>2655</v>
      </c>
      <c r="C493" s="801"/>
      <c r="D493" s="1937" t="s">
        <v>1328</v>
      </c>
      <c r="E493" s="1937"/>
      <c r="F493" s="1937"/>
      <c r="G493" s="802"/>
      <c r="I493" s="1837" t="s">
        <v>2436</v>
      </c>
    </row>
    <row r="494" spans="1:9" s="791" customFormat="1" ht="14.25">
      <c r="A494" s="797"/>
      <c r="B494" s="797"/>
      <c r="C494" s="801"/>
      <c r="D494" s="1937"/>
      <c r="E494" s="1937"/>
      <c r="F494" s="1937"/>
      <c r="G494" s="802"/>
      <c r="I494" s="1837"/>
    </row>
    <row r="495" spans="1:9" s="791" customFormat="1" ht="14.25">
      <c r="A495" s="797"/>
      <c r="B495" s="797"/>
      <c r="C495" s="801"/>
      <c r="D495" s="785"/>
      <c r="E495" s="672"/>
      <c r="F495" s="672"/>
      <c r="G495" s="802"/>
      <c r="I495" s="1837"/>
    </row>
    <row r="496" spans="1:9" ht="12.75" customHeight="1">
      <c r="B496" s="798" t="s">
        <v>2655</v>
      </c>
      <c r="D496" s="1907" t="s">
        <v>1508</v>
      </c>
      <c r="E496" s="1907"/>
      <c r="F496" s="1907"/>
      <c r="I496" s="1774" t="s">
        <v>2437</v>
      </c>
    </row>
    <row r="497" spans="1:9" ht="14.25">
      <c r="A497" s="797"/>
      <c r="D497" s="1907"/>
      <c r="E497" s="1907"/>
      <c r="F497" s="1907"/>
    </row>
    <row r="498" spans="1:9" ht="14.25">
      <c r="A498" s="797"/>
      <c r="B498" s="797"/>
      <c r="D498" s="1907"/>
      <c r="E498" s="1907"/>
      <c r="F498" s="1907"/>
    </row>
    <row r="499" spans="1:9" ht="14.25">
      <c r="A499" s="797"/>
      <c r="B499" s="797"/>
      <c r="D499" s="1907"/>
      <c r="E499" s="1907"/>
      <c r="F499" s="1907"/>
    </row>
    <row r="500" spans="1:9" ht="14.25">
      <c r="A500" s="797"/>
      <c r="D500" s="893"/>
      <c r="E500" s="893"/>
      <c r="F500" s="893"/>
      <c r="G500" s="790"/>
    </row>
    <row r="501" spans="1:9" ht="14.25">
      <c r="A501" s="797"/>
      <c r="B501" s="798" t="s">
        <v>2655</v>
      </c>
      <c r="D501" s="1924" t="s">
        <v>1331</v>
      </c>
      <c r="E501" s="1924"/>
      <c r="F501" s="1924"/>
      <c r="G501" s="790"/>
      <c r="I501" s="1774" t="s">
        <v>2438</v>
      </c>
    </row>
    <row r="502" spans="1:9" ht="14.25">
      <c r="A502" s="797"/>
      <c r="B502" s="797"/>
      <c r="D502" s="785"/>
      <c r="E502" s="672"/>
      <c r="F502" s="672"/>
      <c r="G502" s="790"/>
    </row>
    <row r="503" spans="1:9" ht="14.25">
      <c r="A503" s="797"/>
      <c r="B503" s="798" t="s">
        <v>2655</v>
      </c>
      <c r="D503" s="1919" t="s">
        <v>1332</v>
      </c>
      <c r="E503" s="1919"/>
      <c r="F503" s="1919"/>
      <c r="G503" s="790"/>
      <c r="I503" s="1774" t="s">
        <v>2438</v>
      </c>
    </row>
    <row r="504" spans="1:9" ht="14.25">
      <c r="A504" s="797"/>
      <c r="D504" s="1919"/>
      <c r="E504" s="1919"/>
      <c r="F504" s="1919"/>
      <c r="G504" s="790"/>
    </row>
    <row r="505" spans="1:9">
      <c r="A505" s="816"/>
      <c r="B505" s="816"/>
      <c r="D505" s="733"/>
      <c r="E505" s="672"/>
      <c r="F505" s="672"/>
      <c r="G505" s="790"/>
    </row>
    <row r="506" spans="1:9">
      <c r="A506" s="816"/>
      <c r="B506" s="798" t="s">
        <v>2654</v>
      </c>
      <c r="D506" s="1924" t="s">
        <v>1333</v>
      </c>
      <c r="E506" s="1924"/>
      <c r="F506" s="1924"/>
      <c r="G506" s="790"/>
      <c r="I506" s="1774" t="s">
        <v>2493</v>
      </c>
    </row>
    <row r="507" spans="1:9" ht="14.25">
      <c r="A507" s="797"/>
      <c r="B507" s="797"/>
      <c r="D507" s="800"/>
    </row>
    <row r="508" spans="1:9">
      <c r="A508" s="1884" t="s">
        <v>1168</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0" t="s">
        <v>850</v>
      </c>
      <c r="E510" s="1960"/>
      <c r="F510" s="1960"/>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2655</v>
      </c>
      <c r="C514" s="799"/>
      <c r="D514" s="1918" t="s">
        <v>2264</v>
      </c>
      <c r="E514" s="1918"/>
      <c r="F514" s="1918"/>
      <c r="G514" s="672"/>
      <c r="I514" s="622" t="s">
        <v>2473</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1775" t="s">
        <v>2654</v>
      </c>
      <c r="C517" s="804"/>
      <c r="D517" s="1918" t="s">
        <v>1206</v>
      </c>
      <c r="E517" s="1918"/>
      <c r="F517" s="1918"/>
      <c r="G517" s="672"/>
      <c r="I517" s="622" t="s">
        <v>2439</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35" customHeight="1">
      <c r="A521" s="795"/>
      <c r="B521" s="1775" t="s">
        <v>2654</v>
      </c>
      <c r="C521" s="799"/>
      <c r="D521" s="1964" t="s">
        <v>1232</v>
      </c>
      <c r="E521" s="1964"/>
      <c r="F521" s="1964"/>
      <c r="G521" s="672"/>
      <c r="I521" s="622" t="s">
        <v>2439</v>
      </c>
    </row>
    <row r="522" spans="1:9" s="722" customFormat="1">
      <c r="A522" s="795"/>
      <c r="B522" s="795"/>
      <c r="C522" s="799"/>
      <c r="D522" s="1964"/>
      <c r="E522" s="1964"/>
      <c r="F522" s="1964"/>
      <c r="G522" s="672"/>
      <c r="I522" s="622"/>
    </row>
    <row r="523" spans="1:9" s="722" customFormat="1" ht="12" customHeight="1">
      <c r="A523" s="800"/>
      <c r="B523" s="800"/>
      <c r="C523" s="808"/>
      <c r="D523" s="800"/>
      <c r="E523" s="672"/>
      <c r="F523" s="835"/>
      <c r="G523" s="672"/>
      <c r="I523" s="622"/>
    </row>
    <row r="524" spans="1:9">
      <c r="A524" s="1884" t="s">
        <v>1169</v>
      </c>
      <c r="B524" s="1884"/>
      <c r="C524" s="1884"/>
      <c r="D524" s="1884"/>
      <c r="E524" s="1884"/>
      <c r="F524" s="1884"/>
      <c r="G524" s="1884"/>
      <c r="H524" s="1853"/>
      <c r="I524" s="1854"/>
    </row>
    <row r="525" spans="1:9">
      <c r="A525" s="800"/>
      <c r="B525" s="800"/>
      <c r="C525" s="829"/>
      <c r="F525" s="836"/>
    </row>
    <row r="526" spans="1:9">
      <c r="B526" s="1956" t="s">
        <v>469</v>
      </c>
      <c r="C526" s="1956"/>
      <c r="D526" s="1956"/>
      <c r="E526" s="1956"/>
      <c r="F526" s="1956"/>
    </row>
    <row r="527" spans="1:9">
      <c r="A527" s="800"/>
      <c r="B527" s="800"/>
      <c r="C527" s="829"/>
      <c r="D527" s="800"/>
      <c r="F527" s="800"/>
    </row>
    <row r="528" spans="1:9">
      <c r="A528" s="1885" t="s">
        <v>1170</v>
      </c>
      <c r="B528" s="1885"/>
      <c r="C528" s="1885"/>
      <c r="D528" s="1885"/>
      <c r="E528" s="1885"/>
      <c r="F528" s="1885"/>
      <c r="G528" s="1885"/>
      <c r="H528" s="1853"/>
      <c r="I528" s="1854"/>
    </row>
    <row r="529" spans="1:9">
      <c r="A529" s="800"/>
      <c r="B529" s="800"/>
      <c r="C529" s="829"/>
      <c r="D529" s="800"/>
      <c r="F529" s="800"/>
    </row>
    <row r="530" spans="1:9">
      <c r="C530" s="829"/>
      <c r="D530" s="1874" t="s">
        <v>719</v>
      </c>
      <c r="E530" s="1874"/>
      <c r="F530" s="1874"/>
    </row>
    <row r="531" spans="1:9">
      <c r="C531" s="829"/>
      <c r="D531" s="1924" t="s">
        <v>1227</v>
      </c>
      <c r="E531" s="1924"/>
      <c r="F531" s="1924"/>
    </row>
    <row r="532" spans="1:9">
      <c r="C532" s="829"/>
      <c r="D532" s="785"/>
      <c r="E532" s="785"/>
      <c r="F532" s="785"/>
    </row>
    <row r="533" spans="1:9" ht="13.7" customHeight="1">
      <c r="A533" s="797"/>
      <c r="B533" s="798" t="s">
        <v>2655</v>
      </c>
      <c r="C533" s="829"/>
      <c r="D533" s="1924" t="s">
        <v>948</v>
      </c>
      <c r="E533" s="1924"/>
      <c r="F533" s="1924"/>
      <c r="G533" s="790"/>
      <c r="I533" s="1774" t="s">
        <v>2491</v>
      </c>
    </row>
    <row r="534" spans="1:9" ht="13.7" customHeight="1">
      <c r="A534" s="829"/>
      <c r="B534" s="829"/>
      <c r="C534" s="829"/>
      <c r="D534" s="785"/>
      <c r="E534" s="618"/>
      <c r="F534" s="618"/>
      <c r="G534" s="790"/>
    </row>
    <row r="535" spans="1:9" ht="14.25">
      <c r="A535" s="797"/>
      <c r="B535" s="1775" t="s">
        <v>2655</v>
      </c>
      <c r="C535" s="829"/>
      <c r="D535" s="1919" t="s">
        <v>1228</v>
      </c>
      <c r="E535" s="1919"/>
      <c r="F535" s="1919"/>
      <c r="G535" s="790"/>
      <c r="I535" s="1774" t="s">
        <v>2491</v>
      </c>
    </row>
    <row r="536" spans="1:9">
      <c r="A536" s="829"/>
      <c r="B536" s="829"/>
      <c r="C536" s="829"/>
      <c r="D536" s="1919"/>
      <c r="E536" s="1919"/>
      <c r="F536" s="1919"/>
      <c r="G536" s="790"/>
    </row>
    <row r="537" spans="1:9">
      <c r="A537" s="829"/>
      <c r="B537" s="829"/>
      <c r="C537" s="829"/>
      <c r="D537" s="800"/>
      <c r="E537" s="800"/>
      <c r="F537" s="800"/>
      <c r="G537" s="790"/>
    </row>
    <row r="538" spans="1:9" ht="14.25">
      <c r="A538" s="797"/>
      <c r="B538" s="1775" t="s">
        <v>2655</v>
      </c>
      <c r="C538" s="829"/>
      <c r="D538" s="1919" t="s">
        <v>1229</v>
      </c>
      <c r="E538" s="1919"/>
      <c r="F538" s="1919"/>
      <c r="G538" s="790"/>
      <c r="I538" s="1774" t="s">
        <v>2440</v>
      </c>
    </row>
    <row r="539" spans="1:9">
      <c r="A539" s="829"/>
      <c r="B539" s="829"/>
      <c r="C539" s="829"/>
      <c r="D539" s="1919"/>
      <c r="E539" s="1919"/>
      <c r="F539" s="1919"/>
      <c r="G539" s="790"/>
    </row>
    <row r="540" spans="1:9">
      <c r="A540" s="829"/>
      <c r="B540" s="829"/>
      <c r="C540" s="829"/>
      <c r="D540" s="800"/>
      <c r="E540" s="800"/>
      <c r="F540" s="800"/>
      <c r="G540" s="790"/>
    </row>
    <row r="541" spans="1:9" ht="14.25">
      <c r="A541" s="797"/>
      <c r="B541" s="1775" t="s">
        <v>2655</v>
      </c>
      <c r="C541" s="829"/>
      <c r="D541" s="1919" t="s">
        <v>1230</v>
      </c>
      <c r="E541" s="1919"/>
      <c r="F541" s="1919"/>
      <c r="G541" s="790"/>
      <c r="I541" s="1774" t="s">
        <v>2441</v>
      </c>
    </row>
    <row r="542" spans="1:9">
      <c r="A542" s="829"/>
      <c r="B542" s="829"/>
      <c r="C542" s="829"/>
      <c r="D542" s="1919"/>
      <c r="E542" s="1919"/>
      <c r="F542" s="1919"/>
      <c r="G542" s="790"/>
    </row>
    <row r="543" spans="1:9">
      <c r="A543" s="829"/>
      <c r="B543" s="829"/>
      <c r="C543" s="829"/>
      <c r="D543" s="800"/>
      <c r="E543" s="800"/>
      <c r="F543" s="800"/>
      <c r="G543" s="790"/>
    </row>
    <row r="544" spans="1:9" ht="14.25">
      <c r="A544" s="797"/>
      <c r="B544" s="1775" t="s">
        <v>2655</v>
      </c>
      <c r="C544" s="829"/>
      <c r="D544" s="1919" t="s">
        <v>1231</v>
      </c>
      <c r="E544" s="1919"/>
      <c r="F544" s="1919"/>
      <c r="G544" s="790"/>
      <c r="I544" s="1774" t="s">
        <v>2492</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25">
      <c r="A548" s="797"/>
      <c r="B548" s="1775" t="s">
        <v>2654</v>
      </c>
      <c r="C548" s="829"/>
      <c r="D548" s="1964" t="s">
        <v>1349</v>
      </c>
      <c r="E548" s="1964"/>
      <c r="F548" s="1964"/>
      <c r="I548" s="1774" t="s">
        <v>2491</v>
      </c>
    </row>
    <row r="549" spans="1:9">
      <c r="A549" s="829"/>
      <c r="B549" s="829"/>
      <c r="C549" s="829"/>
      <c r="D549" s="1964"/>
      <c r="E549" s="1964"/>
      <c r="F549" s="1964"/>
    </row>
    <row r="550" spans="1:9">
      <c r="A550" s="829"/>
      <c r="B550" s="829"/>
      <c r="C550" s="829"/>
      <c r="D550" s="800"/>
      <c r="E550" s="800"/>
      <c r="F550" s="800"/>
    </row>
    <row r="551" spans="1:9" ht="14.25">
      <c r="A551" s="797"/>
      <c r="B551" s="798" t="s">
        <v>2655</v>
      </c>
      <c r="C551" s="829"/>
      <c r="D551" s="1919" t="s">
        <v>1233</v>
      </c>
      <c r="E551" s="1919"/>
      <c r="F551" s="1919"/>
      <c r="I551" s="1774" t="s">
        <v>2491</v>
      </c>
    </row>
    <row r="552" spans="1:9">
      <c r="A552" s="829"/>
      <c r="B552" s="829"/>
      <c r="C552" s="829"/>
      <c r="D552" s="1919"/>
      <c r="E552" s="1919"/>
      <c r="F552" s="1919"/>
      <c r="G552" s="819"/>
    </row>
    <row r="553" spans="1:9">
      <c r="A553" s="829"/>
      <c r="B553" s="829"/>
      <c r="C553" s="829"/>
      <c r="D553" s="800"/>
      <c r="E553" s="800"/>
      <c r="F553" s="800"/>
      <c r="G553" s="819"/>
    </row>
    <row r="554" spans="1:9" ht="14.25">
      <c r="A554" s="797"/>
      <c r="B554" s="1775" t="s">
        <v>2655</v>
      </c>
      <c r="C554" s="829"/>
      <c r="D554" s="1924" t="s">
        <v>1234</v>
      </c>
      <c r="E554" s="1924"/>
      <c r="F554" s="1924"/>
      <c r="G554" s="819"/>
      <c r="I554" s="1774" t="s">
        <v>2494</v>
      </c>
    </row>
    <row r="555" spans="1:9">
      <c r="A555" s="816"/>
      <c r="B555" s="816"/>
      <c r="C555" s="829"/>
      <c r="D555" s="1924" t="s">
        <v>880</v>
      </c>
      <c r="E555" s="1924"/>
      <c r="F555" s="1924"/>
      <c r="G555" s="819"/>
    </row>
    <row r="556" spans="1:9">
      <c r="A556" s="816"/>
      <c r="B556" s="816"/>
      <c r="C556" s="829"/>
      <c r="D556" s="672"/>
      <c r="E556" s="1967" t="s">
        <v>1235</v>
      </c>
      <c r="F556" s="1967"/>
      <c r="G556" s="819"/>
    </row>
    <row r="557" spans="1:9" ht="14.25">
      <c r="A557" s="797"/>
      <c r="B557" s="797"/>
      <c r="C557" s="829"/>
      <c r="E557" s="800"/>
      <c r="F557" s="800"/>
      <c r="G557" s="819"/>
    </row>
    <row r="558" spans="1:9" ht="14.25">
      <c r="A558" s="797"/>
      <c r="B558" s="1775" t="s">
        <v>2655</v>
      </c>
      <c r="C558" s="829"/>
      <c r="D558" s="1966" t="s">
        <v>1236</v>
      </c>
      <c r="E558" s="1966"/>
      <c r="F558" s="1966"/>
      <c r="G558" s="819"/>
      <c r="I558" s="1774" t="s">
        <v>2442</v>
      </c>
    </row>
    <row r="559" spans="1:9">
      <c r="C559" s="829"/>
      <c r="D559" s="1919" t="s">
        <v>1237</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25">
      <c r="A563" s="797"/>
      <c r="B563" s="1775" t="s">
        <v>2655</v>
      </c>
      <c r="C563" s="829"/>
      <c r="D563" s="1919" t="s">
        <v>1238</v>
      </c>
      <c r="E563" s="1919"/>
      <c r="F563" s="1919"/>
      <c r="G563" s="819"/>
      <c r="I563" s="1774" t="s">
        <v>2443</v>
      </c>
    </row>
    <row r="564" spans="1:9" ht="14.25">
      <c r="A564" s="797"/>
      <c r="B564" s="797"/>
      <c r="C564" s="829"/>
      <c r="D564" s="1919"/>
      <c r="E564" s="1919"/>
      <c r="F564" s="1919"/>
      <c r="G564" s="819"/>
    </row>
    <row r="565" spans="1:9" ht="14.25">
      <c r="A565" s="797"/>
      <c r="B565" s="797"/>
      <c r="C565" s="829"/>
      <c r="D565" s="1919"/>
      <c r="E565" s="1919"/>
      <c r="F565" s="1919"/>
      <c r="G565" s="819"/>
    </row>
    <row r="566" spans="1:9" ht="14.25">
      <c r="A566" s="797"/>
      <c r="B566" s="797"/>
      <c r="C566" s="829"/>
      <c r="D566" s="1919"/>
      <c r="E566" s="1919"/>
      <c r="F566" s="1919"/>
      <c r="G566" s="819"/>
    </row>
    <row r="567" spans="1:9" ht="14.25">
      <c r="A567" s="797"/>
      <c r="B567" s="797"/>
      <c r="C567" s="829"/>
      <c r="D567" s="800"/>
      <c r="E567" s="800"/>
      <c r="F567" s="800"/>
      <c r="G567" s="819"/>
    </row>
    <row r="568" spans="1:9">
      <c r="A568" s="1884" t="s">
        <v>1171</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57" t="s">
        <v>216</v>
      </c>
      <c r="E570" s="1957"/>
      <c r="F570" s="1957"/>
      <c r="G570" s="819"/>
    </row>
    <row r="571" spans="1:9">
      <c r="A571" s="795"/>
      <c r="B571" s="795"/>
      <c r="C571" s="795"/>
      <c r="D571" s="1906" t="s">
        <v>1187</v>
      </c>
      <c r="E571" s="1906"/>
      <c r="F571" s="1906"/>
      <c r="G571" s="819"/>
    </row>
    <row r="572" spans="1:9">
      <c r="A572" s="790"/>
      <c r="B572" s="790"/>
      <c r="C572" s="795"/>
      <c r="D572" s="837"/>
      <c r="G572" s="819"/>
      <c r="I572" s="1774" t="s">
        <v>2444</v>
      </c>
    </row>
    <row r="573" spans="1:9">
      <c r="A573" s="795"/>
      <c r="B573" s="1775" t="s">
        <v>2655</v>
      </c>
      <c r="D573" s="1906" t="s">
        <v>954</v>
      </c>
      <c r="E573" s="1906"/>
      <c r="F573" s="1906"/>
      <c r="G573" s="819"/>
    </row>
    <row r="574" spans="1:9">
      <c r="A574" s="816"/>
      <c r="B574" s="816"/>
      <c r="D574" s="814"/>
    </row>
    <row r="575" spans="1:9">
      <c r="A575" s="816"/>
      <c r="B575" s="1775" t="s">
        <v>2655</v>
      </c>
      <c r="D575" s="1907" t="s">
        <v>1188</v>
      </c>
      <c r="E575" s="1907"/>
      <c r="F575" s="1907"/>
      <c r="I575" s="1774" t="s">
        <v>2446</v>
      </c>
    </row>
    <row r="576" spans="1:9">
      <c r="A576" s="816"/>
      <c r="B576" s="816"/>
      <c r="D576" s="1907"/>
      <c r="E576" s="1907"/>
      <c r="F576" s="1907"/>
      <c r="G576" s="790"/>
      <c r="I576" s="1774" t="s">
        <v>2445</v>
      </c>
    </row>
    <row r="577" spans="1:9">
      <c r="A577" s="816"/>
      <c r="B577" s="816"/>
      <c r="D577" s="1907"/>
      <c r="E577" s="1907"/>
      <c r="F577" s="1907"/>
      <c r="G577" s="790"/>
    </row>
    <row r="578" spans="1:9">
      <c r="A578" s="816"/>
      <c r="B578" s="816"/>
      <c r="D578" s="1907"/>
      <c r="E578" s="1907"/>
      <c r="F578" s="1907"/>
      <c r="G578" s="790"/>
    </row>
    <row r="579" spans="1:9">
      <c r="A579" s="816"/>
      <c r="B579" s="798" t="s">
        <v>2654</v>
      </c>
      <c r="D579" s="1907" t="s">
        <v>1189</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1775" t="s">
        <v>2655</v>
      </c>
      <c r="D584" s="1907" t="s">
        <v>1190</v>
      </c>
      <c r="E584" s="1907"/>
      <c r="F584" s="1907"/>
      <c r="G584" s="790"/>
    </row>
    <row r="585" spans="1:9">
      <c r="A585" s="816"/>
      <c r="B585" s="816"/>
      <c r="D585" s="1907"/>
      <c r="E585" s="1907"/>
      <c r="F585" s="1907"/>
      <c r="G585" s="790"/>
    </row>
    <row r="586" spans="1:9">
      <c r="A586" s="816"/>
      <c r="B586" s="816"/>
      <c r="D586" s="837"/>
      <c r="G586" s="790"/>
    </row>
    <row r="587" spans="1:9">
      <c r="A587" s="816"/>
      <c r="B587" s="1775" t="s">
        <v>2654</v>
      </c>
      <c r="D587" s="1906" t="s">
        <v>1191</v>
      </c>
      <c r="E587" s="1906"/>
      <c r="F587" s="1906"/>
      <c r="G587" s="790"/>
      <c r="I587" s="1774" t="s">
        <v>2495</v>
      </c>
    </row>
    <row r="588" spans="1:9">
      <c r="A588" s="816"/>
      <c r="B588" s="816"/>
      <c r="D588" s="1906"/>
      <c r="E588" s="1906"/>
      <c r="F588" s="1906"/>
      <c r="G588" s="790"/>
    </row>
    <row r="589" spans="1:9" ht="14.25">
      <c r="A589" s="797"/>
      <c r="B589" s="797"/>
      <c r="D589" s="837"/>
      <c r="G589" s="790"/>
    </row>
    <row r="590" spans="1:9">
      <c r="A590" s="1884" t="s">
        <v>1172</v>
      </c>
      <c r="B590" s="1884"/>
      <c r="C590" s="1884"/>
      <c r="D590" s="1884"/>
      <c r="E590" s="1884"/>
      <c r="F590" s="1884"/>
      <c r="G590" s="1884"/>
      <c r="H590" s="1853"/>
      <c r="I590" s="1854"/>
    </row>
    <row r="591" spans="1:9"/>
    <row r="592" spans="1:9">
      <c r="D592" s="1874" t="s">
        <v>1272</v>
      </c>
      <c r="E592" s="1874"/>
      <c r="F592" s="1874"/>
    </row>
    <row r="593" spans="1:9">
      <c r="D593" s="1875" t="s">
        <v>1273</v>
      </c>
      <c r="E593" s="1875"/>
      <c r="F593" s="1875"/>
    </row>
    <row r="594" spans="1:9">
      <c r="D594" s="780"/>
      <c r="E594" s="722"/>
      <c r="F594" s="722"/>
    </row>
    <row r="595" spans="1:9" s="791" customFormat="1" ht="14.25">
      <c r="A595" s="805"/>
      <c r="B595" s="1775" t="s">
        <v>2655</v>
      </c>
      <c r="C595" s="801"/>
      <c r="D595" s="1876" t="s">
        <v>1274</v>
      </c>
      <c r="E595" s="1876"/>
      <c r="F595" s="1876"/>
      <c r="G595" s="802"/>
      <c r="I595" s="1837" t="s">
        <v>2474</v>
      </c>
    </row>
    <row r="596" spans="1:9">
      <c r="D596" s="1876"/>
      <c r="E596" s="1876"/>
      <c r="F596" s="1876"/>
    </row>
    <row r="597" spans="1:9">
      <c r="D597" s="1876"/>
      <c r="E597" s="1876"/>
      <c r="F597" s="1876"/>
    </row>
    <row r="598" spans="1:9"/>
    <row r="599" spans="1:9">
      <c r="A599" s="1884" t="s">
        <v>1173</v>
      </c>
      <c r="B599" s="1884"/>
      <c r="C599" s="1884"/>
      <c r="D599" s="1884"/>
      <c r="E599" s="1884"/>
      <c r="F599" s="1884"/>
      <c r="G599" s="1884"/>
      <c r="H599" s="1853"/>
      <c r="I599" s="1854"/>
    </row>
    <row r="600" spans="1:9">
      <c r="A600" s="800"/>
      <c r="B600" s="800"/>
      <c r="G600" s="819"/>
    </row>
    <row r="601" spans="1:9">
      <c r="A601" s="838"/>
      <c r="B601" s="838"/>
      <c r="C601" s="793"/>
      <c r="D601" s="1877" t="s">
        <v>1275</v>
      </c>
      <c r="E601" s="1877"/>
      <c r="F601" s="1877"/>
      <c r="G601" s="819"/>
    </row>
    <row r="602" spans="1:9">
      <c r="A602" s="838"/>
      <c r="B602" s="838"/>
      <c r="C602" s="793"/>
      <c r="D602" s="1877"/>
      <c r="E602" s="1877"/>
      <c r="F602" s="1877"/>
      <c r="G602" s="819"/>
    </row>
    <row r="603" spans="1:9">
      <c r="C603" s="795"/>
      <c r="D603" s="1875" t="s">
        <v>1276</v>
      </c>
      <c r="E603" s="1875"/>
      <c r="F603" s="1875"/>
      <c r="G603" s="819"/>
    </row>
    <row r="604" spans="1:9">
      <c r="C604" s="795"/>
      <c r="D604" s="780"/>
      <c r="E604" s="780"/>
      <c r="F604" s="780"/>
      <c r="G604" s="819"/>
    </row>
    <row r="605" spans="1:9" ht="12.75" customHeight="1">
      <c r="A605" s="816"/>
      <c r="B605" s="1775" t="s">
        <v>2655</v>
      </c>
      <c r="D605" s="1878" t="s">
        <v>1277</v>
      </c>
      <c r="E605" s="1878"/>
      <c r="F605" s="1878"/>
      <c r="G605" s="819"/>
      <c r="I605" s="1774" t="s">
        <v>2496</v>
      </c>
    </row>
    <row r="606" spans="1:9">
      <c r="D606" s="1878"/>
      <c r="E606" s="1878"/>
      <c r="F606" s="1878"/>
      <c r="G606" s="819"/>
    </row>
    <row r="607" spans="1:9">
      <c r="D607" s="790"/>
      <c r="G607" s="819"/>
    </row>
    <row r="608" spans="1:9">
      <c r="B608" s="1775" t="s">
        <v>2655</v>
      </c>
      <c r="D608" s="1878" t="s">
        <v>1278</v>
      </c>
      <c r="E608" s="1878"/>
      <c r="F608" s="1878"/>
      <c r="G608" s="819"/>
      <c r="I608" s="1774" t="s">
        <v>2447</v>
      </c>
    </row>
    <row r="609" spans="1:9">
      <c r="C609" s="839"/>
      <c r="D609" s="1878"/>
      <c r="E609" s="1878"/>
      <c r="F609" s="1878"/>
      <c r="G609" s="819"/>
    </row>
    <row r="610" spans="1:9">
      <c r="C610" s="839"/>
      <c r="G610" s="819"/>
    </row>
    <row r="611" spans="1:9">
      <c r="B611" s="798" t="s">
        <v>2654</v>
      </c>
      <c r="C611" s="839"/>
      <c r="D611" s="1878" t="s">
        <v>1279</v>
      </c>
      <c r="E611" s="1878"/>
      <c r="F611" s="1878"/>
      <c r="G611" s="819"/>
      <c r="I611" s="1774" t="s">
        <v>2497</v>
      </c>
    </row>
    <row r="612" spans="1:9">
      <c r="C612" s="839"/>
      <c r="D612" s="1878"/>
      <c r="E612" s="1878"/>
      <c r="F612" s="1878"/>
      <c r="G612" s="819"/>
      <c r="I612" s="1850" t="s">
        <v>2498</v>
      </c>
    </row>
    <row r="613" spans="1:9">
      <c r="C613" s="839"/>
      <c r="G613" s="819"/>
    </row>
    <row r="614" spans="1:9">
      <c r="A614" s="1884" t="s">
        <v>1174</v>
      </c>
      <c r="B614" s="1884"/>
      <c r="C614" s="1884"/>
      <c r="D614" s="1884"/>
      <c r="E614" s="1884"/>
      <c r="F614" s="1884"/>
      <c r="G614" s="1884"/>
      <c r="H614" s="1853"/>
      <c r="I614" s="1854"/>
    </row>
    <row r="615" spans="1:9">
      <c r="A615" s="840"/>
      <c r="B615" s="840"/>
      <c r="C615" s="840"/>
      <c r="G615" s="819"/>
    </row>
    <row r="616" spans="1:9">
      <c r="C616" s="816"/>
      <c r="D616" s="1874" t="s">
        <v>1280</v>
      </c>
      <c r="E616" s="1874"/>
      <c r="F616" s="1874"/>
      <c r="G616" s="819"/>
    </row>
    <row r="617" spans="1:9">
      <c r="A617" s="816"/>
      <c r="B617" s="816"/>
      <c r="C617" s="818"/>
      <c r="D617" s="794"/>
      <c r="G617" s="819"/>
    </row>
    <row r="618" spans="1:9" ht="14.25">
      <c r="A618" s="797"/>
      <c r="B618" s="1775" t="s">
        <v>2655</v>
      </c>
      <c r="C618" s="818"/>
      <c r="D618" s="1919" t="s">
        <v>1502</v>
      </c>
      <c r="E618" s="1919"/>
      <c r="F618" s="1919"/>
      <c r="G618" s="819"/>
      <c r="I618" s="1774" t="s">
        <v>2475</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25">
      <c r="A625" s="797"/>
      <c r="B625" s="798" t="s">
        <v>2654</v>
      </c>
      <c r="C625" s="818"/>
      <c r="D625" s="1919" t="s">
        <v>1282</v>
      </c>
      <c r="E625" s="1919"/>
      <c r="F625" s="1919"/>
      <c r="G625" s="819"/>
      <c r="I625" s="1774" t="s">
        <v>2499</v>
      </c>
    </row>
    <row r="626" spans="1:9">
      <c r="A626" s="829"/>
      <c r="B626" s="829"/>
      <c r="C626" s="829"/>
      <c r="D626" s="1919"/>
      <c r="E626" s="1919"/>
      <c r="F626" s="1919"/>
      <c r="G626" s="819"/>
    </row>
    <row r="627" spans="1:9">
      <c r="A627" s="829"/>
      <c r="B627" s="829"/>
      <c r="C627" s="829"/>
      <c r="D627" s="785"/>
      <c r="E627" s="841"/>
      <c r="F627" s="841"/>
      <c r="G627" s="819"/>
    </row>
    <row r="628" spans="1:9" ht="14.25">
      <c r="A628" s="797"/>
      <c r="B628" s="1775" t="s">
        <v>2654</v>
      </c>
      <c r="C628" s="829"/>
      <c r="D628" s="1876" t="s">
        <v>1439</v>
      </c>
      <c r="E628" s="1876"/>
      <c r="F628" s="1876"/>
      <c r="G628" s="819"/>
      <c r="I628" s="1774" t="s">
        <v>2448</v>
      </c>
    </row>
    <row r="629" spans="1:9" ht="14.25">
      <c r="A629" s="797"/>
      <c r="B629" s="797"/>
      <c r="C629" s="829"/>
      <c r="D629" s="1876"/>
      <c r="E629" s="1876"/>
      <c r="F629" s="1876"/>
      <c r="G629" s="819"/>
    </row>
    <row r="630" spans="1:9" ht="14.25">
      <c r="A630" s="797"/>
      <c r="B630" s="797"/>
      <c r="C630" s="829"/>
      <c r="D630" s="1876"/>
      <c r="E630" s="1876"/>
      <c r="F630" s="1876"/>
      <c r="G630" s="819"/>
    </row>
    <row r="631" spans="1:9">
      <c r="A631" s="829"/>
      <c r="B631" s="1775" t="s">
        <v>2654</v>
      </c>
      <c r="C631" s="829"/>
      <c r="D631" s="1924" t="s">
        <v>1284</v>
      </c>
      <c r="E631" s="1924"/>
      <c r="F631" s="1924"/>
      <c r="G631" s="819"/>
      <c r="I631" s="1774" t="s">
        <v>2448</v>
      </c>
    </row>
    <row r="632" spans="1:9">
      <c r="A632" s="829"/>
      <c r="B632" s="829"/>
      <c r="C632" s="829"/>
      <c r="D632" s="727"/>
      <c r="E632" s="727"/>
      <c r="F632" s="727"/>
      <c r="G632" s="819"/>
    </row>
    <row r="633" spans="1:9">
      <c r="A633" s="1884" t="s">
        <v>1175</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1334</v>
      </c>
      <c r="E635" s="1984"/>
      <c r="F635" s="1984"/>
      <c r="G635" s="819"/>
    </row>
    <row r="636" spans="1:9">
      <c r="A636" s="795"/>
      <c r="B636" s="795"/>
      <c r="C636" s="795"/>
      <c r="D636" s="1985" t="s">
        <v>1335</v>
      </c>
      <c r="E636" s="1985"/>
      <c r="F636" s="1985"/>
      <c r="G636" s="819"/>
    </row>
    <row r="637" spans="1:9">
      <c r="A637" s="795"/>
      <c r="B637" s="795"/>
      <c r="C637" s="795"/>
      <c r="D637" s="727"/>
      <c r="E637" s="727"/>
      <c r="F637" s="727"/>
      <c r="G637" s="819"/>
    </row>
    <row r="638" spans="1:9" ht="12.75" customHeight="1">
      <c r="B638" s="1775" t="s">
        <v>2654</v>
      </c>
      <c r="C638" s="829"/>
      <c r="D638" s="1961" t="s">
        <v>1523</v>
      </c>
      <c r="E638" s="1961"/>
      <c r="F638" s="1961"/>
      <c r="I638" s="1774" t="s">
        <v>2502</v>
      </c>
    </row>
    <row r="639" spans="1:9">
      <c r="D639" s="1961"/>
      <c r="E639" s="1961"/>
      <c r="F639" s="1961"/>
    </row>
    <row r="640" spans="1:9">
      <c r="D640" s="1961"/>
      <c r="E640" s="1961"/>
      <c r="F640" s="1961"/>
    </row>
    <row r="641" spans="1:9">
      <c r="D641" s="1961"/>
      <c r="E641" s="1961"/>
      <c r="F641" s="1961"/>
    </row>
    <row r="642" spans="1:9" ht="14.45" customHeight="1">
      <c r="A642" s="797"/>
      <c r="B642" s="797"/>
      <c r="C642" s="829"/>
      <c r="D642" s="900"/>
      <c r="E642" s="900"/>
      <c r="F642" s="900"/>
      <c r="G642" s="819"/>
    </row>
    <row r="643" spans="1:9" ht="12.75" customHeight="1">
      <c r="A643" s="795"/>
      <c r="B643" s="1775" t="s">
        <v>2654</v>
      </c>
      <c r="C643" s="829"/>
      <c r="D643" s="1961" t="s">
        <v>1526</v>
      </c>
      <c r="E643" s="1961"/>
      <c r="F643" s="1961"/>
      <c r="G643" s="819"/>
      <c r="I643" s="1774" t="s">
        <v>2502</v>
      </c>
    </row>
    <row r="644" spans="1:9" ht="14.25">
      <c r="A644" s="795"/>
      <c r="B644" s="797"/>
      <c r="C644" s="829"/>
      <c r="D644" s="1961"/>
      <c r="E644" s="1961"/>
      <c r="F644" s="1961"/>
      <c r="G644" s="819"/>
    </row>
    <row r="645" spans="1:9" ht="14.25">
      <c r="A645" s="795"/>
      <c r="B645" s="797"/>
      <c r="C645" s="829"/>
      <c r="D645" s="1961"/>
      <c r="E645" s="1961"/>
      <c r="F645" s="1961"/>
      <c r="G645" s="819"/>
    </row>
    <row r="646" spans="1:9" ht="14.25">
      <c r="A646" s="795"/>
      <c r="B646" s="797"/>
      <c r="C646" s="829"/>
      <c r="D646" s="1961"/>
      <c r="E646" s="1961"/>
      <c r="F646" s="1961"/>
      <c r="G646" s="819"/>
    </row>
    <row r="647" spans="1:9" ht="14.25">
      <c r="A647" s="795"/>
      <c r="B647" s="797"/>
      <c r="C647" s="829"/>
      <c r="D647" s="1961"/>
      <c r="E647" s="1961"/>
      <c r="F647" s="1961"/>
      <c r="G647" s="819"/>
    </row>
    <row r="648" spans="1:9" ht="14.25" customHeight="1">
      <c r="A648" s="795"/>
      <c r="B648" s="797"/>
      <c r="C648" s="829"/>
      <c r="F648" s="901"/>
      <c r="G648" s="819"/>
    </row>
    <row r="649" spans="1:9" ht="12.75" customHeight="1">
      <c r="A649" s="795"/>
      <c r="B649" s="1775" t="s">
        <v>2654</v>
      </c>
      <c r="C649" s="829"/>
      <c r="D649" s="1961" t="s">
        <v>1524</v>
      </c>
      <c r="E649" s="1961"/>
      <c r="F649" s="1961"/>
      <c r="G649" s="819"/>
      <c r="I649" s="1774" t="s">
        <v>2502</v>
      </c>
    </row>
    <row r="650" spans="1:9" ht="14.25">
      <c r="A650" s="795"/>
      <c r="B650" s="797"/>
      <c r="C650" s="829"/>
      <c r="D650" s="1961"/>
      <c r="E650" s="1961"/>
      <c r="F650" s="1961"/>
      <c r="G650" s="819"/>
    </row>
    <row r="651" spans="1:9" ht="14.25">
      <c r="A651" s="797"/>
      <c r="B651" s="797"/>
      <c r="C651" s="829"/>
      <c r="D651" s="1961"/>
      <c r="E651" s="1961"/>
      <c r="F651" s="1961"/>
      <c r="G651" s="819"/>
    </row>
    <row r="652" spans="1:9" ht="14.25">
      <c r="A652" s="797"/>
      <c r="B652" s="797"/>
      <c r="C652" s="829"/>
      <c r="D652" s="1961"/>
      <c r="E652" s="1961"/>
      <c r="F652" s="1961"/>
      <c r="G652" s="819"/>
    </row>
    <row r="653" spans="1:9" ht="14.25">
      <c r="A653" s="797"/>
      <c r="B653" s="797"/>
      <c r="C653" s="829"/>
      <c r="D653" s="892"/>
      <c r="E653" s="892"/>
      <c r="F653" s="892"/>
      <c r="G653" s="819"/>
    </row>
    <row r="654" spans="1:9" ht="12.75" customHeight="1">
      <c r="A654" s="795"/>
      <c r="B654" s="1775" t="s">
        <v>2654</v>
      </c>
      <c r="C654" s="829"/>
      <c r="D654" s="1961" t="s">
        <v>1525</v>
      </c>
      <c r="E654" s="1961"/>
      <c r="F654" s="1961"/>
      <c r="G654" s="819"/>
      <c r="I654" s="1774" t="s">
        <v>2502</v>
      </c>
    </row>
    <row r="655" spans="1:9" ht="12.75" customHeight="1">
      <c r="A655" s="795"/>
      <c r="B655" s="797"/>
      <c r="C655" s="829"/>
      <c r="D655" s="1961"/>
      <c r="E655" s="1961"/>
      <c r="F655" s="1961"/>
      <c r="G655" s="819"/>
    </row>
    <row r="656" spans="1:9" ht="12.75" customHeight="1">
      <c r="A656" s="795"/>
      <c r="B656" s="797"/>
      <c r="C656" s="829"/>
      <c r="D656" s="1961"/>
      <c r="E656" s="1961"/>
      <c r="F656" s="1961"/>
      <c r="G656" s="819"/>
    </row>
    <row r="657" spans="1:11" ht="12.75" customHeight="1">
      <c r="A657" s="795"/>
      <c r="B657" s="797"/>
      <c r="C657" s="829"/>
      <c r="D657" s="1961"/>
      <c r="E657" s="1961"/>
      <c r="F657" s="1961"/>
      <c r="G657" s="819"/>
    </row>
    <row r="658" spans="1:11" ht="12.75" customHeight="1">
      <c r="A658" s="795"/>
      <c r="B658" s="797"/>
      <c r="C658" s="829"/>
      <c r="D658" s="1961"/>
      <c r="E658" s="1961"/>
      <c r="F658" s="1961"/>
      <c r="G658" s="819"/>
    </row>
    <row r="659" spans="1:11" ht="12.75" customHeight="1">
      <c r="A659" s="795"/>
      <c r="B659" s="797"/>
      <c r="C659" s="829"/>
      <c r="D659" s="1961"/>
      <c r="E659" s="1961"/>
      <c r="F659" s="1961"/>
      <c r="G659" s="819"/>
    </row>
    <row r="660" spans="1:11" ht="12.75" customHeight="1">
      <c r="A660" s="795"/>
      <c r="B660" s="797"/>
      <c r="C660" s="829"/>
      <c r="D660" s="1961"/>
      <c r="E660" s="1961"/>
      <c r="F660" s="1961"/>
      <c r="G660" s="819"/>
    </row>
    <row r="661" spans="1:11" ht="12.75" customHeight="1">
      <c r="A661" s="795"/>
      <c r="B661" s="797"/>
      <c r="C661" s="829"/>
      <c r="D661" s="1961"/>
      <c r="E661" s="1961"/>
      <c r="F661" s="1961"/>
      <c r="G661" s="819"/>
    </row>
    <row r="662" spans="1:11" ht="12.75" customHeight="1">
      <c r="A662" s="795"/>
      <c r="B662" s="797"/>
      <c r="C662" s="829"/>
      <c r="D662" s="1961"/>
      <c r="E662" s="1961"/>
      <c r="F662" s="1961"/>
      <c r="G662" s="819"/>
    </row>
    <row r="663" spans="1:11">
      <c r="A663" s="829"/>
      <c r="B663" s="829"/>
      <c r="C663" s="829"/>
      <c r="D663" s="841"/>
      <c r="E663" s="841"/>
      <c r="F663" s="841"/>
      <c r="G663" s="819"/>
    </row>
    <row r="664" spans="1:11">
      <c r="A664" s="1884" t="s">
        <v>1176</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1212</v>
      </c>
      <c r="E668" s="1924"/>
      <c r="F668" s="1924"/>
      <c r="G668" s="819"/>
      <c r="H668" s="842"/>
      <c r="I668" s="1841"/>
      <c r="J668" s="842"/>
      <c r="K668" s="842"/>
    </row>
    <row r="669" spans="1:11">
      <c r="A669" s="795"/>
      <c r="B669" s="795"/>
      <c r="C669" s="795"/>
      <c r="G669" s="819"/>
      <c r="H669" s="842"/>
      <c r="I669" s="1841"/>
      <c r="J669" s="842"/>
      <c r="K669" s="842"/>
    </row>
    <row r="670" spans="1:11" ht="14.25">
      <c r="A670" s="797"/>
      <c r="B670" s="798" t="s">
        <v>2655</v>
      </c>
      <c r="C670" s="795"/>
      <c r="D670" s="1924" t="s">
        <v>950</v>
      </c>
      <c r="E670" s="1924"/>
      <c r="F670" s="1924"/>
      <c r="G670" s="819"/>
      <c r="H670" s="842"/>
      <c r="I670" s="1841" t="s">
        <v>2476</v>
      </c>
      <c r="J670" s="842"/>
      <c r="K670" s="842"/>
    </row>
    <row r="671" spans="1:11">
      <c r="A671" s="795"/>
      <c r="B671" s="795"/>
      <c r="C671" s="795"/>
      <c r="D671" s="1924" t="s">
        <v>961</v>
      </c>
      <c r="E671" s="1924"/>
      <c r="F671" s="1924"/>
      <c r="G671" s="819"/>
      <c r="H671" s="842"/>
      <c r="I671" s="1841"/>
      <c r="J671" s="842"/>
      <c r="K671" s="842"/>
    </row>
    <row r="672" spans="1:11">
      <c r="A672" s="795"/>
      <c r="B672" s="795"/>
      <c r="C672" s="795"/>
      <c r="D672" s="672"/>
      <c r="E672" s="1970" t="s">
        <v>1213</v>
      </c>
      <c r="F672" s="1970"/>
      <c r="G672" s="819"/>
      <c r="H672" s="842"/>
      <c r="I672" s="1841"/>
      <c r="J672" s="842"/>
      <c r="K672" s="842"/>
    </row>
    <row r="673" spans="1:11">
      <c r="A673" s="795"/>
      <c r="B673" s="795"/>
      <c r="C673" s="795"/>
      <c r="D673" s="672"/>
      <c r="E673" s="1970"/>
      <c r="F673" s="1970"/>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2654</v>
      </c>
      <c r="C675" s="795"/>
      <c r="D675" s="1919" t="s">
        <v>1405</v>
      </c>
      <c r="E675" s="1919"/>
      <c r="F675" s="1919"/>
      <c r="G675" s="819"/>
      <c r="H675" s="842"/>
      <c r="I675" s="1841" t="s">
        <v>2500</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2477</v>
      </c>
      <c r="J678" s="842"/>
      <c r="K678" s="842"/>
    </row>
    <row r="679" spans="1:11" ht="14.25">
      <c r="A679" s="797"/>
      <c r="B679" s="1775" t="s">
        <v>2655</v>
      </c>
      <c r="C679" s="795"/>
      <c r="D679" s="1924" t="s">
        <v>990</v>
      </c>
      <c r="E679" s="1924"/>
      <c r="F679" s="1924"/>
      <c r="G679" s="819"/>
      <c r="H679" s="842"/>
      <c r="I679" s="1841"/>
      <c r="J679" s="842"/>
      <c r="K679" s="842"/>
    </row>
    <row r="680" spans="1:11" ht="14.25">
      <c r="A680" s="797"/>
      <c r="B680" s="797"/>
      <c r="C680" s="795"/>
      <c r="D680" s="1924" t="s">
        <v>961</v>
      </c>
      <c r="E680" s="1924"/>
      <c r="F680" s="1924"/>
      <c r="G680" s="819"/>
      <c r="H680" s="842"/>
      <c r="I680" s="1841"/>
      <c r="J680" s="842"/>
      <c r="K680" s="842"/>
    </row>
    <row r="681" spans="1:11">
      <c r="A681" s="795"/>
      <c r="B681" s="795"/>
      <c r="C681" s="795"/>
      <c r="D681" s="672"/>
      <c r="E681" s="1967" t="s">
        <v>1215</v>
      </c>
      <c r="F681" s="1967"/>
      <c r="G681" s="819"/>
      <c r="H681" s="842"/>
      <c r="I681" s="1841"/>
      <c r="J681" s="842"/>
      <c r="K681" s="842"/>
    </row>
    <row r="682" spans="1:11">
      <c r="A682" s="795"/>
      <c r="B682" s="795"/>
      <c r="C682" s="795"/>
      <c r="D682" s="794"/>
      <c r="G682" s="819"/>
      <c r="H682" s="842"/>
      <c r="I682" s="1841"/>
      <c r="J682" s="842"/>
      <c r="K682" s="842"/>
    </row>
    <row r="683" spans="1:11" ht="14.25">
      <c r="A683" s="797"/>
      <c r="B683" s="1775" t="s">
        <v>2654</v>
      </c>
      <c r="C683" s="795"/>
      <c r="D683" s="1964" t="s">
        <v>1225</v>
      </c>
      <c r="E683" s="1964"/>
      <c r="F683" s="1964"/>
      <c r="G683" s="819"/>
      <c r="H683" s="842"/>
      <c r="I683" s="1841" t="s">
        <v>2449</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1775" t="s">
        <v>2654</v>
      </c>
      <c r="C690" s="834"/>
      <c r="D690" s="1964" t="s">
        <v>1407</v>
      </c>
      <c r="E690" s="1964"/>
      <c r="F690" s="1964"/>
      <c r="G690" s="844"/>
      <c r="H690" s="845"/>
      <c r="I690" s="1842" t="s">
        <v>2449</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1775" t="s">
        <v>2654</v>
      </c>
      <c r="C693" s="795"/>
      <c r="D693" s="1964" t="s">
        <v>1216</v>
      </c>
      <c r="E693" s="1964"/>
      <c r="F693" s="1964"/>
      <c r="G693" s="819"/>
      <c r="H693" s="842"/>
      <c r="I693" s="1841" t="s">
        <v>2449</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 customHeight="1">
      <c r="A696" s="795"/>
      <c r="B696" s="795"/>
      <c r="C696" s="795"/>
      <c r="D696" s="1964"/>
      <c r="E696" s="1964"/>
      <c r="F696" s="1964"/>
      <c r="G696" s="819"/>
      <c r="H696" s="842"/>
      <c r="I696" s="1841"/>
      <c r="J696" s="842"/>
      <c r="K696" s="842"/>
    </row>
    <row r="697" spans="1:11" ht="1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1775" t="s">
        <v>2654</v>
      </c>
      <c r="C706" s="795"/>
      <c r="D706" s="1964" t="s">
        <v>1223</v>
      </c>
      <c r="E706" s="1964"/>
      <c r="F706" s="1964"/>
      <c r="G706" s="819"/>
      <c r="H706" s="842"/>
      <c r="I706" s="1841" t="s">
        <v>2501</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2654</v>
      </c>
      <c r="C709" s="795"/>
      <c r="D709" s="1964" t="s">
        <v>1217</v>
      </c>
      <c r="E709" s="1964"/>
      <c r="F709" s="1964"/>
      <c r="G709" s="819"/>
      <c r="H709" s="842"/>
      <c r="I709" s="1841" t="s">
        <v>2501</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1775" t="s">
        <v>2654</v>
      </c>
      <c r="C713" s="795"/>
      <c r="D713" s="1964" t="s">
        <v>1218</v>
      </c>
      <c r="E713" s="1964"/>
      <c r="F713" s="1964"/>
      <c r="G713" s="819"/>
      <c r="H713" s="842"/>
      <c r="I713" s="1841" t="s">
        <v>2501</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25">
      <c r="A717" s="797"/>
      <c r="B717" s="1775" t="s">
        <v>2654</v>
      </c>
      <c r="C717" s="795"/>
      <c r="D717" s="1919" t="s">
        <v>1219</v>
      </c>
      <c r="E717" s="1919"/>
      <c r="F717" s="1919"/>
      <c r="G717" s="819"/>
      <c r="H717" s="842"/>
      <c r="I717" s="1841" t="s">
        <v>2450</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25">
      <c r="A722" s="797"/>
      <c r="B722" s="1775" t="s">
        <v>2654</v>
      </c>
      <c r="C722" s="795"/>
      <c r="D722" s="1964" t="s">
        <v>1352</v>
      </c>
      <c r="E722" s="1964"/>
      <c r="F722" s="1964"/>
      <c r="G722" s="819"/>
      <c r="H722" s="842"/>
      <c r="I722" s="1841" t="s">
        <v>2466</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1220</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1177</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 customHeight="1">
      <c r="C733" s="795"/>
      <c r="D733" s="1957" t="s">
        <v>1193</v>
      </c>
      <c r="E733" s="1957"/>
      <c r="F733" s="1957"/>
      <c r="G733" s="847"/>
      <c r="H733" s="842"/>
      <c r="I733" s="1841"/>
      <c r="J733" s="842"/>
      <c r="K733" s="842"/>
    </row>
    <row r="734" spans="1:11">
      <c r="A734" s="795"/>
      <c r="B734" s="795"/>
      <c r="C734" s="795"/>
      <c r="D734" s="1898" t="s">
        <v>1194</v>
      </c>
      <c r="E734" s="1898"/>
      <c r="F734" s="1898"/>
      <c r="G734" s="847"/>
      <c r="H734" s="842"/>
      <c r="I734" s="1841"/>
      <c r="J734" s="842"/>
      <c r="K734" s="842"/>
    </row>
    <row r="735" spans="1:11">
      <c r="A735" s="795"/>
      <c r="B735" s="795"/>
      <c r="C735" s="795"/>
      <c r="G735" s="847"/>
      <c r="H735" s="842"/>
      <c r="I735" s="1841"/>
      <c r="J735" s="842"/>
      <c r="K735" s="842"/>
    </row>
    <row r="736" spans="1:11" s="791" customFormat="1" ht="14.25">
      <c r="A736" s="797"/>
      <c r="B736" s="798" t="s">
        <v>2655</v>
      </c>
      <c r="C736" s="788"/>
      <c r="D736" s="1919" t="s">
        <v>1195</v>
      </c>
      <c r="E736" s="1919"/>
      <c r="F736" s="1919"/>
      <c r="G736" s="847"/>
      <c r="H736" s="845"/>
      <c r="I736" s="1842" t="s">
        <v>2451</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1775" t="s">
        <v>2655</v>
      </c>
      <c r="C743" s="851"/>
      <c r="D743" s="1876" t="s">
        <v>1458</v>
      </c>
      <c r="E743" s="1876"/>
      <c r="F743" s="1876"/>
      <c r="G743" s="852"/>
      <c r="I743" s="1843" t="s">
        <v>2451</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25">
      <c r="A748" s="797"/>
      <c r="B748" s="798" t="s">
        <v>2655</v>
      </c>
      <c r="C748" s="851"/>
      <c r="D748" s="1971" t="s">
        <v>1459</v>
      </c>
      <c r="E748" s="1971"/>
      <c r="F748" s="1971"/>
      <c r="G748" s="852"/>
      <c r="I748" s="1843" t="s">
        <v>2452</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25">
      <c r="A752" s="797"/>
      <c r="B752" s="798" t="s">
        <v>2654</v>
      </c>
      <c r="C752" s="801"/>
      <c r="D752" s="1876" t="s">
        <v>1402</v>
      </c>
      <c r="E752" s="1876"/>
      <c r="F752" s="1876"/>
      <c r="G752" s="848"/>
      <c r="H752" s="842"/>
      <c r="I752" s="1841" t="s">
        <v>2451</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2654</v>
      </c>
      <c r="C755" s="801"/>
      <c r="D755" s="1876" t="s">
        <v>1424</v>
      </c>
      <c r="E755" s="1876"/>
      <c r="F755" s="1876"/>
      <c r="G755" s="848"/>
      <c r="H755" s="842"/>
      <c r="I755" s="1841" t="s">
        <v>2451</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2320</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2379</v>
      </c>
      <c r="E761" s="1969"/>
      <c r="F761" s="1969"/>
      <c r="G761" s="686"/>
    </row>
    <row r="762" spans="1:11">
      <c r="A762" s="93"/>
      <c r="B762" s="93"/>
      <c r="C762" s="1732"/>
      <c r="D762" s="1983" t="s">
        <v>2265</v>
      </c>
      <c r="E762" s="1983"/>
      <c r="F762" s="1983"/>
      <c r="G762" s="686"/>
    </row>
    <row r="763" spans="1:11">
      <c r="A763" s="93"/>
      <c r="B763" s="93"/>
      <c r="C763" s="1732"/>
      <c r="D763" s="733"/>
      <c r="E763" s="733"/>
      <c r="F763" s="733"/>
      <c r="G763" s="686"/>
    </row>
    <row r="764" spans="1:11">
      <c r="A764" s="93"/>
      <c r="B764" s="798" t="s">
        <v>2655</v>
      </c>
      <c r="C764" s="1732"/>
      <c r="D764" s="1903" t="s">
        <v>2266</v>
      </c>
      <c r="E764" s="1903"/>
      <c r="F764" s="1903"/>
      <c r="G764" s="686"/>
      <c r="I764" s="1841" t="s">
        <v>2503</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1775" t="s">
        <v>2654</v>
      </c>
      <c r="C768" s="1735"/>
      <c r="D768" s="1903" t="s">
        <v>2267</v>
      </c>
      <c r="E768" s="1903"/>
      <c r="F768" s="1903"/>
      <c r="G768" s="686"/>
      <c r="I768" s="1841" t="s">
        <v>2503</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25">
      <c r="A772" s="714"/>
      <c r="B772" s="1775" t="s">
        <v>2654</v>
      </c>
      <c r="C772" s="1740"/>
      <c r="D772" s="1903" t="s">
        <v>2268</v>
      </c>
      <c r="E772" s="1903"/>
      <c r="F772" s="1903"/>
      <c r="G772" s="1739"/>
      <c r="I772" s="1841" t="s">
        <v>2503</v>
      </c>
    </row>
    <row r="773" spans="1:9" ht="14.25">
      <c r="A773" s="714"/>
      <c r="B773" s="714"/>
      <c r="C773" s="1740"/>
      <c r="D773" s="1903"/>
      <c r="E773" s="1903"/>
      <c r="F773" s="1903"/>
      <c r="G773" s="1739"/>
    </row>
    <row r="774" spans="1:9" ht="14.25">
      <c r="A774" s="714"/>
      <c r="B774" s="714"/>
      <c r="C774" s="1740"/>
      <c r="D774" s="1903"/>
      <c r="E774" s="1903"/>
      <c r="F774" s="1903"/>
      <c r="G774" s="1739"/>
    </row>
    <row r="775" spans="1:9" ht="14.25">
      <c r="A775" s="714"/>
      <c r="B775" s="714"/>
      <c r="C775" s="1740"/>
      <c r="D775" s="1708"/>
      <c r="E775" s="6"/>
      <c r="F775" s="6"/>
      <c r="G775" s="1739"/>
    </row>
    <row r="776" spans="1:9" ht="14.25">
      <c r="A776" s="714"/>
      <c r="B776" s="1775" t="s">
        <v>2654</v>
      </c>
      <c r="C776" s="1740"/>
      <c r="D776" s="1903" t="s">
        <v>2269</v>
      </c>
      <c r="E776" s="1903"/>
      <c r="F776" s="1903"/>
      <c r="G776" s="1739"/>
      <c r="I776" s="1841" t="s">
        <v>2503</v>
      </c>
    </row>
    <row r="777" spans="1:9" ht="14.25">
      <c r="A777" s="714"/>
      <c r="B777" s="714"/>
      <c r="C777" s="1740"/>
      <c r="D777" s="1903"/>
      <c r="E777" s="1903"/>
      <c r="F777" s="1903"/>
      <c r="G777" s="1739"/>
    </row>
    <row r="778" spans="1:9" ht="14.25">
      <c r="A778" s="714"/>
      <c r="B778" s="714"/>
      <c r="C778" s="1740"/>
      <c r="D778" s="1903"/>
      <c r="E778" s="1903"/>
      <c r="F778" s="1903"/>
      <c r="G778" s="1739"/>
    </row>
    <row r="779" spans="1:9" ht="14.25">
      <c r="A779" s="714"/>
      <c r="B779" s="714"/>
      <c r="C779" s="1740"/>
      <c r="D779" s="1903"/>
      <c r="E779" s="1903"/>
      <c r="F779" s="1903"/>
      <c r="G779" s="1739"/>
    </row>
    <row r="780" spans="1:9" ht="14.25">
      <c r="A780" s="714"/>
      <c r="B780" s="714"/>
      <c r="C780" s="1740"/>
      <c r="D780" s="1903"/>
      <c r="E780" s="1903"/>
      <c r="F780" s="1903"/>
      <c r="G780" s="1739"/>
    </row>
    <row r="781" spans="1:9" ht="14.25">
      <c r="A781" s="714"/>
      <c r="B781" s="714"/>
      <c r="C781" s="1740"/>
      <c r="D781" s="1903"/>
      <c r="E781" s="1903"/>
      <c r="F781" s="1903"/>
      <c r="G781" s="1739"/>
    </row>
    <row r="782" spans="1:9" ht="14.25">
      <c r="A782" s="714"/>
      <c r="B782" s="714"/>
      <c r="C782" s="1740"/>
      <c r="D782" s="1903" t="s">
        <v>2321</v>
      </c>
      <c r="E782" s="1903"/>
      <c r="F782" s="1903"/>
      <c r="G782" s="1739"/>
    </row>
    <row r="783" spans="1:9" ht="14.25">
      <c r="A783" s="714"/>
      <c r="B783" s="714"/>
      <c r="C783" s="1740"/>
      <c r="D783" s="1903"/>
      <c r="E783" s="1903"/>
      <c r="F783" s="1903"/>
      <c r="G783" s="1739"/>
    </row>
    <row r="784" spans="1:9" ht="14.25">
      <c r="A784" s="714"/>
      <c r="B784" s="714"/>
      <c r="C784" s="1740"/>
      <c r="D784" s="1903"/>
      <c r="E784" s="1903"/>
      <c r="F784" s="1903"/>
      <c r="G784" s="1739"/>
    </row>
    <row r="785" spans="1:9" ht="14.25">
      <c r="A785" s="714"/>
      <c r="B785" s="556"/>
      <c r="C785" s="1740"/>
      <c r="D785" s="1741"/>
      <c r="E785" s="1741"/>
      <c r="F785" s="1741"/>
      <c r="G785" s="1739"/>
    </row>
    <row r="786" spans="1:9" ht="14.25">
      <c r="A786" s="714"/>
      <c r="B786" s="1775" t="s">
        <v>2654</v>
      </c>
      <c r="C786" s="1740"/>
      <c r="D786" s="1903" t="s">
        <v>2270</v>
      </c>
      <c r="E786" s="1903"/>
      <c r="F786" s="1903"/>
      <c r="G786" s="1739"/>
      <c r="I786" s="1841" t="s">
        <v>2503</v>
      </c>
    </row>
    <row r="787" spans="1:9" ht="14.25">
      <c r="A787" s="714"/>
      <c r="B787" s="714"/>
      <c r="C787" s="1740"/>
      <c r="D787" s="1903"/>
      <c r="E787" s="1903"/>
      <c r="F787" s="1903"/>
      <c r="G787" s="1739"/>
    </row>
    <row r="788" spans="1:9" ht="14.25">
      <c r="A788" s="714"/>
      <c r="B788" s="714"/>
      <c r="C788" s="1740"/>
      <c r="D788" s="1903"/>
      <c r="E788" s="1903"/>
      <c r="F788" s="1903"/>
      <c r="G788" s="1739"/>
    </row>
    <row r="789" spans="1:9" ht="14.25">
      <c r="A789" s="714"/>
      <c r="B789" s="714"/>
      <c r="C789" s="1740"/>
      <c r="D789" s="1903"/>
      <c r="E789" s="1903"/>
      <c r="F789" s="1903"/>
      <c r="G789" s="1739"/>
    </row>
    <row r="790" spans="1:9" ht="14.25">
      <c r="A790" s="714"/>
      <c r="B790" s="714"/>
      <c r="C790" s="1740"/>
      <c r="D790" s="1903"/>
      <c r="E790" s="1903"/>
      <c r="F790" s="1903"/>
      <c r="G790" s="1739"/>
    </row>
    <row r="791" spans="1:9" ht="14.25">
      <c r="A791" s="714"/>
      <c r="B791" s="714"/>
      <c r="C791" s="1740"/>
      <c r="D791" s="1903"/>
      <c r="E791" s="1903"/>
      <c r="F791" s="1903"/>
      <c r="G791" s="1739"/>
    </row>
    <row r="792" spans="1:9" ht="14.25">
      <c r="A792" s="714"/>
      <c r="B792" s="714"/>
      <c r="C792" s="1740"/>
      <c r="D792" s="1717"/>
      <c r="E792" s="1717"/>
      <c r="F792" s="1717"/>
      <c r="G792" s="1739"/>
    </row>
    <row r="793" spans="1:9" ht="14.25">
      <c r="A793" s="714"/>
      <c r="B793" s="1775" t="s">
        <v>2654</v>
      </c>
      <c r="C793" s="1740"/>
      <c r="D793" s="1903" t="s">
        <v>2271</v>
      </c>
      <c r="E793" s="1903"/>
      <c r="F793" s="1903"/>
      <c r="G793" s="1739"/>
      <c r="I793" s="1841" t="s">
        <v>2503</v>
      </c>
    </row>
    <row r="794" spans="1:9" ht="14.25">
      <c r="A794" s="714"/>
      <c r="B794" s="714"/>
      <c r="C794" s="1740"/>
      <c r="D794" s="1903"/>
      <c r="E794" s="1903"/>
      <c r="F794" s="1903"/>
      <c r="G794" s="1739"/>
    </row>
    <row r="795" spans="1:9" ht="14.25">
      <c r="A795" s="714"/>
      <c r="B795" s="714"/>
      <c r="C795" s="1740"/>
      <c r="D795" s="1903"/>
      <c r="E795" s="1903"/>
      <c r="F795" s="1903"/>
      <c r="G795" s="1739"/>
    </row>
    <row r="796" spans="1:9" ht="14.25">
      <c r="A796" s="714"/>
      <c r="B796" s="714"/>
      <c r="C796" s="1740"/>
      <c r="D796" s="1903"/>
      <c r="E796" s="1903"/>
      <c r="F796" s="1903"/>
      <c r="G796" s="1739"/>
    </row>
    <row r="797" spans="1:9" ht="14.25">
      <c r="A797" s="714"/>
      <c r="B797" s="714"/>
      <c r="C797" s="1740"/>
      <c r="D797" s="1903"/>
      <c r="E797" s="1903"/>
      <c r="F797" s="1903"/>
      <c r="G797" s="1739"/>
    </row>
    <row r="798" spans="1:9" ht="14.25">
      <c r="A798" s="714"/>
      <c r="B798" s="714"/>
      <c r="C798" s="1740"/>
      <c r="D798" s="1903"/>
      <c r="E798" s="1903"/>
      <c r="F798" s="1903"/>
      <c r="G798" s="1739"/>
    </row>
    <row r="799" spans="1:9" ht="14.25">
      <c r="A799" s="714"/>
      <c r="B799" s="714"/>
      <c r="C799" s="1740"/>
      <c r="D799" s="1717"/>
      <c r="E799" s="1717"/>
      <c r="F799" s="1717"/>
      <c r="G799" s="1739"/>
    </row>
    <row r="800" spans="1:9" ht="14.25">
      <c r="A800" s="714"/>
      <c r="B800" s="1775" t="s">
        <v>2654</v>
      </c>
      <c r="C800" s="1740"/>
      <c r="D800" s="1916" t="s">
        <v>2272</v>
      </c>
      <c r="E800" s="1916"/>
      <c r="F800" s="1916"/>
      <c r="G800" s="1739"/>
      <c r="I800" s="1841" t="s">
        <v>2503</v>
      </c>
    </row>
    <row r="801" spans="1:9" ht="14.25">
      <c r="A801" s="714"/>
      <c r="B801" s="714"/>
      <c r="C801" s="1740"/>
      <c r="D801" s="1916"/>
      <c r="E801" s="1916"/>
      <c r="F801" s="1916"/>
      <c r="G801" s="1739"/>
    </row>
    <row r="802" spans="1:9">
      <c r="A802" s="1725"/>
      <c r="B802" s="1725"/>
      <c r="C802" s="1740"/>
      <c r="D802" s="1916"/>
      <c r="E802" s="1916"/>
      <c r="F802" s="1916"/>
      <c r="G802" s="1739"/>
    </row>
    <row r="803" spans="1:9" ht="14.25">
      <c r="A803" s="714"/>
      <c r="B803" s="1725"/>
      <c r="C803" s="1740"/>
      <c r="D803" s="1916"/>
      <c r="E803" s="1916"/>
      <c r="F803" s="1916"/>
      <c r="G803" s="1739"/>
    </row>
    <row r="804" spans="1:9" ht="12.75" customHeight="1">
      <c r="A804" s="714"/>
      <c r="B804" s="1725"/>
      <c r="C804" s="1740"/>
      <c r="D804" s="1916"/>
      <c r="E804" s="1916"/>
      <c r="F804" s="1916"/>
      <c r="G804" s="1739"/>
    </row>
    <row r="805" spans="1:9" ht="12.75" customHeight="1">
      <c r="A805" s="714"/>
      <c r="B805" s="1725"/>
      <c r="C805" s="1740"/>
      <c r="D805" s="1916"/>
      <c r="E805" s="1916"/>
      <c r="F805" s="1916"/>
      <c r="G805" s="1739"/>
    </row>
    <row r="806" spans="1:9" ht="12.75" customHeight="1">
      <c r="A806" s="1725"/>
      <c r="B806" s="1725"/>
      <c r="C806" s="1740"/>
      <c r="D806" s="1738"/>
      <c r="E806" s="6"/>
      <c r="F806" s="6"/>
      <c r="G806" s="1739"/>
    </row>
    <row r="807" spans="1:9" ht="12.75" customHeight="1">
      <c r="A807" s="1893" t="s">
        <v>2273</v>
      </c>
      <c r="B807" s="1893"/>
      <c r="C807" s="1893"/>
      <c r="D807" s="1893"/>
      <c r="E807" s="1893"/>
      <c r="F807" s="1893"/>
      <c r="G807" s="1893"/>
      <c r="H807" s="1853"/>
      <c r="I807" s="1854"/>
    </row>
    <row r="808" spans="1:9" ht="12.75" customHeight="1">
      <c r="A808" s="1714"/>
      <c r="B808" s="1714"/>
      <c r="C808" s="1740"/>
      <c r="D808" s="1738"/>
      <c r="E808" s="1738"/>
      <c r="F808" s="1738"/>
      <c r="G808" s="1739"/>
    </row>
    <row r="809" spans="1:9" ht="12.75" customHeight="1">
      <c r="A809" s="714"/>
      <c r="B809" s="714"/>
      <c r="C809" s="556"/>
      <c r="D809" s="1900" t="s">
        <v>2322</v>
      </c>
      <c r="E809" s="1900"/>
      <c r="F809" s="1900"/>
      <c r="G809" s="678"/>
    </row>
    <row r="810" spans="1:9" ht="14.25" customHeight="1">
      <c r="A810" s="714"/>
      <c r="B810" s="714"/>
      <c r="C810" s="556"/>
      <c r="D810" s="1858" t="s">
        <v>2274</v>
      </c>
      <c r="E810" s="1858"/>
      <c r="F810" s="1858"/>
      <c r="G810" s="678"/>
    </row>
    <row r="811" spans="1:9" ht="12.75" customHeight="1">
      <c r="A811" s="714"/>
      <c r="B811" s="714"/>
      <c r="C811" s="556"/>
      <c r="D811" s="1703"/>
      <c r="E811" s="1703"/>
      <c r="F811" s="1703"/>
      <c r="G811" s="678"/>
    </row>
    <row r="812" spans="1:9" ht="12.75" customHeight="1">
      <c r="A812" s="1742"/>
      <c r="B812" s="798" t="s">
        <v>2655</v>
      </c>
      <c r="C812" s="1740"/>
      <c r="D812" s="1858" t="s">
        <v>2275</v>
      </c>
      <c r="E812" s="1858"/>
      <c r="F812" s="1858"/>
      <c r="G812" s="678"/>
      <c r="I812" s="1774" t="s">
        <v>2469</v>
      </c>
    </row>
    <row r="813" spans="1:9" ht="14.25" customHeight="1">
      <c r="A813" s="1725"/>
      <c r="B813" s="1725"/>
      <c r="C813" s="1740"/>
      <c r="D813" s="5" t="s">
        <v>2251</v>
      </c>
      <c r="E813" s="1862" t="s">
        <v>2276</v>
      </c>
      <c r="F813" s="1862"/>
      <c r="G813" s="678"/>
    </row>
    <row r="814" spans="1:9" ht="12.75" customHeight="1">
      <c r="A814" s="1725"/>
      <c r="B814" s="1725"/>
      <c r="C814" s="1740"/>
      <c r="D814" s="1743"/>
      <c r="E814" s="6"/>
      <c r="F814" s="6"/>
      <c r="G814" s="678"/>
    </row>
    <row r="815" spans="1:9" ht="14.25" hidden="1" customHeight="1">
      <c r="A815" s="1725"/>
      <c r="B815" s="798" t="s">
        <v>316</v>
      </c>
      <c r="C815" s="1740"/>
      <c r="D815" s="1988" t="s">
        <v>2277</v>
      </c>
      <c r="E815" s="1988"/>
      <c r="F815" s="1988"/>
      <c r="G815" s="678"/>
    </row>
    <row r="816" spans="1:9" ht="12.75" hidden="1" customHeight="1">
      <c r="A816" s="1725"/>
      <c r="B816" s="1725"/>
      <c r="C816" s="1740"/>
      <c r="D816" s="1988"/>
      <c r="E816" s="1988"/>
      <c r="F816" s="1988"/>
      <c r="G816" s="678"/>
    </row>
    <row r="817" spans="1:9" ht="12.75" hidden="1" customHeight="1">
      <c r="A817" s="1725"/>
      <c r="B817" s="1725"/>
      <c r="C817" s="1740"/>
      <c r="D817" s="1988"/>
      <c r="E817" s="1988"/>
      <c r="F817" s="1988"/>
      <c r="G817" s="678"/>
    </row>
    <row r="818" spans="1:9" ht="12.75" hidden="1" customHeight="1">
      <c r="A818" s="1725"/>
      <c r="B818" s="1725"/>
      <c r="C818" s="1740"/>
      <c r="D818" s="1988"/>
      <c r="E818" s="1988"/>
      <c r="F818" s="1988"/>
      <c r="G818" s="678"/>
    </row>
    <row r="819" spans="1:9" ht="12.75" hidden="1" customHeight="1">
      <c r="A819" s="1725"/>
      <c r="B819" s="1725"/>
      <c r="C819" s="1740"/>
      <c r="D819" s="1988"/>
      <c r="E819" s="1988"/>
      <c r="F819" s="1988"/>
      <c r="G819" s="678"/>
    </row>
    <row r="820" spans="1:9" ht="12.75" hidden="1" customHeight="1">
      <c r="A820" s="1725"/>
      <c r="B820" s="1725"/>
      <c r="C820" s="1740"/>
      <c r="D820" s="1988"/>
      <c r="E820" s="1988"/>
      <c r="F820" s="1988"/>
      <c r="G820" s="678"/>
    </row>
    <row r="821" spans="1:9" ht="12.75" hidden="1" customHeight="1">
      <c r="A821" s="1725"/>
      <c r="B821" s="1725"/>
      <c r="C821" s="1740"/>
      <c r="D821" s="1988"/>
      <c r="E821" s="1988"/>
      <c r="F821" s="1988"/>
      <c r="G821" s="678"/>
    </row>
    <row r="822" spans="1:9" ht="12.75" hidden="1" customHeight="1">
      <c r="A822" s="1725"/>
      <c r="B822" s="1725"/>
      <c r="C822" s="1740"/>
      <c r="D822" s="1988"/>
      <c r="E822" s="1988"/>
      <c r="F822" s="1988"/>
      <c r="G822" s="678"/>
    </row>
    <row r="823" spans="1:9" ht="12.75" hidden="1" customHeight="1">
      <c r="A823" s="1725"/>
      <c r="B823" s="1725"/>
      <c r="C823" s="1740"/>
      <c r="D823" s="1988"/>
      <c r="E823" s="1988"/>
      <c r="F823" s="1988"/>
      <c r="G823" s="678"/>
    </row>
    <row r="824" spans="1:9" ht="12.75" hidden="1" customHeight="1">
      <c r="A824" s="1725"/>
      <c r="B824" s="1725"/>
      <c r="C824" s="1740"/>
      <c r="D824" s="1988"/>
      <c r="E824" s="1988"/>
      <c r="F824" s="1988"/>
      <c r="G824" s="678"/>
    </row>
    <row r="825" spans="1:9" ht="12.75" hidden="1" customHeight="1">
      <c r="A825" s="1725"/>
      <c r="B825" s="1725"/>
      <c r="C825" s="1740"/>
      <c r="D825" s="1743"/>
      <c r="E825" s="6"/>
      <c r="F825" s="6"/>
      <c r="G825" s="678"/>
    </row>
    <row r="826" spans="1:9" ht="12.75" customHeight="1">
      <c r="A826" s="714"/>
      <c r="B826" s="1775" t="s">
        <v>2655</v>
      </c>
      <c r="C826" s="1740"/>
      <c r="D826" s="1858" t="s">
        <v>2278</v>
      </c>
      <c r="E826" s="1858"/>
      <c r="F826" s="1858"/>
      <c r="G826" s="678"/>
      <c r="I826" s="1774" t="s">
        <v>2489</v>
      </c>
    </row>
    <row r="827" spans="1:9" ht="12.75" customHeight="1">
      <c r="A827" s="714"/>
      <c r="B827" s="714"/>
      <c r="C827" s="1740"/>
      <c r="D827" s="1858"/>
      <c r="E827" s="1858"/>
      <c r="F827" s="1858"/>
      <c r="G827" s="678"/>
    </row>
    <row r="828" spans="1:9" ht="12.75" customHeight="1">
      <c r="A828" s="714"/>
      <c r="B828" s="714"/>
      <c r="C828" s="1740"/>
      <c r="D828" s="1858"/>
      <c r="E828" s="1858"/>
      <c r="F828" s="1858"/>
      <c r="G828" s="678"/>
    </row>
    <row r="829" spans="1:9" ht="12.75" customHeight="1">
      <c r="A829" s="403"/>
      <c r="B829" s="403"/>
      <c r="C829" s="1744"/>
      <c r="D829" s="1721"/>
      <c r="E829" s="678"/>
      <c r="F829" s="678"/>
      <c r="G829" s="678"/>
    </row>
    <row r="830" spans="1:9" ht="12.75" customHeight="1">
      <c r="A830" s="1745"/>
      <c r="B830" s="1775" t="s">
        <v>2654</v>
      </c>
      <c r="C830" s="1744"/>
      <c r="D830" s="1989" t="s">
        <v>2279</v>
      </c>
      <c r="E830" s="1989"/>
      <c r="F830" s="1989"/>
      <c r="G830" s="678"/>
    </row>
    <row r="831" spans="1:9" ht="12.75" customHeight="1">
      <c r="A831" s="556"/>
      <c r="B831" s="1745"/>
      <c r="C831" s="1744"/>
      <c r="D831" s="1989"/>
      <c r="E831" s="1989"/>
      <c r="F831" s="1989"/>
      <c r="G831" s="678"/>
    </row>
    <row r="832" spans="1:9" ht="12.75" customHeight="1">
      <c r="A832" s="403"/>
      <c r="B832" s="556"/>
      <c r="C832" s="1744"/>
      <c r="D832" s="1860" t="s">
        <v>2280</v>
      </c>
      <c r="E832" s="1860"/>
      <c r="F832" s="1860"/>
      <c r="G832" s="678"/>
    </row>
    <row r="833" spans="1:9" ht="12.75" customHeight="1">
      <c r="A833" s="403"/>
      <c r="B833" s="403"/>
      <c r="C833" s="1744"/>
      <c r="D833" s="1860"/>
      <c r="E833" s="1860"/>
      <c r="F833" s="1860"/>
      <c r="G833" s="678"/>
    </row>
    <row r="834" spans="1:9" ht="12.75" customHeight="1">
      <c r="A834" s="403"/>
      <c r="B834" s="403"/>
      <c r="C834" s="1744"/>
      <c r="D834" s="1860"/>
      <c r="E834" s="1860"/>
      <c r="F834" s="1860"/>
      <c r="G834" s="678"/>
    </row>
    <row r="835" spans="1:9" ht="12.75" customHeight="1">
      <c r="A835" s="403"/>
      <c r="B835" s="403"/>
      <c r="C835" s="1744"/>
      <c r="D835" s="1860"/>
      <c r="E835" s="1860"/>
      <c r="F835" s="1860"/>
      <c r="G835" s="678"/>
    </row>
    <row r="836" spans="1:9" ht="12.75" customHeight="1">
      <c r="A836" s="403"/>
      <c r="B836" s="403"/>
      <c r="C836" s="1744"/>
      <c r="D836" s="1860"/>
      <c r="E836" s="1860"/>
      <c r="F836" s="1860"/>
      <c r="G836" s="678"/>
    </row>
    <row r="837" spans="1:9" ht="12.75" customHeight="1">
      <c r="A837" s="403"/>
      <c r="B837" s="403"/>
      <c r="C837" s="1744"/>
      <c r="D837" s="1860"/>
      <c r="E837" s="1860"/>
      <c r="F837" s="1860"/>
      <c r="G837" s="678"/>
    </row>
    <row r="838" spans="1:9" ht="12.75" customHeight="1">
      <c r="A838" s="403"/>
      <c r="B838" s="403"/>
      <c r="C838" s="1744"/>
      <c r="D838" s="1721"/>
      <c r="E838" s="678"/>
      <c r="F838" s="678"/>
      <c r="G838" s="678"/>
    </row>
    <row r="839" spans="1:9" ht="12.75" customHeight="1">
      <c r="A839" s="403"/>
      <c r="B839" s="1775" t="s">
        <v>2654</v>
      </c>
      <c r="C839" s="1744"/>
      <c r="D839" s="1860" t="s">
        <v>2281</v>
      </c>
      <c r="E839" s="1860"/>
      <c r="F839" s="1860"/>
      <c r="G839" s="678"/>
      <c r="I839" s="1774" t="s">
        <v>2470</v>
      </c>
    </row>
    <row r="840" spans="1:9" ht="12.75" customHeight="1">
      <c r="A840" s="403"/>
      <c r="B840" s="403"/>
      <c r="C840" s="1744"/>
      <c r="D840" s="1860" t="s">
        <v>2282</v>
      </c>
      <c r="E840" s="1860"/>
      <c r="F840" s="1860"/>
      <c r="G840" s="678"/>
    </row>
    <row r="841" spans="1:9" ht="12.75" customHeight="1">
      <c r="A841" s="403"/>
      <c r="B841" s="403"/>
      <c r="C841" s="1744"/>
      <c r="D841" s="183" t="s">
        <v>2248</v>
      </c>
      <c r="E841" s="1990" t="s">
        <v>2283</v>
      </c>
      <c r="F841" s="1990"/>
      <c r="G841" s="678"/>
    </row>
    <row r="842" spans="1:9" ht="12.75" customHeight="1">
      <c r="A842" s="403"/>
      <c r="B842" s="403"/>
      <c r="C842" s="1744"/>
      <c r="D842" s="1721"/>
      <c r="E842" s="678"/>
      <c r="F842" s="678"/>
      <c r="G842" s="678"/>
    </row>
    <row r="843" spans="1:9" ht="12.75" customHeight="1">
      <c r="A843" s="403"/>
      <c r="B843" s="1775" t="s">
        <v>2654</v>
      </c>
      <c r="C843" s="1744"/>
      <c r="D843" s="1860" t="s">
        <v>2284</v>
      </c>
      <c r="E843" s="1860"/>
      <c r="F843" s="1860"/>
      <c r="G843" s="678"/>
      <c r="I843" s="1774" t="s">
        <v>2490</v>
      </c>
    </row>
    <row r="844" spans="1:9" ht="12.75" customHeight="1">
      <c r="A844" s="403"/>
      <c r="B844" s="403"/>
      <c r="C844" s="1744"/>
      <c r="D844" s="1860"/>
      <c r="E844" s="1860"/>
      <c r="F844" s="1860"/>
      <c r="G844" s="678"/>
    </row>
    <row r="845" spans="1:9" ht="12.75" customHeight="1">
      <c r="A845" s="403"/>
      <c r="B845" s="403"/>
      <c r="C845" s="1744"/>
      <c r="D845" s="1860"/>
      <c r="E845" s="1860"/>
      <c r="F845" s="1860"/>
      <c r="G845" s="678"/>
    </row>
    <row r="846" spans="1:9" ht="12.75" customHeight="1">
      <c r="A846" s="403"/>
      <c r="B846" s="403"/>
      <c r="C846" s="1744"/>
      <c r="D846" s="1860"/>
      <c r="E846" s="1860"/>
      <c r="F846" s="1860"/>
      <c r="G846" s="678"/>
    </row>
    <row r="847" spans="1:9" ht="12.75" customHeight="1">
      <c r="A847" s="1714"/>
      <c r="B847" s="1714"/>
      <c r="C847" s="1746"/>
      <c r="D847" s="1708"/>
      <c r="E847" s="6"/>
      <c r="F847" s="6"/>
      <c r="G847" s="678"/>
    </row>
    <row r="848" spans="1:9" ht="12.75" customHeight="1">
      <c r="A848" s="1720" t="s">
        <v>2285</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2" t="s">
        <v>2323</v>
      </c>
      <c r="E850" s="1882"/>
      <c r="F850" s="1882"/>
      <c r="G850" s="1739"/>
    </row>
    <row r="851" spans="1:9" ht="12.75" customHeight="1">
      <c r="A851" s="1742"/>
      <c r="B851" s="1742"/>
      <c r="C851" s="313"/>
      <c r="D851" s="1991" t="s">
        <v>2286</v>
      </c>
      <c r="E851" s="1991"/>
      <c r="F851" s="1991"/>
      <c r="G851" s="1739"/>
    </row>
    <row r="852" spans="1:9" ht="12.75" customHeight="1">
      <c r="A852" s="1742"/>
      <c r="B852" s="1742"/>
      <c r="C852" s="313"/>
      <c r="D852" s="1750"/>
      <c r="E852" s="1750"/>
      <c r="F852" s="1750"/>
      <c r="G852" s="1739"/>
    </row>
    <row r="853" spans="1:9" ht="12.75" customHeight="1">
      <c r="A853" s="714"/>
      <c r="B853" s="798" t="s">
        <v>2655</v>
      </c>
      <c r="C853" s="556"/>
      <c r="D853" s="1883" t="s">
        <v>2287</v>
      </c>
      <c r="E853" s="1883"/>
      <c r="F853" s="1883"/>
      <c r="G853" s="1739"/>
      <c r="I853" s="1774" t="s">
        <v>2470</v>
      </c>
    </row>
    <row r="854" spans="1:9" ht="12.75" customHeight="1">
      <c r="A854" s="1742"/>
      <c r="B854" s="1742"/>
      <c r="C854" s="556"/>
      <c r="D854" s="5" t="s">
        <v>2248</v>
      </c>
      <c r="E854" s="1993" t="s">
        <v>2283</v>
      </c>
      <c r="F854" s="1993"/>
      <c r="G854" s="1739"/>
    </row>
    <row r="855" spans="1:9" ht="12.75" customHeight="1">
      <c r="A855" s="1742"/>
      <c r="B855" s="1742"/>
      <c r="C855" s="556"/>
      <c r="D855" s="1708"/>
      <c r="E855" s="1738"/>
      <c r="F855" s="1738"/>
      <c r="G855" s="1739"/>
    </row>
    <row r="856" spans="1:9" ht="12.75" customHeight="1">
      <c r="A856" s="714"/>
      <c r="B856" s="798" t="s">
        <v>2655</v>
      </c>
      <c r="C856" s="556"/>
      <c r="D856" s="1858" t="s">
        <v>2288</v>
      </c>
      <c r="E856" s="1932"/>
      <c r="F856" s="1932"/>
      <c r="G856" s="678"/>
      <c r="I856" s="1774" t="s">
        <v>2490</v>
      </c>
    </row>
    <row r="857" spans="1:9" ht="12.75" customHeight="1">
      <c r="A857" s="1742"/>
      <c r="B857" s="1742"/>
      <c r="C857" s="556"/>
      <c r="D857" s="1932"/>
      <c r="E857" s="1932"/>
      <c r="F857" s="1932"/>
      <c r="G857" s="678"/>
    </row>
    <row r="858" spans="1:9" ht="12.75" customHeight="1">
      <c r="A858" s="1742"/>
      <c r="B858" s="1742"/>
      <c r="C858" s="556"/>
      <c r="D858" s="1708"/>
      <c r="E858" s="6"/>
      <c r="F858" s="6"/>
      <c r="G858" s="678"/>
    </row>
    <row r="859" spans="1:9" ht="12.75" customHeight="1">
      <c r="A859" s="556"/>
      <c r="B859" s="1775" t="s">
        <v>2654</v>
      </c>
      <c r="C859" s="557"/>
      <c r="D859" s="1994" t="s">
        <v>2289</v>
      </c>
      <c r="E859" s="1994"/>
      <c r="F859" s="1994"/>
      <c r="G859" s="1739"/>
    </row>
    <row r="860" spans="1:9" ht="12.75" customHeight="1">
      <c r="A860" s="556"/>
      <c r="B860" s="1751"/>
      <c r="C860" s="557"/>
      <c r="D860" s="1994"/>
      <c r="E860" s="1994"/>
      <c r="F860" s="1994"/>
      <c r="G860" s="1739"/>
    </row>
    <row r="861" spans="1:9" ht="12.75" customHeight="1">
      <c r="A861" s="714"/>
      <c r="B861" s="677"/>
      <c r="C861" s="556"/>
      <c r="D861" s="1860" t="s">
        <v>2280</v>
      </c>
      <c r="E861" s="1860"/>
      <c r="F861" s="1860"/>
      <c r="G861" s="1739"/>
    </row>
    <row r="862" spans="1:9" ht="12.75" customHeight="1">
      <c r="A862" s="714"/>
      <c r="B862" s="714"/>
      <c r="C862" s="556"/>
      <c r="D862" s="1860"/>
      <c r="E862" s="1860"/>
      <c r="F862" s="1860"/>
      <c r="G862" s="1739"/>
    </row>
    <row r="863" spans="1:9" ht="12.75" customHeight="1">
      <c r="A863" s="714"/>
      <c r="B863" s="714"/>
      <c r="C863" s="556"/>
      <c r="D863" s="1860"/>
      <c r="E863" s="1860"/>
      <c r="F863" s="1860"/>
      <c r="G863" s="1739"/>
    </row>
    <row r="864" spans="1:9" ht="12.75" customHeight="1">
      <c r="A864" s="714"/>
      <c r="B864" s="714"/>
      <c r="C864" s="556"/>
      <c r="D864" s="1860"/>
      <c r="E864" s="1860"/>
      <c r="F864" s="1860"/>
      <c r="G864" s="1739"/>
    </row>
    <row r="865" spans="1:9" ht="12.75" customHeight="1">
      <c r="A865" s="714"/>
      <c r="B865" s="714"/>
      <c r="C865" s="556"/>
      <c r="D865" s="1860"/>
      <c r="E865" s="1860"/>
      <c r="F865" s="1860"/>
      <c r="G865" s="1739"/>
    </row>
    <row r="866" spans="1:9" ht="12.75" customHeight="1">
      <c r="A866" s="714"/>
      <c r="B866" s="714"/>
      <c r="C866" s="556"/>
      <c r="D866" s="1860"/>
      <c r="E866" s="1860"/>
      <c r="F866" s="1860"/>
      <c r="G866" s="1739"/>
    </row>
    <row r="867" spans="1:9" ht="12.75" customHeight="1">
      <c r="A867" s="714"/>
      <c r="B867" s="714"/>
      <c r="C867" s="556"/>
      <c r="D867" s="1708"/>
      <c r="E867" s="1738"/>
      <c r="F867" s="1738"/>
      <c r="G867" s="1739"/>
    </row>
    <row r="868" spans="1:9" ht="12.75" customHeight="1">
      <c r="A868" s="714"/>
      <c r="B868" s="1775" t="s">
        <v>2654</v>
      </c>
      <c r="C868" s="556"/>
      <c r="D868" s="1887" t="s">
        <v>2281</v>
      </c>
      <c r="E868" s="1887"/>
      <c r="F868" s="1887"/>
      <c r="G868" s="1739"/>
      <c r="I868" s="1774" t="s">
        <v>2470</v>
      </c>
    </row>
    <row r="869" spans="1:9" ht="12.75" customHeight="1">
      <c r="A869" s="714"/>
      <c r="B869" s="714"/>
      <c r="C869" s="556"/>
      <c r="D869" s="1887" t="s">
        <v>2282</v>
      </c>
      <c r="E869" s="1887"/>
      <c r="F869" s="1887"/>
      <c r="G869" s="1739"/>
    </row>
    <row r="870" spans="1:9" ht="12.75" customHeight="1">
      <c r="A870" s="714"/>
      <c r="B870" s="714"/>
      <c r="C870" s="556"/>
      <c r="D870" s="5" t="s">
        <v>1503</v>
      </c>
      <c r="E870" s="1995" t="s">
        <v>2283</v>
      </c>
      <c r="F870" s="1995"/>
      <c r="G870" s="1739"/>
    </row>
    <row r="871" spans="1:9" ht="12.75" customHeight="1">
      <c r="A871" s="714"/>
      <c r="B871" s="714"/>
      <c r="C871" s="556"/>
      <c r="D871" s="1708"/>
      <c r="E871" s="1738"/>
      <c r="F871" s="1738"/>
      <c r="G871" s="1739"/>
    </row>
    <row r="872" spans="1:9" ht="12.75" customHeight="1">
      <c r="A872" s="714"/>
      <c r="B872" s="1775" t="s">
        <v>2654</v>
      </c>
      <c r="C872" s="556"/>
      <c r="D872" s="1858" t="s">
        <v>2284</v>
      </c>
      <c r="E872" s="1858"/>
      <c r="F872" s="1858"/>
      <c r="G872" s="1739"/>
      <c r="I872" s="1774" t="s">
        <v>2490</v>
      </c>
    </row>
    <row r="873" spans="1:9" ht="12.75" customHeight="1">
      <c r="A873" s="714"/>
      <c r="B873" s="714"/>
      <c r="C873" s="556"/>
      <c r="D873" s="1858"/>
      <c r="E873" s="1858"/>
      <c r="F873" s="1858"/>
      <c r="G873" s="1739"/>
    </row>
    <row r="874" spans="1:9" ht="12.75" customHeight="1">
      <c r="A874" s="714"/>
      <c r="B874" s="714"/>
      <c r="C874" s="556"/>
      <c r="D874" s="1858"/>
      <c r="E874" s="1858"/>
      <c r="F874" s="1858"/>
      <c r="G874" s="1739"/>
    </row>
    <row r="875" spans="1:9" ht="12.75" customHeight="1">
      <c r="A875" s="714"/>
      <c r="B875" s="714"/>
      <c r="C875" s="556"/>
      <c r="D875" s="1858"/>
      <c r="E875" s="1858"/>
      <c r="F875" s="1858"/>
      <c r="G875" s="1739"/>
    </row>
    <row r="876" spans="1:9" ht="12.75" customHeight="1">
      <c r="A876" s="1709"/>
      <c r="B876" s="1709"/>
      <c r="C876" s="1740"/>
      <c r="D876" s="1738"/>
      <c r="E876" s="1738"/>
      <c r="F876" s="1738"/>
      <c r="G876" s="1739"/>
    </row>
    <row r="877" spans="1:9" ht="12.75" customHeight="1">
      <c r="A877" s="1893" t="s">
        <v>2324</v>
      </c>
      <c r="B877" s="1893"/>
      <c r="C877" s="1893"/>
      <c r="D877" s="1893"/>
      <c r="E877" s="1893"/>
      <c r="F877" s="1893"/>
      <c r="G877" s="189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2" t="s">
        <v>2330</v>
      </c>
      <c r="E879" s="1902"/>
      <c r="F879" s="190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2655</v>
      </c>
      <c r="C881" s="93"/>
      <c r="D881" s="1722" t="s">
        <v>2331</v>
      </c>
      <c r="E881" s="1716"/>
      <c r="F881" s="1716"/>
      <c r="G881" s="93"/>
      <c r="I881" s="1774" t="s">
        <v>2504</v>
      </c>
    </row>
    <row r="882" spans="1:9" s="1772" customFormat="1" ht="12.75" customHeight="1">
      <c r="A882" s="93"/>
      <c r="B882" s="93"/>
      <c r="C882" s="93"/>
      <c r="D882" s="1716"/>
      <c r="E882" s="1716"/>
      <c r="F882" s="1716"/>
      <c r="G882" s="93"/>
      <c r="I882" s="1774"/>
    </row>
    <row r="883" spans="1:9" ht="12.75" customHeight="1">
      <c r="A883" s="1742"/>
      <c r="B883" s="1742"/>
      <c r="C883" s="1740"/>
      <c r="D883" s="1902" t="s">
        <v>2325</v>
      </c>
      <c r="E883" s="1902"/>
      <c r="F883" s="1902"/>
      <c r="G883" s="1739"/>
    </row>
    <row r="884" spans="1:9" ht="12.75" customHeight="1">
      <c r="A884" s="1714"/>
      <c r="B884" s="1714"/>
      <c r="C884" s="1746"/>
      <c r="D884" s="1883" t="s">
        <v>2290</v>
      </c>
      <c r="E884" s="1883"/>
      <c r="F884" s="1883"/>
      <c r="G884" s="1739"/>
    </row>
    <row r="885" spans="1:9" ht="12.75" customHeight="1">
      <c r="A885" s="1756"/>
      <c r="B885" s="1756"/>
      <c r="C885" s="1740"/>
      <c r="D885" s="5"/>
      <c r="E885" s="1738"/>
      <c r="F885" s="1738"/>
      <c r="G885" s="1739"/>
    </row>
    <row r="886" spans="1:9" ht="12.75" customHeight="1">
      <c r="A886" s="714"/>
      <c r="B886" s="1775" t="s">
        <v>2654</v>
      </c>
      <c r="C886" s="556"/>
      <c r="D886" s="1858" t="s">
        <v>2294</v>
      </c>
      <c r="E886" s="1858"/>
      <c r="F886" s="1858"/>
      <c r="G886" s="678"/>
      <c r="I886" s="1774" t="s">
        <v>2454</v>
      </c>
    </row>
    <row r="887" spans="1:9" ht="12.75" customHeight="1">
      <c r="A887" s="1742"/>
      <c r="B887" s="1742"/>
      <c r="C887" s="556"/>
      <c r="D887" s="1858"/>
      <c r="E887" s="1858"/>
      <c r="F887" s="1858"/>
      <c r="G887" s="678"/>
    </row>
    <row r="888" spans="1:9" s="1772" customFormat="1" ht="12.75" customHeight="1">
      <c r="A888" s="1846"/>
      <c r="B888" s="1846"/>
      <c r="C888" s="1746"/>
      <c r="D888" s="1858" t="s">
        <v>2293</v>
      </c>
      <c r="E888" s="1858"/>
      <c r="F888" s="1858"/>
      <c r="G888" s="1739"/>
      <c r="I888" s="1774"/>
    </row>
    <row r="889" spans="1:9" s="1772" customFormat="1" ht="12.75" customHeight="1">
      <c r="A889" s="1846"/>
      <c r="B889" s="1846"/>
      <c r="C889" s="1746"/>
      <c r="D889" s="1858"/>
      <c r="E889" s="1858"/>
      <c r="F889" s="1858"/>
      <c r="G889" s="1739"/>
      <c r="I889" s="1774"/>
    </row>
    <row r="890" spans="1:9" ht="12.75" customHeight="1">
      <c r="A890" s="1714"/>
      <c r="B890" s="1714"/>
      <c r="C890" s="1746"/>
      <c r="D890" s="6"/>
      <c r="E890" s="6"/>
      <c r="F890" s="1738"/>
      <c r="G890" s="1739"/>
    </row>
    <row r="891" spans="1:9" ht="12.75" customHeight="1">
      <c r="A891" s="403"/>
      <c r="B891" s="1775" t="s">
        <v>2654</v>
      </c>
      <c r="C891" s="486"/>
      <c r="D891" s="1990" t="s">
        <v>2291</v>
      </c>
      <c r="E891" s="1990"/>
      <c r="F891" s="1990"/>
      <c r="G891" s="1739"/>
      <c r="I891" s="1774" t="s">
        <v>2453</v>
      </c>
    </row>
    <row r="892" spans="1:9" ht="12.75" customHeight="1">
      <c r="A892" s="403"/>
      <c r="B892" s="403"/>
      <c r="C892" s="486"/>
      <c r="D892" s="1990"/>
      <c r="E892" s="1990"/>
      <c r="F892" s="1990"/>
      <c r="G892" s="1739"/>
    </row>
    <row r="893" spans="1:9" ht="12.75" customHeight="1">
      <c r="A893" s="403"/>
      <c r="B893" s="403"/>
      <c r="C893" s="486"/>
      <c r="D893" s="1990"/>
      <c r="E893" s="1990"/>
      <c r="F893" s="1990"/>
      <c r="G893" s="1739"/>
    </row>
    <row r="894" spans="1:9" s="1772" customFormat="1" ht="12.75" customHeight="1">
      <c r="A894" s="403"/>
      <c r="B894" s="403"/>
      <c r="C894" s="486"/>
      <c r="D894" s="1990"/>
      <c r="E894" s="1990"/>
      <c r="F894" s="1990"/>
      <c r="G894" s="1739"/>
      <c r="I894" s="1774"/>
    </row>
    <row r="895" spans="1:9" ht="12.75" customHeight="1">
      <c r="A895" s="403"/>
      <c r="B895" s="403"/>
      <c r="C895" s="486"/>
      <c r="D895" s="1990"/>
      <c r="E895" s="1990"/>
      <c r="F895" s="1990"/>
      <c r="G895" s="1739"/>
    </row>
    <row r="896" spans="1:9" ht="12.75" customHeight="1">
      <c r="A896" s="487"/>
      <c r="B896" s="487"/>
      <c r="C896" s="486"/>
      <c r="D896" s="1990"/>
      <c r="E896" s="1990"/>
      <c r="F896" s="1990"/>
      <c r="G896" s="1739"/>
    </row>
    <row r="897" spans="1:9" ht="12.75" customHeight="1">
      <c r="A897" s="487"/>
      <c r="B897" s="487"/>
      <c r="C897" s="486"/>
      <c r="D897" s="1990"/>
      <c r="E897" s="1990"/>
      <c r="F897" s="1990"/>
      <c r="G897" s="1739"/>
    </row>
    <row r="898" spans="1:9" ht="12.75" customHeight="1">
      <c r="A898" s="487"/>
      <c r="B898" s="487"/>
      <c r="C898" s="486"/>
      <c r="D898" s="1990"/>
      <c r="E898" s="1990"/>
      <c r="F898" s="1990"/>
      <c r="G898" s="1739"/>
    </row>
    <row r="899" spans="1:9" s="1772" customFormat="1" ht="12.75" customHeight="1">
      <c r="A899" s="487"/>
      <c r="B899" s="487"/>
      <c r="C899" s="486"/>
      <c r="D899" s="1847"/>
      <c r="E899" s="1847"/>
      <c r="F899" s="1847"/>
      <c r="G899" s="1739"/>
      <c r="I899" s="1774"/>
    </row>
    <row r="900" spans="1:9" ht="12.75" customHeight="1">
      <c r="A900" s="1756"/>
      <c r="B900" s="1775" t="s">
        <v>2654</v>
      </c>
      <c r="C900" s="1740"/>
      <c r="D900" s="1858" t="s">
        <v>2295</v>
      </c>
      <c r="E900" s="1858"/>
      <c r="F900" s="1858"/>
      <c r="G900" s="1739"/>
    </row>
    <row r="901" spans="1:9" ht="12.75" customHeight="1">
      <c r="A901" s="1756"/>
      <c r="B901" s="1756"/>
      <c r="C901" s="1740"/>
      <c r="D901" s="1858"/>
      <c r="E901" s="1858"/>
      <c r="F901" s="1858"/>
      <c r="G901" s="1739"/>
    </row>
    <row r="902" spans="1:9" ht="12.75" customHeight="1">
      <c r="A902" s="1756"/>
      <c r="B902" s="1756"/>
      <c r="C902" s="1740"/>
      <c r="D902" s="1738"/>
      <c r="E902" s="1738"/>
      <c r="F902" s="1738"/>
      <c r="G902" s="1739"/>
    </row>
    <row r="903" spans="1:9" ht="12.75" customHeight="1">
      <c r="A903" s="1756"/>
      <c r="B903" s="1775" t="s">
        <v>2654</v>
      </c>
      <c r="C903" s="1740"/>
      <c r="D903" s="1916" t="s">
        <v>2296</v>
      </c>
      <c r="E903" s="1916"/>
      <c r="F903" s="1916"/>
      <c r="G903" s="1739"/>
    </row>
    <row r="904" spans="1:9" ht="12.75" customHeight="1">
      <c r="A904" s="1756"/>
      <c r="B904" s="1756"/>
      <c r="C904" s="1740"/>
      <c r="D904" s="1916"/>
      <c r="E904" s="1916"/>
      <c r="F904" s="1916"/>
      <c r="G904" s="1739"/>
    </row>
    <row r="905" spans="1:9" ht="12.75" customHeight="1">
      <c r="A905" s="1756"/>
      <c r="B905" s="1756"/>
      <c r="C905" s="1740"/>
      <c r="D905" s="1916"/>
      <c r="E905" s="1916"/>
      <c r="F905" s="1916"/>
      <c r="G905" s="1739"/>
    </row>
    <row r="906" spans="1:9" ht="12.75" customHeight="1">
      <c r="A906" s="1756"/>
      <c r="B906" s="1756"/>
      <c r="C906" s="1740"/>
      <c r="D906" s="1916"/>
      <c r="E906" s="1916"/>
      <c r="F906" s="1916"/>
      <c r="G906" s="1739"/>
    </row>
    <row r="907" spans="1:9" ht="12.75" customHeight="1">
      <c r="A907" s="1756"/>
      <c r="B907" s="1756"/>
      <c r="C907" s="1740"/>
      <c r="D907" s="1708"/>
      <c r="E907" s="1738"/>
      <c r="F907" s="1738"/>
      <c r="G907" s="1739"/>
    </row>
    <row r="908" spans="1:9" ht="12.75" customHeight="1">
      <c r="A908" s="1756"/>
      <c r="B908" s="1775" t="s">
        <v>2654</v>
      </c>
      <c r="C908" s="1740"/>
      <c r="D908" s="1883" t="s">
        <v>2297</v>
      </c>
      <c r="E908" s="1883"/>
      <c r="F908" s="1883"/>
      <c r="G908" s="1739"/>
    </row>
    <row r="909" spans="1:9" ht="12.75" customHeight="1">
      <c r="A909" s="1756"/>
      <c r="B909" s="1756"/>
      <c r="C909" s="1740"/>
      <c r="D909" s="1708"/>
      <c r="E909" s="1738"/>
      <c r="F909" s="1738"/>
      <c r="G909" s="1739"/>
    </row>
    <row r="910" spans="1:9" ht="12.75" customHeight="1">
      <c r="A910" s="1756"/>
      <c r="B910" s="1775" t="s">
        <v>2654</v>
      </c>
      <c r="C910" s="1740"/>
      <c r="D910" s="1883" t="s">
        <v>2298</v>
      </c>
      <c r="E910" s="1883"/>
      <c r="F910" s="1883"/>
      <c r="G910" s="1739"/>
    </row>
    <row r="911" spans="1:9" ht="12.75" customHeight="1">
      <c r="A911" s="487"/>
      <c r="B911" s="487"/>
      <c r="C911" s="486"/>
      <c r="D911" s="183"/>
      <c r="E911" s="678"/>
      <c r="F911" s="1739"/>
      <c r="G911" s="1739"/>
    </row>
    <row r="912" spans="1:9" ht="12.75" customHeight="1">
      <c r="A912" s="1752"/>
      <c r="B912" s="1775" t="s">
        <v>2654</v>
      </c>
      <c r="C912" s="1753"/>
      <c r="D912" s="1990" t="s">
        <v>2292</v>
      </c>
      <c r="E912" s="1990"/>
      <c r="F912" s="1990"/>
      <c r="G912" s="1754"/>
      <c r="I912" s="1774" t="s">
        <v>2505</v>
      </c>
    </row>
    <row r="913" spans="1:9" ht="12.75" customHeight="1">
      <c r="A913" s="1752"/>
      <c r="B913" s="1752"/>
      <c r="C913" s="1753"/>
      <c r="D913" s="1990"/>
      <c r="E913" s="1990"/>
      <c r="F913" s="1990"/>
      <c r="G913" s="1754"/>
    </row>
    <row r="914" spans="1:9" ht="12.75" customHeight="1">
      <c r="A914" s="1752"/>
      <c r="B914" s="1752"/>
      <c r="C914" s="1753"/>
      <c r="D914" s="1990"/>
      <c r="E914" s="1990"/>
      <c r="F914" s="1990"/>
      <c r="G914" s="1754"/>
    </row>
    <row r="915" spans="1:9" ht="12.75" customHeight="1">
      <c r="A915" s="1752"/>
      <c r="B915" s="1752"/>
      <c r="C915" s="1753"/>
      <c r="D915" s="1990"/>
      <c r="E915" s="1990"/>
      <c r="F915" s="1990"/>
      <c r="G915" s="1754"/>
    </row>
    <row r="916" spans="1:9" ht="12.75" customHeight="1">
      <c r="A916" s="1752"/>
      <c r="B916" s="1752"/>
      <c r="C916" s="1753"/>
      <c r="D916" s="1990"/>
      <c r="E916" s="1990"/>
      <c r="F916" s="1990"/>
      <c r="G916" s="1754"/>
    </row>
    <row r="917" spans="1:9" ht="12.75" customHeight="1">
      <c r="A917" s="1752"/>
      <c r="B917" s="1752"/>
      <c r="C917" s="1753"/>
      <c r="D917" s="1990"/>
      <c r="E917" s="1990"/>
      <c r="F917" s="1990"/>
      <c r="G917" s="1754"/>
    </row>
    <row r="918" spans="1:9" ht="12.75" customHeight="1">
      <c r="A918" s="1752"/>
      <c r="B918" s="1752"/>
      <c r="C918" s="1753"/>
      <c r="D918" s="1990"/>
      <c r="E918" s="1990"/>
      <c r="F918" s="1990"/>
      <c r="G918" s="1754"/>
    </row>
    <row r="919" spans="1:9" ht="12.75" customHeight="1">
      <c r="A919" s="1752"/>
      <c r="B919" s="1752"/>
      <c r="C919" s="1753"/>
      <c r="D919" s="1990"/>
      <c r="E919" s="1990"/>
      <c r="F919" s="1990"/>
      <c r="G919" s="1754"/>
    </row>
    <row r="920" spans="1:9" ht="12.75" customHeight="1">
      <c r="A920" s="1752"/>
      <c r="B920" s="1752"/>
      <c r="C920" s="1753"/>
      <c r="D920" s="1990"/>
      <c r="E920" s="1990"/>
      <c r="F920" s="1990"/>
      <c r="G920" s="1754"/>
    </row>
    <row r="921" spans="1:9" ht="12.75" customHeight="1">
      <c r="A921" s="487"/>
      <c r="B921" s="487"/>
      <c r="C921" s="486"/>
      <c r="D921" s="183"/>
      <c r="E921" s="678"/>
      <c r="F921" s="1739"/>
      <c r="G921" s="1739"/>
    </row>
    <row r="922" spans="1:9" ht="12.75" customHeight="1">
      <c r="A922" s="403"/>
      <c r="B922" s="1775" t="s">
        <v>2654</v>
      </c>
      <c r="C922" s="486"/>
      <c r="D922" s="1992" t="s">
        <v>2508</v>
      </c>
      <c r="E922" s="1992"/>
      <c r="F922" s="1992"/>
      <c r="G922" s="1739"/>
      <c r="I922" s="1774" t="s">
        <v>2505</v>
      </c>
    </row>
    <row r="923" spans="1:9" ht="12.75" customHeight="1">
      <c r="A923" s="403"/>
      <c r="B923" s="403"/>
      <c r="C923" s="486"/>
      <c r="D923" s="1992"/>
      <c r="E923" s="1992"/>
      <c r="F923" s="1992"/>
      <c r="G923" s="1739"/>
    </row>
    <row r="924" spans="1:9" ht="12.75" customHeight="1">
      <c r="A924" s="403"/>
      <c r="B924" s="403"/>
      <c r="C924" s="486"/>
      <c r="D924" s="1992"/>
      <c r="E924" s="1992"/>
      <c r="F924" s="1992"/>
      <c r="G924" s="1739"/>
    </row>
    <row r="925" spans="1:9" ht="12.75" customHeight="1">
      <c r="A925" s="403"/>
      <c r="B925" s="403"/>
      <c r="C925" s="486"/>
      <c r="D925" s="1992"/>
      <c r="E925" s="1992"/>
      <c r="F925" s="1992"/>
      <c r="G925" s="1739"/>
    </row>
    <row r="926" spans="1:9" ht="12.75" customHeight="1">
      <c r="A926" s="403"/>
      <c r="B926" s="403"/>
      <c r="C926" s="486"/>
      <c r="D926" s="1992"/>
      <c r="E926" s="1992"/>
      <c r="F926" s="1992"/>
      <c r="G926" s="1739"/>
    </row>
    <row r="927" spans="1:9" ht="12.75" customHeight="1">
      <c r="A927" s="403"/>
      <c r="B927" s="403"/>
      <c r="C927" s="486"/>
      <c r="D927" s="1992"/>
      <c r="E927" s="1992"/>
      <c r="F927" s="1992"/>
      <c r="G927" s="1739"/>
    </row>
    <row r="928" spans="1:9" ht="12.75" customHeight="1">
      <c r="A928" s="403"/>
      <c r="B928" s="403"/>
      <c r="C928" s="486"/>
      <c r="D928" s="1992"/>
      <c r="E928" s="1992"/>
      <c r="F928" s="199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2654</v>
      </c>
      <c r="C930" s="486"/>
      <c r="D930" s="1918" t="s">
        <v>2506</v>
      </c>
      <c r="E930" s="1918"/>
      <c r="F930" s="1918"/>
      <c r="G930" s="1739"/>
      <c r="I930" s="1774"/>
    </row>
    <row r="931" spans="1:9" s="1772" customFormat="1" ht="12.75" customHeight="1">
      <c r="A931" s="403"/>
      <c r="B931" s="403"/>
      <c r="C931" s="486"/>
      <c r="D931" s="1918"/>
      <c r="E931" s="1918"/>
      <c r="F931" s="1918"/>
      <c r="G931" s="1739"/>
      <c r="I931" s="1774"/>
    </row>
    <row r="932" spans="1:9" s="1772" customFormat="1" ht="12.75" customHeight="1">
      <c r="A932" s="403"/>
      <c r="B932" s="403"/>
      <c r="C932" s="486"/>
      <c r="D932" s="1918"/>
      <c r="E932" s="1918"/>
      <c r="F932" s="1918"/>
      <c r="G932" s="1739"/>
      <c r="I932" s="1774"/>
    </row>
    <row r="933" spans="1:9" s="1772" customFormat="1" ht="12.75" customHeight="1">
      <c r="A933" s="403"/>
      <c r="B933" s="403"/>
      <c r="C933" s="486"/>
      <c r="D933" s="1918"/>
      <c r="E933" s="1918"/>
      <c r="F933" s="1918"/>
      <c r="G933" s="1739"/>
      <c r="I933" s="1774"/>
    </row>
    <row r="934" spans="1:9" s="1772" customFormat="1" ht="12.75" customHeight="1">
      <c r="A934" s="403"/>
      <c r="B934" s="403"/>
      <c r="C934" s="486"/>
      <c r="D934" s="1918"/>
      <c r="E934" s="1918"/>
      <c r="F934" s="1918"/>
      <c r="G934" s="1739"/>
      <c r="I934" s="1774"/>
    </row>
    <row r="935" spans="1:9" s="1772" customFormat="1" ht="12.75" customHeight="1">
      <c r="A935" s="403"/>
      <c r="B935" s="403"/>
      <c r="C935" s="486"/>
      <c r="D935" s="1918"/>
      <c r="E935" s="1918"/>
      <c r="F935" s="1918"/>
      <c r="G935" s="1739"/>
      <c r="I935" s="1774"/>
    </row>
    <row r="936" spans="1:9" s="1772" customFormat="1" ht="12.75" customHeight="1">
      <c r="A936" s="403"/>
      <c r="B936" s="403"/>
      <c r="C936" s="486"/>
      <c r="D936" s="1848"/>
      <c r="E936" s="1848"/>
      <c r="F936" s="1848"/>
      <c r="G936" s="1739"/>
      <c r="I936" s="1774"/>
    </row>
    <row r="937" spans="1:9" ht="12.75" customHeight="1">
      <c r="A937" s="1756"/>
      <c r="B937" s="1775" t="s">
        <v>2654</v>
      </c>
      <c r="C937" s="1740"/>
      <c r="D937" s="1996" t="s">
        <v>2299</v>
      </c>
      <c r="E937" s="1996"/>
      <c r="F937" s="1996"/>
      <c r="G937" s="1739"/>
    </row>
    <row r="938" spans="1:9" ht="12.75" customHeight="1">
      <c r="A938" s="1756"/>
      <c r="B938" s="1756"/>
      <c r="C938" s="1740"/>
      <c r="D938" s="1996"/>
      <c r="E938" s="1996"/>
      <c r="F938" s="1996"/>
      <c r="G938" s="1739"/>
    </row>
    <row r="939" spans="1:9" ht="12.75" customHeight="1">
      <c r="A939" s="1756"/>
      <c r="B939" s="1756"/>
      <c r="C939" s="1740"/>
      <c r="D939" s="1996"/>
      <c r="E939" s="1996"/>
      <c r="F939" s="199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1775" t="s">
        <v>2654</v>
      </c>
      <c r="C942" s="486"/>
      <c r="D942" s="1990" t="s">
        <v>2507</v>
      </c>
      <c r="E942" s="1990"/>
      <c r="F942" s="1990"/>
      <c r="G942" s="1739"/>
      <c r="I942" s="1774" t="s">
        <v>2505</v>
      </c>
    </row>
    <row r="943" spans="1:9" ht="12.75" customHeight="1">
      <c r="A943" s="403"/>
      <c r="B943" s="403"/>
      <c r="C943" s="486"/>
      <c r="D943" s="1990"/>
      <c r="E943" s="1990"/>
      <c r="F943" s="1990"/>
      <c r="G943" s="1739"/>
    </row>
    <row r="944" spans="1:9" ht="12.75" customHeight="1">
      <c r="A944" s="403"/>
      <c r="B944" s="403"/>
      <c r="C944" s="486"/>
      <c r="D944" s="1990"/>
      <c r="E944" s="1990"/>
      <c r="F944" s="1990"/>
      <c r="G944" s="1739"/>
    </row>
    <row r="945" spans="1:9" ht="12.75" customHeight="1">
      <c r="A945" s="403"/>
      <c r="B945" s="403"/>
      <c r="C945" s="486"/>
      <c r="D945" s="1990"/>
      <c r="E945" s="1990"/>
      <c r="F945" s="1990"/>
      <c r="G945" s="1739"/>
    </row>
    <row r="946" spans="1:9" ht="12.75" customHeight="1">
      <c r="A946" s="1758"/>
      <c r="B946" s="1758"/>
      <c r="C946" s="1744"/>
      <c r="D946" s="1705"/>
      <c r="E946" s="1705"/>
      <c r="F946" s="1705"/>
      <c r="G946" s="1705"/>
    </row>
    <row r="947" spans="1:9" ht="12.75" customHeight="1">
      <c r="A947" s="1742"/>
      <c r="B947" s="1742"/>
      <c r="C947" s="556"/>
      <c r="D947" s="1882" t="s">
        <v>2300</v>
      </c>
      <c r="E947" s="1882"/>
      <c r="F947" s="1882"/>
      <c r="G947" s="678"/>
    </row>
    <row r="948" spans="1:9" ht="12.75" customHeight="1">
      <c r="A948" s="714"/>
      <c r="B948" s="1775" t="s">
        <v>2654</v>
      </c>
      <c r="C948" s="556"/>
      <c r="D948" s="1883" t="s">
        <v>2326</v>
      </c>
      <c r="E948" s="1883"/>
      <c r="F948" s="1883"/>
      <c r="G948" s="678"/>
      <c r="I948" s="1774" t="s">
        <v>2505</v>
      </c>
    </row>
    <row r="949" spans="1:9" ht="12.75" customHeight="1">
      <c r="A949" s="1742"/>
      <c r="B949" s="1742"/>
      <c r="C949" s="556"/>
      <c r="D949" s="6"/>
      <c r="E949" s="6"/>
      <c r="F949" s="6"/>
      <c r="G949" s="678"/>
    </row>
    <row r="950" spans="1:9" ht="12.75" customHeight="1">
      <c r="A950" s="1742"/>
      <c r="B950" s="1742"/>
      <c r="C950" s="556"/>
      <c r="D950" s="1882" t="s">
        <v>2301</v>
      </c>
      <c r="E950" s="1882"/>
      <c r="F950" s="1882"/>
      <c r="G950" s="677"/>
    </row>
    <row r="951" spans="1:9" ht="12.75" customHeight="1">
      <c r="A951" s="714"/>
      <c r="B951" s="1775" t="s">
        <v>2654</v>
      </c>
      <c r="C951" s="556"/>
      <c r="D951" s="1858" t="s">
        <v>2302</v>
      </c>
      <c r="E951" s="1858"/>
      <c r="F951" s="1858"/>
      <c r="G951" s="677"/>
      <c r="I951" s="1774" t="s">
        <v>2505</v>
      </c>
    </row>
    <row r="952" spans="1:9" ht="12.75" customHeight="1">
      <c r="A952" s="714"/>
      <c r="B952" s="714"/>
      <c r="C952" s="556"/>
      <c r="D952" s="1858"/>
      <c r="E952" s="1858"/>
      <c r="F952" s="1858"/>
      <c r="G952" s="677"/>
    </row>
    <row r="953" spans="1:9" ht="12.75" customHeight="1">
      <c r="A953" s="714"/>
      <c r="B953" s="714"/>
      <c r="C953" s="556"/>
      <c r="D953" s="1858"/>
      <c r="E953" s="1858"/>
      <c r="F953" s="1858"/>
      <c r="G953" s="677"/>
    </row>
    <row r="954" spans="1:9" ht="12.75" customHeight="1">
      <c r="A954" s="714"/>
      <c r="B954" s="714"/>
      <c r="C954" s="556"/>
      <c r="D954" s="1858"/>
      <c r="E954" s="1858"/>
      <c r="F954" s="1858"/>
      <c r="G954" s="677"/>
    </row>
    <row r="955" spans="1:9" ht="12.75" customHeight="1">
      <c r="A955" s="714"/>
      <c r="B955" s="714"/>
      <c r="C955" s="556"/>
      <c r="D955" s="1858"/>
      <c r="E955" s="1858"/>
      <c r="F955" s="1858"/>
      <c r="G955" s="677"/>
    </row>
    <row r="956" spans="1:9" ht="12.75" customHeight="1">
      <c r="A956" s="714"/>
      <c r="B956" s="714"/>
      <c r="C956" s="556"/>
      <c r="D956" s="1858"/>
      <c r="E956" s="1858"/>
      <c r="F956" s="1858"/>
      <c r="G956" s="677"/>
    </row>
    <row r="957" spans="1:9" ht="12.75" customHeight="1">
      <c r="A957" s="714"/>
      <c r="B957" s="714"/>
      <c r="C957" s="556"/>
      <c r="D957" s="1858"/>
      <c r="E957" s="1858"/>
      <c r="F957" s="1858"/>
      <c r="G957" s="677"/>
    </row>
    <row r="958" spans="1:9" ht="12.75" customHeight="1">
      <c r="A958" s="714"/>
      <c r="B958" s="714"/>
      <c r="C958" s="556"/>
      <c r="D958" s="1858"/>
      <c r="E958" s="1858"/>
      <c r="F958" s="1858"/>
      <c r="G958" s="677"/>
    </row>
    <row r="959" spans="1:9" ht="12.75" customHeight="1">
      <c r="A959" s="714"/>
      <c r="B959" s="714"/>
      <c r="C959" s="556"/>
      <c r="D959" s="1858"/>
      <c r="E959" s="1858"/>
      <c r="F959" s="1858"/>
      <c r="G959" s="677"/>
    </row>
    <row r="960" spans="1:9" ht="12.75" customHeight="1">
      <c r="A960" s="714"/>
      <c r="B960" s="714"/>
      <c r="C960" s="556"/>
      <c r="D960" s="1858"/>
      <c r="E960" s="1858"/>
      <c r="F960" s="1858"/>
      <c r="G960" s="677"/>
    </row>
    <row r="961" spans="1:9" ht="12.75" customHeight="1">
      <c r="A961" s="714"/>
      <c r="B961" s="714"/>
      <c r="C961" s="556"/>
      <c r="D961" s="1858"/>
      <c r="E961" s="1858"/>
      <c r="F961" s="1858"/>
      <c r="G961" s="677"/>
    </row>
    <row r="962" spans="1:9" ht="12.75" customHeight="1">
      <c r="A962" s="714"/>
      <c r="B962" s="714"/>
      <c r="C962" s="556"/>
      <c r="D962" s="1858"/>
      <c r="E962" s="1858"/>
      <c r="F962" s="1858"/>
      <c r="G962" s="677"/>
    </row>
    <row r="963" spans="1:9" s="1772" customFormat="1" ht="12.75" customHeight="1">
      <c r="A963" s="714"/>
      <c r="B963" s="714"/>
      <c r="C963" s="556"/>
      <c r="D963" s="1858"/>
      <c r="E963" s="1858"/>
      <c r="F963" s="1858"/>
      <c r="G963" s="677"/>
      <c r="I963" s="1774"/>
    </row>
    <row r="964" spans="1:9" ht="12.75" customHeight="1">
      <c r="A964" s="714"/>
      <c r="B964" s="714"/>
      <c r="C964" s="556"/>
      <c r="D964" s="1858"/>
      <c r="E964" s="1858"/>
      <c r="F964" s="1858"/>
      <c r="G964" s="677"/>
    </row>
    <row r="965" spans="1:9" ht="12.75" customHeight="1">
      <c r="A965" s="714"/>
      <c r="B965" s="714"/>
      <c r="C965" s="556"/>
      <c r="D965" s="1858"/>
      <c r="E965" s="1858"/>
      <c r="F965" s="1858"/>
      <c r="G965" s="678"/>
    </row>
    <row r="966" spans="1:9" ht="12.75" customHeight="1">
      <c r="A966" s="1742"/>
      <c r="B966" s="1742"/>
      <c r="C966" s="556"/>
      <c r="D966" s="6"/>
      <c r="E966" s="6"/>
      <c r="F966" s="6"/>
      <c r="G966" s="678"/>
    </row>
    <row r="967" spans="1:9" ht="12.75" customHeight="1">
      <c r="A967" s="1893" t="s">
        <v>2303</v>
      </c>
      <c r="B967" s="1893"/>
      <c r="C967" s="1893"/>
      <c r="D967" s="1893"/>
      <c r="E967" s="1893"/>
      <c r="F967" s="1893"/>
      <c r="G967" s="1893"/>
      <c r="H967" s="1853"/>
      <c r="I967" s="1854"/>
    </row>
    <row r="968" spans="1:9" ht="12.75" customHeight="1">
      <c r="A968" s="1709"/>
      <c r="B968" s="1709"/>
      <c r="C968" s="556"/>
      <c r="D968" s="6"/>
      <c r="E968" s="6"/>
      <c r="F968" s="6"/>
      <c r="G968" s="678"/>
    </row>
    <row r="969" spans="1:9" ht="12.75" customHeight="1">
      <c r="A969" s="1742"/>
      <c r="B969" s="1742"/>
      <c r="C969" s="1740"/>
      <c r="D969" s="1882" t="s">
        <v>2327</v>
      </c>
      <c r="E969" s="1882"/>
      <c r="F969" s="1882"/>
      <c r="G969" s="678"/>
    </row>
    <row r="970" spans="1:9" ht="12.75" customHeight="1">
      <c r="A970" s="1714"/>
      <c r="B970" s="1714"/>
      <c r="C970" s="1746"/>
      <c r="D970" s="1883" t="s">
        <v>2304</v>
      </c>
      <c r="E970" s="1883"/>
      <c r="F970" s="1883"/>
      <c r="G970" s="678"/>
    </row>
    <row r="971" spans="1:9" ht="12.75" customHeight="1">
      <c r="A971" s="1714"/>
      <c r="B971" s="1714"/>
      <c r="C971" s="1746"/>
      <c r="D971" s="6"/>
      <c r="E971" s="6"/>
      <c r="F971" s="1738"/>
      <c r="G971" s="677"/>
    </row>
    <row r="972" spans="1:9" ht="12.75" customHeight="1">
      <c r="A972" s="1742"/>
      <c r="B972" s="798" t="s">
        <v>2655</v>
      </c>
      <c r="C972" s="556"/>
      <c r="D972" s="1862" t="s">
        <v>2305</v>
      </c>
      <c r="E972" s="1862"/>
      <c r="F972" s="1862"/>
      <c r="G972" s="677"/>
      <c r="I972" s="1774" t="s">
        <v>2483</v>
      </c>
    </row>
    <row r="973" spans="1:9" ht="12.75" customHeight="1">
      <c r="A973" s="1742"/>
      <c r="B973" s="1742"/>
      <c r="C973" s="556"/>
      <c r="D973" s="1862"/>
      <c r="E973" s="1862"/>
      <c r="F973" s="1862"/>
      <c r="G973" s="677"/>
    </row>
    <row r="974" spans="1:9" ht="12.75" customHeight="1">
      <c r="A974" s="1742"/>
      <c r="B974" s="1742"/>
      <c r="C974" s="556"/>
      <c r="D974" s="1862"/>
      <c r="E974" s="1862"/>
      <c r="F974" s="1862"/>
      <c r="G974" s="677"/>
    </row>
    <row r="975" spans="1:9" ht="12.75" customHeight="1">
      <c r="A975" s="1742"/>
      <c r="B975" s="1742"/>
      <c r="C975" s="556"/>
      <c r="D975" s="1862"/>
      <c r="E975" s="1862"/>
      <c r="F975" s="1862"/>
      <c r="G975" s="677"/>
    </row>
    <row r="976" spans="1:9" ht="12.75" customHeight="1">
      <c r="A976" s="1726"/>
      <c r="B976" s="1726"/>
      <c r="C976" s="557"/>
      <c r="D976" s="1862"/>
      <c r="E976" s="1862"/>
      <c r="F976" s="1862"/>
      <c r="G976" s="677"/>
    </row>
    <row r="977" spans="1:7" ht="12.75" customHeight="1">
      <c r="A977" s="1726"/>
      <c r="B977" s="1726"/>
      <c r="C977" s="557"/>
      <c r="D977" s="1862"/>
      <c r="E977" s="1862"/>
      <c r="F977" s="1862"/>
      <c r="G977" s="677"/>
    </row>
    <row r="978" spans="1:7" ht="12.75" customHeight="1">
      <c r="A978" s="720"/>
      <c r="B978" s="720"/>
      <c r="C978" s="313"/>
      <c r="D978" s="1862"/>
      <c r="E978" s="1862"/>
      <c r="F978" s="1862"/>
      <c r="G978" s="677"/>
    </row>
    <row r="979" spans="1:7" ht="12.75" customHeight="1">
      <c r="A979" s="720"/>
      <c r="B979" s="720"/>
      <c r="C979" s="313"/>
      <c r="D979" s="1862"/>
      <c r="E979" s="1862"/>
      <c r="F979" s="1862"/>
      <c r="G979" s="677"/>
    </row>
    <row r="980" spans="1:7" ht="12.75" customHeight="1">
      <c r="A980" s="720"/>
      <c r="B980" s="720"/>
      <c r="C980" s="313"/>
      <c r="D980" s="1706"/>
      <c r="E980" s="1706"/>
      <c r="F980" s="1706"/>
      <c r="G980" s="677"/>
    </row>
    <row r="981" spans="1:7" ht="12.75" customHeight="1">
      <c r="A981" s="720"/>
      <c r="B981" s="798" t="s">
        <v>2654</v>
      </c>
      <c r="C981" s="313"/>
      <c r="D981" s="1860" t="s">
        <v>2306</v>
      </c>
      <c r="E981" s="1860"/>
      <c r="F981" s="1860"/>
      <c r="G981" s="677"/>
    </row>
    <row r="982" spans="1:7" ht="12.75" customHeight="1">
      <c r="A982" s="720"/>
      <c r="B982" s="720"/>
      <c r="C982" s="313"/>
      <c r="D982" s="1860"/>
      <c r="E982" s="1860"/>
      <c r="F982" s="1860"/>
      <c r="G982" s="677"/>
    </row>
    <row r="983" spans="1:7" ht="12.75" customHeight="1">
      <c r="A983" s="720"/>
      <c r="B983" s="720"/>
      <c r="C983" s="313"/>
      <c r="D983" s="1860"/>
      <c r="E983" s="1860"/>
      <c r="F983" s="1860"/>
      <c r="G983" s="677"/>
    </row>
    <row r="984" spans="1:7" ht="12.75" customHeight="1">
      <c r="A984" s="720"/>
      <c r="B984" s="720"/>
      <c r="C984" s="313"/>
      <c r="D984" s="1860"/>
      <c r="E984" s="1860"/>
      <c r="F984" s="1860"/>
      <c r="G984" s="677"/>
    </row>
    <row r="985" spans="1:7" ht="12.75" customHeight="1">
      <c r="A985" s="720"/>
      <c r="B985" s="720"/>
      <c r="C985" s="313"/>
      <c r="D985" s="1704"/>
      <c r="E985" s="1704"/>
      <c r="F985" s="1704"/>
      <c r="G985" s="677"/>
    </row>
    <row r="986" spans="1:7" ht="12.75" customHeight="1">
      <c r="A986" s="720"/>
      <c r="B986" s="1775" t="s">
        <v>2654</v>
      </c>
      <c r="C986" s="313"/>
      <c r="D986" s="1860" t="s">
        <v>2307</v>
      </c>
      <c r="E986" s="1860"/>
      <c r="F986" s="1860"/>
      <c r="G986" s="677"/>
    </row>
    <row r="987" spans="1:7" ht="12.75" customHeight="1">
      <c r="A987" s="720"/>
      <c r="B987" s="720"/>
      <c r="C987" s="313"/>
      <c r="D987" s="1860"/>
      <c r="E987" s="1860"/>
      <c r="F987" s="1860"/>
      <c r="G987" s="677"/>
    </row>
    <row r="988" spans="1:7" ht="12.75" customHeight="1">
      <c r="A988" s="720"/>
      <c r="B988" s="720"/>
      <c r="C988" s="313"/>
      <c r="D988" s="1704"/>
      <c r="E988" s="1704"/>
      <c r="F988" s="1704"/>
      <c r="G988" s="677"/>
    </row>
    <row r="989" spans="1:7" ht="12.75" customHeight="1">
      <c r="A989" s="714"/>
      <c r="B989" s="1775" t="s">
        <v>2654</v>
      </c>
      <c r="C989" s="556"/>
      <c r="D989" s="1883" t="s">
        <v>2308</v>
      </c>
      <c r="E989" s="1883"/>
      <c r="F989" s="1883"/>
      <c r="G989" s="677"/>
    </row>
    <row r="990" spans="1:7" ht="12.75" customHeight="1">
      <c r="A990" s="1742"/>
      <c r="B990" s="1742"/>
      <c r="C990" s="556"/>
      <c r="D990" s="6"/>
      <c r="E990" s="6"/>
      <c r="F990" s="6"/>
      <c r="G990" s="677"/>
    </row>
    <row r="991" spans="1:7" ht="12.75" customHeight="1">
      <c r="A991" s="714"/>
      <c r="B991" s="1775" t="s">
        <v>2654</v>
      </c>
      <c r="C991" s="556"/>
      <c r="D991" s="1883" t="s">
        <v>2309</v>
      </c>
      <c r="E991" s="1883"/>
      <c r="F991" s="1883"/>
      <c r="G991" s="677"/>
    </row>
    <row r="992" spans="1:7" ht="12.75" customHeight="1">
      <c r="A992" s="1742"/>
      <c r="B992" s="1742"/>
      <c r="C992" s="556"/>
      <c r="D992" s="1708"/>
      <c r="E992" s="6"/>
      <c r="F992" s="6"/>
      <c r="G992" s="677"/>
    </row>
    <row r="993" spans="1:9" ht="12.75" customHeight="1">
      <c r="A993" s="714"/>
      <c r="B993" s="1775" t="s">
        <v>2655</v>
      </c>
      <c r="C993" s="556"/>
      <c r="D993" s="1883" t="s">
        <v>2310</v>
      </c>
      <c r="E993" s="1883"/>
      <c r="F993" s="1883"/>
      <c r="G993" s="677"/>
    </row>
    <row r="994" spans="1:9" ht="12.75" customHeight="1">
      <c r="A994" s="1742"/>
      <c r="B994" s="1742"/>
      <c r="C994" s="556"/>
      <c r="D994" s="1708"/>
      <c r="E994" s="6"/>
      <c r="F994" s="6"/>
      <c r="G994" s="677"/>
    </row>
    <row r="995" spans="1:9" ht="12.75" customHeight="1">
      <c r="A995" s="714"/>
      <c r="B995" s="1775" t="s">
        <v>2655</v>
      </c>
      <c r="C995" s="556"/>
      <c r="D995" s="1858" t="s">
        <v>2311</v>
      </c>
      <c r="E995" s="1858"/>
      <c r="F995" s="1858"/>
      <c r="G995" s="677"/>
    </row>
    <row r="996" spans="1:9" ht="12.75" customHeight="1">
      <c r="A996" s="714"/>
      <c r="B996" s="714"/>
      <c r="C996" s="556"/>
      <c r="D996" s="1858"/>
      <c r="E996" s="1858"/>
      <c r="F996" s="1858"/>
      <c r="G996" s="677"/>
    </row>
    <row r="997" spans="1:9" ht="12.75" customHeight="1">
      <c r="A997" s="714"/>
      <c r="B997" s="714"/>
      <c r="C997" s="556"/>
      <c r="D997" s="1708"/>
      <c r="E997" s="6"/>
      <c r="F997" s="6"/>
      <c r="G997" s="678"/>
    </row>
    <row r="998" spans="1:9" ht="12.75" customHeight="1">
      <c r="A998" s="407"/>
      <c r="B998" s="1775" t="s">
        <v>2654</v>
      </c>
      <c r="C998" s="1759"/>
      <c r="D998" s="1901" t="s">
        <v>2312</v>
      </c>
      <c r="E998" s="1901"/>
      <c r="F998" s="1901"/>
      <c r="G998" s="1760"/>
    </row>
    <row r="999" spans="1:9" ht="12.75" customHeight="1">
      <c r="A999" s="1759"/>
      <c r="B999" s="1759"/>
      <c r="C999" s="1759"/>
      <c r="D999" s="1901"/>
      <c r="E999" s="1901"/>
      <c r="F999" s="1901"/>
      <c r="G999" s="1760"/>
    </row>
    <row r="1000" spans="1:9" ht="12.75" customHeight="1">
      <c r="A1000" s="1759"/>
      <c r="B1000" s="1759"/>
      <c r="C1000" s="1759"/>
      <c r="D1000" s="1761"/>
      <c r="E1000" s="1762"/>
      <c r="F1000" s="1762"/>
      <c r="G1000" s="1760"/>
    </row>
    <row r="1001" spans="1:9" ht="12.75" customHeight="1">
      <c r="A1001" s="407"/>
      <c r="B1001" s="1775" t="s">
        <v>2654</v>
      </c>
      <c r="C1001" s="1759"/>
      <c r="D1001" s="2002" t="s">
        <v>2313</v>
      </c>
      <c r="E1001" s="2002"/>
      <c r="F1001" s="2002"/>
      <c r="G1001" s="1760"/>
    </row>
    <row r="1002" spans="1:9" ht="12.75" customHeight="1">
      <c r="A1002" s="1759"/>
      <c r="B1002" s="1759"/>
      <c r="C1002" s="1759"/>
      <c r="D1002" s="1761"/>
      <c r="E1002" s="1762"/>
      <c r="F1002" s="1762"/>
      <c r="G1002" s="1760"/>
    </row>
    <row r="1003" spans="1:9" ht="12.75" customHeight="1">
      <c r="A1003" s="714"/>
      <c r="B1003" s="1775" t="s">
        <v>2654</v>
      </c>
      <c r="C1003" s="556"/>
      <c r="D1003" s="1883" t="s">
        <v>2314</v>
      </c>
      <c r="E1003" s="1883"/>
      <c r="F1003" s="1883"/>
      <c r="G1003" s="678"/>
    </row>
    <row r="1004" spans="1:9" ht="12.75" customHeight="1">
      <c r="A1004" s="714"/>
      <c r="B1004" s="714"/>
      <c r="C1004" s="556"/>
      <c r="D1004" s="1708"/>
      <c r="E1004" s="6"/>
      <c r="F1004" s="6"/>
      <c r="G1004" s="678"/>
    </row>
    <row r="1005" spans="1:9" ht="12.75" customHeight="1">
      <c r="A1005" s="714"/>
      <c r="B1005" s="1775" t="s">
        <v>2654</v>
      </c>
      <c r="C1005" s="556"/>
      <c r="D1005" s="1858" t="s">
        <v>2315</v>
      </c>
      <c r="E1005" s="1858"/>
      <c r="F1005" s="1858"/>
      <c r="G1005" s="678"/>
    </row>
    <row r="1006" spans="1:9" ht="12.75" customHeight="1">
      <c r="A1006" s="714"/>
      <c r="B1006" s="714"/>
      <c r="C1006" s="556"/>
      <c r="D1006" s="1858"/>
      <c r="E1006" s="1858"/>
      <c r="F1006" s="1858"/>
      <c r="G1006" s="678"/>
    </row>
    <row r="1007" spans="1:9" ht="12.75" customHeight="1">
      <c r="A1007" s="1742"/>
      <c r="B1007" s="1742"/>
      <c r="C1007" s="556"/>
      <c r="D1007" s="6"/>
      <c r="E1007" s="6"/>
      <c r="F1007" s="6"/>
      <c r="G1007" s="678"/>
    </row>
    <row r="1008" spans="1:9" ht="12.75" customHeight="1">
      <c r="A1008" s="1893" t="s">
        <v>2316</v>
      </c>
      <c r="B1008" s="1893"/>
      <c r="C1008" s="1893"/>
      <c r="D1008" s="1893"/>
      <c r="E1008" s="1893"/>
      <c r="F1008" s="1893"/>
      <c r="G1008" s="1893"/>
      <c r="H1008" s="1853"/>
      <c r="I1008" s="1854"/>
    </row>
    <row r="1009" spans="1:9" ht="12.75" customHeight="1">
      <c r="A1009" s="1742"/>
      <c r="B1009" s="1742"/>
      <c r="C1009" s="556"/>
      <c r="D1009" s="6"/>
      <c r="E1009" s="6"/>
      <c r="F1009" s="6"/>
      <c r="G1009" s="678"/>
    </row>
    <row r="1010" spans="1:9" ht="12.75" customHeight="1">
      <c r="A1010" s="1726"/>
      <c r="B1010" s="1726"/>
      <c r="C1010" s="557"/>
      <c r="D1010" s="1902" t="s">
        <v>2317</v>
      </c>
      <c r="E1010" s="1902"/>
      <c r="F1010" s="1902"/>
      <c r="G1010" s="678"/>
    </row>
    <row r="1011" spans="1:9" ht="12.75" customHeight="1">
      <c r="A1011" s="1726"/>
      <c r="B1011" s="1726"/>
      <c r="C1011" s="557"/>
      <c r="D1011" s="2001" t="s">
        <v>2318</v>
      </c>
      <c r="E1011" s="2001"/>
      <c r="F1011" s="2001"/>
      <c r="G1011" s="678"/>
    </row>
    <row r="1012" spans="1:9" ht="12.75" customHeight="1">
      <c r="A1012" s="674"/>
      <c r="B1012" s="674"/>
      <c r="C1012" s="1715"/>
      <c r="D1012" s="678"/>
      <c r="E1012" s="678"/>
      <c r="F1012" s="678"/>
      <c r="G1012" s="678"/>
    </row>
    <row r="1013" spans="1:9" ht="12.75" customHeight="1">
      <c r="A1013" s="714"/>
      <c r="B1013" s="714"/>
      <c r="C1013" s="313"/>
      <c r="D1013" s="1902" t="s">
        <v>2332</v>
      </c>
      <c r="E1013" s="1902"/>
      <c r="F1013" s="1902"/>
      <c r="G1013" s="678"/>
      <c r="I1013" s="1774" t="s">
        <v>2455</v>
      </c>
    </row>
    <row r="1014" spans="1:9" ht="12.75" customHeight="1">
      <c r="A1014" s="1742"/>
      <c r="B1014" s="798" t="s">
        <v>2655</v>
      </c>
      <c r="C1014" s="556"/>
      <c r="D1014" s="2001" t="s">
        <v>1504</v>
      </c>
      <c r="E1014" s="2001"/>
      <c r="F1014" s="2001"/>
      <c r="G1014" s="678"/>
    </row>
    <row r="1015" spans="1:9" s="1772" customFormat="1" ht="12.75" customHeight="1">
      <c r="A1015" s="1742"/>
      <c r="B1015" s="714"/>
      <c r="C1015" s="556"/>
      <c r="D1015" s="1997" t="s">
        <v>2319</v>
      </c>
      <c r="E1015" s="1997"/>
      <c r="F1015" s="1997"/>
      <c r="G1015" s="678"/>
      <c r="I1015" s="1774"/>
    </row>
    <row r="1016" spans="1:9" ht="12.75" customHeight="1">
      <c r="A1016" s="1742"/>
      <c r="B1016" s="1742"/>
      <c r="C1016" s="556"/>
      <c r="D1016" s="2001"/>
      <c r="E1016" s="2001"/>
      <c r="F1016" s="2001"/>
      <c r="G1016" s="678"/>
    </row>
    <row r="1017" spans="1:9" ht="12.75" customHeight="1">
      <c r="A1017" s="1998" t="s">
        <v>2328</v>
      </c>
      <c r="B1017" s="1998"/>
      <c r="C1017" s="1998"/>
      <c r="D1017" s="1998"/>
      <c r="E1017" s="1998"/>
      <c r="F1017" s="1998"/>
      <c r="G1017" s="1998"/>
      <c r="H1017" s="1853"/>
      <c r="I1017" s="1854"/>
    </row>
    <row r="1018" spans="1:9" ht="12.75" customHeight="1">
      <c r="A1018" s="254"/>
      <c r="B1018" s="254"/>
      <c r="C1018" s="1734"/>
      <c r="D1018" s="686"/>
      <c r="E1018" s="686"/>
      <c r="F1018" s="686"/>
      <c r="G1018" s="686"/>
    </row>
    <row r="1019" spans="1:9" ht="12.75" customHeight="1">
      <c r="A1019" s="254"/>
      <c r="B1019" s="1769"/>
      <c r="C1019" s="1776"/>
      <c r="D1019" s="1896" t="s">
        <v>1505</v>
      </c>
      <c r="E1019" s="1896"/>
      <c r="F1019" s="1896"/>
      <c r="G1019" s="686"/>
    </row>
    <row r="1020" spans="1:9" ht="12.75" customHeight="1">
      <c r="A1020" s="254"/>
      <c r="B1020" s="1775" t="s">
        <v>2655</v>
      </c>
      <c r="C1020" s="1776"/>
      <c r="D1020" s="1875" t="s">
        <v>1504</v>
      </c>
      <c r="E1020" s="1875"/>
      <c r="F1020" s="1875"/>
      <c r="G1020" s="686"/>
    </row>
    <row r="1021" spans="1:9" ht="12.75" customHeight="1">
      <c r="A1021" s="254"/>
      <c r="B1021" s="1772"/>
      <c r="C1021" s="1776"/>
      <c r="D1021" s="1875" t="s">
        <v>2329</v>
      </c>
      <c r="E1021" s="1875"/>
      <c r="F1021" s="187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9" t="s">
        <v>1184</v>
      </c>
      <c r="E1023" s="1999"/>
      <c r="F1023" s="1999"/>
      <c r="G1023" s="686"/>
      <c r="I1023" s="1774" t="s">
        <v>2484</v>
      </c>
    </row>
    <row r="1024" spans="1:9" ht="12.75" customHeight="1">
      <c r="A1024" s="503"/>
      <c r="B1024" s="503"/>
      <c r="C1024" s="502"/>
      <c r="D1024" s="2000" t="s">
        <v>1201</v>
      </c>
      <c r="E1024" s="2000"/>
      <c r="F1024" s="2000"/>
      <c r="G1024" s="1763"/>
    </row>
    <row r="1025" spans="1:9" ht="12.75" customHeight="1">
      <c r="A1025" s="714"/>
      <c r="B1025" s="1775" t="s">
        <v>2654</v>
      </c>
      <c r="C1025" s="557"/>
      <c r="D1025" s="1887" t="s">
        <v>1069</v>
      </c>
      <c r="E1025" s="1887"/>
      <c r="F1025" s="1887"/>
      <c r="G1025" s="678"/>
    </row>
    <row r="1026" spans="1:9" ht="12.75" customHeight="1">
      <c r="A1026" s="1726"/>
      <c r="B1026" s="1726"/>
      <c r="C1026" s="557"/>
      <c r="D1026" s="6"/>
      <c r="E1026" s="1974" t="s">
        <v>1185</v>
      </c>
      <c r="F1026" s="1974"/>
      <c r="G1026" s="678"/>
    </row>
    <row r="1027" spans="1:9">
      <c r="A1027" s="790"/>
      <c r="B1027" s="790"/>
      <c r="C1027" s="790"/>
      <c r="D1027" s="790"/>
      <c r="E1027" s="790"/>
      <c r="F1027" s="790"/>
      <c r="G1027" s="790"/>
    </row>
    <row r="1028" spans="1:9">
      <c r="A1028" s="1998" t="s">
        <v>2349</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2335</v>
      </c>
      <c r="E1030" s="790"/>
      <c r="F1030" s="790"/>
      <c r="G1030" s="790"/>
    </row>
    <row r="1031" spans="1:9" s="1772" customFormat="1">
      <c r="D1031" s="1771" t="s">
        <v>2334</v>
      </c>
      <c r="I1031" s="1774"/>
    </row>
    <row r="1032" spans="1:9" s="1772" customFormat="1">
      <c r="D1032" s="1774"/>
      <c r="I1032" s="1774"/>
    </row>
    <row r="1033" spans="1:9">
      <c r="A1033" s="790"/>
      <c r="B1033" s="1775" t="s">
        <v>2654</v>
      </c>
      <c r="C1033" s="790"/>
      <c r="D1033" s="2005" t="s">
        <v>2333</v>
      </c>
      <c r="E1033" s="2005"/>
      <c r="F1033" s="2005"/>
      <c r="G1033" s="790"/>
      <c r="I1033" s="1774" t="s">
        <v>2456</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2336</v>
      </c>
      <c r="E1039" s="790"/>
      <c r="F1039" s="790"/>
      <c r="G1039" s="790"/>
    </row>
    <row r="1040" spans="1:9">
      <c r="A1040" s="790"/>
      <c r="B1040" s="790"/>
      <c r="C1040" s="790"/>
      <c r="D1040" s="790"/>
      <c r="E1040" s="790"/>
      <c r="F1040" s="790"/>
      <c r="G1040" s="790"/>
    </row>
    <row r="1041" spans="1:9">
      <c r="A1041" s="790"/>
      <c r="B1041" s="1775" t="s">
        <v>2655</v>
      </c>
      <c r="C1041" s="790"/>
      <c r="D1041" s="1772" t="s">
        <v>2331</v>
      </c>
      <c r="E1041" s="790"/>
      <c r="F1041" s="790"/>
      <c r="G1041" s="790"/>
      <c r="I1041" s="1774" t="s">
        <v>2457</v>
      </c>
    </row>
    <row r="1042" spans="1:9">
      <c r="A1042" s="790"/>
      <c r="B1042" s="790"/>
      <c r="C1042" s="790"/>
      <c r="D1042" s="790"/>
      <c r="E1042" s="790"/>
      <c r="F1042" s="790"/>
      <c r="G1042" s="790"/>
    </row>
    <row r="1043" spans="1:9">
      <c r="A1043" s="790"/>
      <c r="B1043" s="1775" t="s">
        <v>2654</v>
      </c>
      <c r="C1043" s="790"/>
      <c r="D1043" s="2005" t="s">
        <v>2337</v>
      </c>
      <c r="E1043" s="2005"/>
      <c r="F1043" s="2005"/>
      <c r="G1043" s="790"/>
      <c r="I1043" s="1774" t="s">
        <v>2458</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2338</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2655</v>
      </c>
      <c r="C1052" s="790"/>
      <c r="D1052" s="1767" t="s">
        <v>2341</v>
      </c>
      <c r="E1052" s="1771"/>
      <c r="F1052" s="790"/>
      <c r="G1052" s="790"/>
      <c r="I1052" s="1774" t="s">
        <v>2459</v>
      </c>
    </row>
    <row r="1053" spans="1:9">
      <c r="A1053" s="790"/>
      <c r="B1053" s="790"/>
      <c r="C1053" s="790"/>
      <c r="D1053" s="1767" t="s">
        <v>2343</v>
      </c>
      <c r="E1053" s="1771"/>
      <c r="F1053" s="790"/>
      <c r="G1053" s="790"/>
    </row>
    <row r="1054" spans="1:9" s="1772" customFormat="1">
      <c r="D1054" s="1767"/>
      <c r="E1054" s="1771"/>
      <c r="I1054" s="1774"/>
    </row>
    <row r="1055" spans="1:9">
      <c r="A1055" s="790"/>
      <c r="B1055" s="1775" t="s">
        <v>2655</v>
      </c>
      <c r="C1055" s="790"/>
      <c r="D1055" s="1767" t="s">
        <v>2344</v>
      </c>
      <c r="E1055" s="1771"/>
      <c r="F1055" s="790"/>
      <c r="G1055" s="790"/>
      <c r="I1055" s="1774" t="s">
        <v>2460</v>
      </c>
    </row>
    <row r="1056" spans="1:9" s="1772" customFormat="1">
      <c r="D1056" s="1767" t="s">
        <v>2342</v>
      </c>
      <c r="E1056" s="1771"/>
      <c r="I1056" s="1774"/>
    </row>
    <row r="1057" spans="1:9" s="1772" customFormat="1">
      <c r="D1057" s="1767"/>
      <c r="E1057" s="1771"/>
      <c r="I1057" s="1774"/>
    </row>
    <row r="1058" spans="1:9">
      <c r="A1058" s="790"/>
      <c r="B1058" s="1775" t="s">
        <v>2654</v>
      </c>
      <c r="C1058" s="790"/>
      <c r="D1058" s="1766" t="s">
        <v>2347</v>
      </c>
      <c r="E1058" s="1771"/>
      <c r="F1058" s="790"/>
      <c r="G1058" s="790"/>
      <c r="I1058" s="1774" t="s">
        <v>2461</v>
      </c>
    </row>
    <row r="1059" spans="1:9" s="1772" customFormat="1">
      <c r="D1059" s="2006" t="s">
        <v>2348</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2346</v>
      </c>
      <c r="E1063" s="1771"/>
      <c r="I1063" s="1774"/>
    </row>
    <row r="1064" spans="1:9" s="1772" customFormat="1">
      <c r="D1064" s="1766"/>
      <c r="E1064" s="1771"/>
      <c r="I1064" s="1774"/>
    </row>
    <row r="1065" spans="1:9">
      <c r="A1065" s="790"/>
      <c r="B1065" s="790"/>
      <c r="C1065" s="790"/>
      <c r="D1065" s="1767" t="s">
        <v>2339</v>
      </c>
      <c r="E1065" s="1771"/>
      <c r="F1065" s="790"/>
      <c r="G1065" s="790"/>
      <c r="I1065" s="1774" t="s">
        <v>2462</v>
      </c>
    </row>
    <row r="1066" spans="1:9">
      <c r="A1066" s="790"/>
      <c r="B1066" s="1775" t="s">
        <v>2654</v>
      </c>
      <c r="C1066" s="790"/>
      <c r="D1066" s="2003" t="s">
        <v>2340</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2345</v>
      </c>
      <c r="E1071" s="790"/>
      <c r="F1071" s="790"/>
      <c r="G1071" s="790"/>
    </row>
    <row r="1072" spans="1:9">
      <c r="A1072" s="790"/>
      <c r="B1072" s="790"/>
      <c r="C1072" s="790"/>
      <c r="D1072" s="790"/>
      <c r="E1072" s="790"/>
      <c r="F1072" s="790"/>
      <c r="G1072" s="790"/>
    </row>
    <row r="1073" spans="1:9">
      <c r="A1073" s="1998" t="s">
        <v>2350</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2655</v>
      </c>
      <c r="C1076" s="790"/>
      <c r="D1076" s="2003" t="s">
        <v>2351</v>
      </c>
      <c r="E1076" s="2003"/>
      <c r="F1076" s="2003"/>
      <c r="G1076" s="790"/>
      <c r="I1076" s="1774" t="s">
        <v>2463</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2654</v>
      </c>
      <c r="C1080" s="790"/>
      <c r="D1080" s="2003" t="s">
        <v>2352</v>
      </c>
      <c r="E1080" s="2003"/>
      <c r="F1080" s="2003"/>
      <c r="G1080" s="790"/>
      <c r="I1080" s="1774" t="s">
        <v>2464</v>
      </c>
    </row>
    <row r="1081" spans="1:9" s="1772" customFormat="1">
      <c r="D1081" s="2003"/>
      <c r="E1081" s="2003"/>
      <c r="F1081" s="2003"/>
      <c r="I1081" s="1774"/>
    </row>
    <row r="1082" spans="1:9" s="1772" customFormat="1">
      <c r="D1082" s="1767"/>
      <c r="I1082" s="1774"/>
    </row>
    <row r="1083" spans="1:9">
      <c r="A1083" s="790"/>
      <c r="B1083" s="1775" t="s">
        <v>2654</v>
      </c>
      <c r="C1083" s="790"/>
      <c r="D1083" s="2003" t="s">
        <v>2511</v>
      </c>
      <c r="E1083" s="2003"/>
      <c r="F1083" s="2003"/>
      <c r="G1083" s="790"/>
      <c r="I1083" s="1774" t="s">
        <v>2509</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2510</v>
      </c>
    </row>
    <row r="1090" spans="1:9">
      <c r="A1090" s="790"/>
      <c r="B1090" s="1775" t="s">
        <v>2654</v>
      </c>
      <c r="C1090" s="790"/>
      <c r="D1090" s="2003" t="s">
        <v>2353</v>
      </c>
      <c r="E1090" s="2003"/>
      <c r="F1090" s="2003"/>
      <c r="G1090" s="790"/>
      <c r="I1090" s="1837" t="s">
        <v>2465</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2655</v>
      </c>
      <c r="C1094" s="790"/>
      <c r="D1094" s="2004" t="s">
        <v>2512</v>
      </c>
      <c r="E1094" s="2004"/>
      <c r="F1094" s="2004"/>
      <c r="G1094" s="790"/>
      <c r="I1094" s="1774" t="s">
        <v>2466</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2654</v>
      </c>
      <c r="D1098" s="1860" t="s">
        <v>2514</v>
      </c>
      <c r="E1098" s="1860"/>
      <c r="F1098" s="1860"/>
      <c r="I1098" s="1774" t="s">
        <v>2513</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8.25">
      <c r="A1103" s="790"/>
      <c r="B1103" s="790"/>
      <c r="C1103" s="790"/>
      <c r="D1103" s="790"/>
      <c r="E1103" s="790"/>
      <c r="F1103" s="790"/>
      <c r="G1103" s="790"/>
      <c r="I1103" s="1844" t="s">
        <v>2515</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85" zoomScaleNormal="85" zoomScaleSheetLayoutView="80" workbookViewId="0"/>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5" t="s">
        <v>105</v>
      </c>
      <c r="B8" s="2405"/>
      <c r="C8" s="2405"/>
      <c r="D8" s="2405"/>
      <c r="E8" s="2405"/>
      <c r="F8" s="2405"/>
      <c r="G8" s="2405"/>
      <c r="H8" s="2405"/>
      <c r="I8" s="2405"/>
      <c r="J8" s="2405"/>
      <c r="K8" s="2405"/>
      <c r="L8" s="2405"/>
      <c r="M8" s="2405"/>
      <c r="N8" s="2405"/>
      <c r="O8" s="2405"/>
      <c r="P8" s="2405"/>
      <c r="Q8" s="2405"/>
      <c r="R8" s="2405"/>
      <c r="S8" s="2405"/>
      <c r="T8" s="2405"/>
      <c r="U8" s="2405"/>
      <c r="V8" s="2405"/>
      <c r="W8" s="2405"/>
      <c r="X8" s="2405"/>
      <c r="Y8" s="2405"/>
      <c r="Z8" s="2405"/>
      <c r="AA8" s="2405"/>
      <c r="AB8" s="2405"/>
      <c r="AC8" s="2405"/>
      <c r="AD8" s="2405"/>
      <c r="AE8" s="2405"/>
      <c r="AF8" s="2405"/>
      <c r="AG8" s="2405"/>
      <c r="AH8" s="2405"/>
      <c r="AI8" s="2405"/>
      <c r="AJ8" s="2405"/>
      <c r="AK8" s="2405"/>
      <c r="AL8" s="2405"/>
      <c r="AM8" s="1571"/>
      <c r="AN8" s="1571"/>
      <c r="AO8" s="1571"/>
      <c r="AP8" s="1571"/>
      <c r="AQ8" s="1571"/>
      <c r="AR8" s="1571"/>
      <c r="AS8" s="1571"/>
      <c r="AT8" s="1571"/>
      <c r="AU8" s="1571"/>
      <c r="AV8" s="1571"/>
      <c r="AW8" s="1571"/>
      <c r="AX8" s="1571"/>
      <c r="AY8" s="1571"/>
    </row>
    <row r="9" spans="1:96" s="719" customFormat="1" ht="12.75">
      <c r="A9" s="2090" t="s">
        <v>1990</v>
      </c>
      <c r="B9" s="2090"/>
      <c r="C9" s="2090"/>
      <c r="D9" s="2090"/>
      <c r="E9" s="2090"/>
      <c r="F9" s="2090"/>
      <c r="G9" s="2090"/>
      <c r="H9" s="2090"/>
      <c r="I9" s="2090"/>
      <c r="J9" s="2090"/>
      <c r="K9" s="2090"/>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1510"/>
      <c r="AN9" s="1510"/>
      <c r="AO9" s="1510"/>
      <c r="AP9" s="1510"/>
      <c r="AQ9" s="1510"/>
      <c r="AR9" s="1510"/>
      <c r="AS9" s="1510"/>
      <c r="AT9" s="1510"/>
      <c r="AU9" s="1510"/>
      <c r="AV9" s="1510"/>
      <c r="AW9" s="1510"/>
      <c r="AX9" s="1510"/>
      <c r="AY9" s="1510"/>
      <c r="CR9" s="25"/>
    </row>
    <row r="10" spans="1:96" ht="15" customHeight="1">
      <c r="A10" s="2231" t="s">
        <v>1991</v>
      </c>
      <c r="B10" s="2231"/>
      <c r="C10" s="2231"/>
      <c r="D10" s="2231"/>
      <c r="E10" s="2231"/>
      <c r="F10" s="2231"/>
      <c r="G10" s="2231"/>
      <c r="H10" s="2231"/>
      <c r="I10" s="2231"/>
      <c r="J10" s="2231"/>
      <c r="K10" s="2231"/>
      <c r="L10" s="2231"/>
      <c r="M10" s="2231"/>
      <c r="N10" s="2231"/>
      <c r="O10" s="2231"/>
      <c r="P10" s="2231"/>
      <c r="Q10" s="2231"/>
      <c r="R10" s="2231"/>
      <c r="S10" s="2231"/>
      <c r="T10" s="2231"/>
      <c r="U10" s="2231"/>
      <c r="V10" s="2231"/>
      <c r="W10" s="2231"/>
      <c r="X10" s="2231"/>
      <c r="Y10" s="2231"/>
      <c r="Z10" s="2231"/>
      <c r="AA10" s="2231"/>
      <c r="AB10" s="2231"/>
      <c r="AC10" s="2231"/>
      <c r="AD10" s="2231"/>
      <c r="AE10" s="2231"/>
      <c r="AF10" s="2231"/>
      <c r="AG10" s="2231"/>
      <c r="AH10" s="2231"/>
      <c r="AI10" s="2231"/>
      <c r="AJ10" s="2231"/>
      <c r="AK10" s="2231"/>
      <c r="AL10" s="2231"/>
      <c r="AM10" s="20"/>
      <c r="AN10" s="20"/>
      <c r="AO10" s="20"/>
      <c r="AP10" s="20"/>
      <c r="AQ10" s="20"/>
      <c r="AR10" s="20"/>
      <c r="AS10" s="20"/>
      <c r="AT10" s="20"/>
      <c r="AU10" s="20"/>
      <c r="AV10" s="20"/>
      <c r="AW10" s="20"/>
      <c r="AX10" s="20"/>
      <c r="AY10" s="20"/>
    </row>
    <row r="11" spans="1:96" ht="15" customHeight="1">
      <c r="A11" s="2090" t="s">
        <v>2011</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c r="AM11" s="1510"/>
      <c r="AN11" s="1510"/>
      <c r="AO11" s="1510"/>
      <c r="AP11" s="1510"/>
      <c r="AQ11" s="1510"/>
      <c r="AR11" s="1510"/>
      <c r="AS11" s="1510"/>
      <c r="AT11" s="1510"/>
      <c r="AU11" s="1510"/>
      <c r="AV11" s="1510"/>
      <c r="AW11" s="1510"/>
      <c r="AX11" s="1510"/>
      <c r="AY11" s="1510"/>
    </row>
    <row r="12" spans="1:96" ht="12.75">
      <c r="A12" s="2239" t="s">
        <v>2516</v>
      </c>
      <c r="B12" s="2240"/>
      <c r="C12" s="2240"/>
      <c r="D12" s="2240"/>
      <c r="E12" s="2240"/>
      <c r="F12" s="2240"/>
      <c r="G12" s="2240"/>
      <c r="H12" s="2240"/>
      <c r="I12" s="2240"/>
      <c r="J12" s="2240"/>
      <c r="K12" s="2240"/>
      <c r="L12" s="2240"/>
      <c r="M12" s="2240"/>
      <c r="N12" s="2240"/>
      <c r="O12" s="2240"/>
      <c r="P12" s="2240"/>
      <c r="Q12" s="2240"/>
      <c r="R12" s="2240"/>
      <c r="S12" s="2240"/>
      <c r="T12" s="2240"/>
      <c r="U12" s="2240"/>
      <c r="V12" s="2240"/>
      <c r="W12" s="2240"/>
      <c r="X12" s="2240"/>
      <c r="Y12" s="2240"/>
      <c r="Z12" s="2240"/>
      <c r="AA12" s="2240"/>
      <c r="AB12" s="2240"/>
      <c r="AC12" s="2240"/>
      <c r="AD12" s="2240"/>
      <c r="AE12" s="2240"/>
      <c r="AF12" s="2240"/>
      <c r="AG12" s="2240"/>
      <c r="AH12" s="2240"/>
      <c r="AI12" s="2240"/>
      <c r="AJ12" s="2240"/>
      <c r="AK12" s="2240"/>
      <c r="AL12" s="2240"/>
      <c r="AM12" s="1516"/>
      <c r="AN12" s="1516"/>
      <c r="AO12" s="1516"/>
      <c r="AP12" s="1516"/>
      <c r="AQ12" s="1516"/>
      <c r="AR12" s="1516"/>
      <c r="AS12" s="1516"/>
      <c r="AT12" s="1516"/>
      <c r="AU12" s="1516"/>
      <c r="AV12" s="1516"/>
      <c r="AW12" s="1516"/>
      <c r="AX12" s="1516"/>
      <c r="AY12" s="1516"/>
    </row>
    <row r="13" spans="1:96" ht="12.75">
      <c r="A13" s="1870" t="s">
        <v>1385</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9" t="s">
        <v>2517</v>
      </c>
      <c r="I16" s="2219"/>
      <c r="J16" s="2219"/>
      <c r="K16" s="2219"/>
      <c r="L16" s="2219"/>
      <c r="M16" s="2219"/>
      <c r="N16" s="2219"/>
      <c r="O16" s="2219"/>
      <c r="P16" s="2219"/>
      <c r="Q16" s="2219"/>
      <c r="R16" s="2219"/>
      <c r="S16" s="2219"/>
      <c r="T16" s="2219"/>
      <c r="U16" s="2219"/>
      <c r="V16" s="2219"/>
      <c r="W16" s="2219"/>
      <c r="X16" s="2219"/>
      <c r="Y16" s="2219"/>
      <c r="Z16" s="2219"/>
      <c r="AA16" s="2219"/>
      <c r="AB16" s="2219"/>
      <c r="AC16" s="2219"/>
      <c r="AD16" s="2219"/>
      <c r="AE16" s="2219"/>
      <c r="AF16" s="2219"/>
      <c r="AG16" s="2219"/>
      <c r="AH16" s="2219"/>
      <c r="AI16" s="2219"/>
      <c r="AJ16" s="2219"/>
    </row>
    <row r="17" spans="1:96" ht="12.75" customHeight="1"/>
    <row r="18" spans="1:96" ht="12.75" customHeight="1">
      <c r="A18" s="134" t="s">
        <v>106</v>
      </c>
      <c r="C18" s="7"/>
      <c r="D18" s="7"/>
      <c r="E18" s="7"/>
      <c r="F18" s="7"/>
      <c r="G18" s="7"/>
      <c r="H18" s="2037" t="s">
        <v>2518</v>
      </c>
      <c r="I18" s="2037"/>
      <c r="J18" s="2037"/>
      <c r="K18" s="2037"/>
      <c r="L18" s="2037"/>
      <c r="M18" s="2037"/>
      <c r="N18" s="2037"/>
      <c r="O18" s="2037"/>
      <c r="P18" s="2037"/>
      <c r="Q18" s="2037"/>
      <c r="R18" s="2037"/>
      <c r="S18" s="2037"/>
      <c r="T18" s="2037"/>
      <c r="U18" s="2037"/>
      <c r="V18" s="2037"/>
      <c r="W18" s="2037"/>
      <c r="X18" s="2037"/>
      <c r="Y18" s="2037"/>
      <c r="Z18" s="2037"/>
      <c r="AA18" s="2037"/>
      <c r="AB18" s="2037"/>
      <c r="AC18" s="2037"/>
      <c r="AD18" s="2037"/>
      <c r="AE18" s="2037"/>
      <c r="AF18" s="2037"/>
      <c r="AG18" s="2037"/>
      <c r="AH18" s="2037"/>
      <c r="AI18" s="2037"/>
      <c r="AJ18" s="2037"/>
    </row>
    <row r="19" spans="1:96" ht="12.75" customHeight="1"/>
    <row r="20" spans="1:96" ht="14.25" customHeight="1">
      <c r="A20" s="2233" t="s">
        <v>935</v>
      </c>
      <c r="B20" s="2233"/>
      <c r="C20" s="2233"/>
      <c r="D20" s="2233"/>
      <c r="E20" s="2233"/>
      <c r="F20" s="2233"/>
      <c r="G20" s="2233"/>
      <c r="H20" s="2233"/>
      <c r="I20" s="2233"/>
      <c r="J20" s="2233"/>
      <c r="K20" s="2233"/>
      <c r="L20" s="2233"/>
      <c r="M20" s="2233"/>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1574"/>
      <c r="AN20" s="1574"/>
      <c r="AO20" s="1574"/>
      <c r="AP20" s="1574"/>
      <c r="AQ20" s="1574"/>
      <c r="AR20" s="1574"/>
      <c r="AS20" s="1574"/>
      <c r="AT20" s="1574"/>
      <c r="AU20" s="1574"/>
      <c r="AV20" s="1574"/>
      <c r="AW20" s="1574"/>
      <c r="AX20" s="1574"/>
      <c r="AY20" s="1574"/>
    </row>
    <row r="21" spans="1:96" ht="12.75" customHeight="1">
      <c r="A21" s="2243" t="s">
        <v>1115</v>
      </c>
      <c r="B21" s="2243"/>
      <c r="C21" s="2243"/>
      <c r="D21" s="2243"/>
      <c r="E21" s="2243"/>
      <c r="F21" s="2243"/>
      <c r="G21" s="2243"/>
      <c r="H21" s="2243"/>
      <c r="I21" s="2243"/>
      <c r="J21" s="2243"/>
      <c r="K21" s="2243"/>
      <c r="L21" s="2243"/>
      <c r="M21" s="2243"/>
      <c r="N21" s="2243"/>
      <c r="O21" s="2243"/>
      <c r="P21" s="2243"/>
      <c r="Q21" s="2243"/>
      <c r="R21" s="2243"/>
      <c r="S21" s="2243"/>
      <c r="T21" s="2243"/>
      <c r="U21" s="2243"/>
      <c r="V21" s="2243"/>
      <c r="W21" s="2243"/>
      <c r="X21" s="2243"/>
      <c r="Y21" s="2243"/>
      <c r="Z21" s="2243"/>
      <c r="AA21" s="2243"/>
      <c r="AB21" s="2243"/>
      <c r="AC21" s="2243"/>
      <c r="AD21" s="2243"/>
      <c r="AE21" s="2243"/>
      <c r="AF21" s="2243"/>
      <c r="AG21" s="2243"/>
      <c r="AH21" s="2243"/>
      <c r="AI21" s="2243"/>
      <c r="AJ21" s="2243"/>
      <c r="AK21" s="2243"/>
      <c r="AL21" s="2243"/>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2">
        <f>'Basis &amp; Credits'!AB56</f>
        <v>3838084</v>
      </c>
      <c r="N26" s="2242"/>
      <c r="O26" s="2242"/>
      <c r="P26" s="2242"/>
      <c r="Q26" s="2242"/>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8">
        <f>'Basis &amp; Credits'!AB77</f>
        <v>9807392</v>
      </c>
      <c r="N27" s="2148"/>
      <c r="O27" s="2148"/>
      <c r="P27" s="2148"/>
      <c r="Q27" s="2148"/>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6" t="s">
        <v>577</v>
      </c>
      <c r="P33" s="2036"/>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4"/>
      <c r="H122" s="2234"/>
      <c r="I122" s="239" t="s">
        <v>187</v>
      </c>
      <c r="L122" s="2234"/>
      <c r="M122" s="2234"/>
      <c r="N122" s="2234"/>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10"/>
      <c r="D124" s="2210"/>
      <c r="E124" s="2210"/>
      <c r="F124" s="2210"/>
      <c r="G124" s="2210"/>
      <c r="H124" s="2210"/>
      <c r="I124" s="2210"/>
      <c r="J124" s="2210"/>
      <c r="K124" s="221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34"/>
      <c r="Z126" s="2234"/>
      <c r="AA126" s="2234"/>
      <c r="AB126" s="2234"/>
      <c r="AC126" s="2234"/>
      <c r="AD126" s="2234"/>
      <c r="AE126" s="2234"/>
      <c r="AF126" s="2234"/>
      <c r="AG126" s="2234"/>
      <c r="AH126" s="2234"/>
      <c r="AI126" s="2234"/>
      <c r="AJ126" s="2234"/>
      <c r="AK126" s="2234"/>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41"/>
      <c r="Z129" s="2241"/>
      <c r="AA129" s="2241"/>
      <c r="AB129" s="2241"/>
      <c r="AC129" s="2241"/>
      <c r="AD129" s="2241"/>
      <c r="AE129" s="2241"/>
      <c r="AF129" s="2241"/>
      <c r="AG129" s="2241"/>
      <c r="AH129" s="2241"/>
      <c r="AI129" s="2241"/>
      <c r="AJ129" s="2241"/>
      <c r="AK129" s="2241"/>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1"/>
      <c r="Z132" s="2241"/>
      <c r="AA132" s="2241"/>
      <c r="AB132" s="2241"/>
      <c r="AC132" s="2241"/>
      <c r="AD132" s="2241"/>
      <c r="AE132" s="2241"/>
      <c r="AF132" s="2241"/>
      <c r="AG132" s="2241"/>
      <c r="AH132" s="2241"/>
      <c r="AI132" s="2241"/>
      <c r="AJ132" s="2241"/>
      <c r="AK132" s="224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1"/>
      <c r="G150" s="2131"/>
      <c r="H150" s="2131"/>
      <c r="I150" s="2131"/>
      <c r="J150" s="2131"/>
      <c r="K150" s="2131"/>
      <c r="L150" s="2131"/>
      <c r="M150" s="2131"/>
      <c r="N150" s="2131"/>
      <c r="O150" s="2131"/>
      <c r="P150" s="2131"/>
      <c r="Q150" s="2131"/>
      <c r="R150" s="2131"/>
      <c r="S150" s="2131"/>
      <c r="T150" s="213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37" t="s">
        <v>2519</v>
      </c>
      <c r="P153" s="2037"/>
      <c r="Q153" s="2037"/>
      <c r="R153" s="2037"/>
      <c r="S153" s="2037"/>
      <c r="T153" s="2037"/>
      <c r="U153" s="2037"/>
      <c r="V153" s="2037"/>
      <c r="W153" s="2037"/>
      <c r="X153" s="2037"/>
      <c r="Y153" s="2037"/>
      <c r="Z153" s="2037"/>
      <c r="AA153" s="2037"/>
      <c r="AB153" s="2037"/>
      <c r="AC153" s="2037"/>
      <c r="AD153" s="2037"/>
      <c r="AE153" s="2037"/>
      <c r="AF153" s="2037"/>
      <c r="AG153" s="2037"/>
      <c r="AH153" s="2037"/>
    </row>
    <row r="154" spans="1:96" ht="12.75" customHeight="1">
      <c r="D154" s="466" t="s">
        <v>461</v>
      </c>
      <c r="F154" s="32"/>
      <c r="G154" s="32"/>
      <c r="H154" s="32"/>
      <c r="I154" s="32"/>
      <c r="J154" s="32"/>
      <c r="K154" s="32"/>
      <c r="L154" s="32"/>
      <c r="M154" s="32"/>
      <c r="N154" s="32"/>
      <c r="O154" s="2040" t="s">
        <v>2520</v>
      </c>
      <c r="P154" s="2040"/>
      <c r="Q154" s="2040"/>
      <c r="R154" s="2040"/>
      <c r="S154" s="2040"/>
      <c r="T154" s="2040"/>
      <c r="U154" s="2040"/>
      <c r="V154" s="2040"/>
      <c r="W154" s="2040"/>
      <c r="X154" s="2040"/>
      <c r="Y154" s="2040"/>
      <c r="Z154" s="2040"/>
      <c r="AA154" s="2040"/>
      <c r="AB154" s="2040"/>
      <c r="AC154" s="2040"/>
      <c r="AD154" s="2040"/>
      <c r="AE154" s="2040"/>
      <c r="AF154" s="2040"/>
      <c r="AG154" s="2040"/>
      <c r="AH154" s="2040"/>
      <c r="AZ154" s="25"/>
    </row>
    <row r="155" spans="1:96" ht="12.75">
      <c r="D155" s="13" t="s">
        <v>463</v>
      </c>
      <c r="F155" s="13"/>
      <c r="G155" s="13"/>
      <c r="H155" s="13"/>
      <c r="I155" s="13"/>
      <c r="J155" s="13"/>
      <c r="K155" s="13"/>
      <c r="L155" s="13"/>
      <c r="M155" s="13"/>
      <c r="N155" s="13"/>
      <c r="O155" s="2245" t="s">
        <v>462</v>
      </c>
      <c r="P155" s="2245"/>
      <c r="Q155" s="2245"/>
      <c r="R155" s="2245"/>
      <c r="S155" s="2245"/>
      <c r="T155" s="2245"/>
      <c r="U155" s="2245"/>
      <c r="V155" s="2245"/>
      <c r="W155" s="2245"/>
      <c r="X155" s="2245"/>
      <c r="Y155" s="2245"/>
      <c r="Z155" s="2245"/>
      <c r="AA155" s="2245"/>
      <c r="AB155" s="2245"/>
      <c r="AC155" s="2245"/>
      <c r="AD155" s="2245"/>
      <c r="AE155" s="2245"/>
      <c r="AF155" s="2245"/>
      <c r="AG155" s="2245"/>
      <c r="AH155" s="2245"/>
      <c r="AZ155" s="25"/>
    </row>
    <row r="156" spans="1:96" ht="12.75">
      <c r="D156" s="32" t="s">
        <v>322</v>
      </c>
      <c r="F156" s="32"/>
      <c r="G156" s="32"/>
      <c r="H156" s="32"/>
      <c r="I156" s="32"/>
      <c r="J156" s="32"/>
      <c r="K156" s="32"/>
      <c r="L156" s="32"/>
      <c r="M156" s="32"/>
      <c r="N156" s="32"/>
      <c r="O156" s="2038" t="s">
        <v>2521</v>
      </c>
      <c r="P156" s="2038"/>
      <c r="Q156" s="2038"/>
      <c r="R156" s="2038"/>
      <c r="S156" s="2038"/>
      <c r="T156" s="2038"/>
      <c r="U156" s="2038"/>
      <c r="V156" s="2038"/>
      <c r="W156" s="2038"/>
      <c r="X156" s="2038"/>
      <c r="Y156" s="2038"/>
      <c r="Z156" s="2038"/>
      <c r="AA156" s="2038"/>
      <c r="AB156" s="2038"/>
      <c r="AC156" s="2038"/>
      <c r="AD156" s="2038"/>
      <c r="AE156" s="2038"/>
      <c r="AF156" s="2038"/>
      <c r="AG156" s="2038"/>
      <c r="AH156" s="2038"/>
      <c r="BT156" s="12" t="s">
        <v>316</v>
      </c>
    </row>
    <row r="157" spans="1:96" ht="12.75">
      <c r="D157" s="32" t="s">
        <v>323</v>
      </c>
      <c r="F157" s="32"/>
      <c r="G157" s="32"/>
      <c r="H157" s="32"/>
      <c r="I157" s="32"/>
      <c r="J157" s="32"/>
      <c r="K157" s="32"/>
      <c r="L157" s="32"/>
      <c r="M157" s="32"/>
      <c r="N157" s="32"/>
      <c r="O157" s="2037" t="s">
        <v>2522</v>
      </c>
      <c r="P157" s="2037"/>
      <c r="Q157" s="2037"/>
      <c r="R157" s="2037"/>
      <c r="S157" s="2037"/>
      <c r="T157" s="2037"/>
      <c r="U157" s="2037"/>
      <c r="V157" s="2037"/>
      <c r="W157" s="2037"/>
      <c r="X157" s="2037"/>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46">
        <v>95492</v>
      </c>
      <c r="P158" s="2246"/>
      <c r="Q158" s="2246"/>
      <c r="R158" s="2246"/>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11" t="s">
        <v>2523</v>
      </c>
      <c r="P159" s="2211"/>
      <c r="Q159" s="2211"/>
      <c r="R159" s="2211"/>
      <c r="S159" s="2211"/>
      <c r="T159" s="2211"/>
      <c r="V159" s="146" t="s">
        <v>277</v>
      </c>
      <c r="W159" s="2247"/>
      <c r="X159" s="2247"/>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11" t="s">
        <v>2524</v>
      </c>
      <c r="P160" s="2211"/>
      <c r="Q160" s="2211"/>
      <c r="R160" s="2211"/>
      <c r="S160" s="2211"/>
      <c r="T160" s="2211"/>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12" t="s">
        <v>2525</v>
      </c>
      <c r="P161" s="2212"/>
      <c r="Q161" s="2212"/>
      <c r="R161" s="2212"/>
      <c r="S161" s="2212"/>
      <c r="T161" s="2212"/>
      <c r="U161" s="2212"/>
      <c r="V161" s="2212"/>
      <c r="W161" s="2212"/>
      <c r="X161" s="2212"/>
      <c r="Y161" s="2212"/>
      <c r="Z161" s="2212"/>
      <c r="AA161" s="2212"/>
      <c r="AB161" s="2212"/>
      <c r="AC161" s="2212"/>
      <c r="AD161" s="2212"/>
      <c r="AE161" s="2212"/>
      <c r="AF161" s="2212"/>
      <c r="AG161" s="2212"/>
      <c r="AH161" s="2212"/>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13" t="s">
        <v>1455</v>
      </c>
      <c r="E164" s="2213"/>
      <c r="F164" s="2213"/>
      <c r="G164" s="2213"/>
      <c r="H164" s="2213"/>
      <c r="I164" s="2213"/>
      <c r="J164" s="2213"/>
      <c r="K164" s="2213"/>
      <c r="L164" s="2213"/>
      <c r="M164" s="2213"/>
      <c r="N164" s="2213"/>
      <c r="O164" s="2213"/>
      <c r="P164" s="2213"/>
      <c r="Q164" s="2213"/>
      <c r="R164" s="2213"/>
      <c r="S164" s="2213"/>
      <c r="T164" s="2213"/>
      <c r="U164" s="2213"/>
      <c r="V164" s="2213"/>
      <c r="W164" s="2213"/>
      <c r="X164" s="2213"/>
      <c r="Y164" s="2213"/>
      <c r="Z164" s="2213"/>
      <c r="AA164" s="2213"/>
      <c r="AB164" s="2213"/>
      <c r="AC164" s="2213"/>
      <c r="AD164" s="2213"/>
      <c r="AE164" s="2213"/>
      <c r="AF164" s="2213"/>
      <c r="AG164" s="2213"/>
      <c r="AH164" s="2213"/>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5" t="s">
        <v>571</v>
      </c>
      <c r="B169" s="2085"/>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6"/>
      <c r="B170" s="2086"/>
      <c r="C170" s="2086"/>
      <c r="D170" s="2086"/>
      <c r="E170" s="2086"/>
      <c r="F170" s="2086"/>
      <c r="G170" s="2086"/>
      <c r="H170" s="2086"/>
      <c r="I170" s="2086"/>
      <c r="J170" s="2086"/>
      <c r="K170" s="2086"/>
      <c r="L170" s="2086"/>
      <c r="M170" s="2086"/>
      <c r="N170" s="2086"/>
      <c r="O170" s="2086"/>
      <c r="P170" s="2086"/>
      <c r="Q170" s="2086"/>
      <c r="R170" s="2086"/>
      <c r="S170" s="2086"/>
      <c r="T170" s="2086"/>
      <c r="U170" s="2086"/>
      <c r="V170" s="2086"/>
      <c r="W170" s="2086"/>
      <c r="X170" s="2086"/>
      <c r="Y170" s="2086"/>
      <c r="Z170" s="2086"/>
      <c r="AA170" s="2086"/>
      <c r="AB170" s="2086"/>
      <c r="AC170" s="2086"/>
      <c r="AD170" s="2086"/>
      <c r="AE170" s="2086"/>
      <c r="AF170" s="2086"/>
      <c r="AG170" s="2086"/>
      <c r="AH170" s="2086"/>
      <c r="AI170" s="2086"/>
      <c r="AJ170" s="2086"/>
      <c r="AK170" s="2086"/>
      <c r="AL170" s="208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244" t="s">
        <v>2656</v>
      </c>
      <c r="K173" s="2244"/>
      <c r="L173" s="2244"/>
      <c r="M173" s="2244"/>
      <c r="N173" s="2244"/>
      <c r="O173" s="2244"/>
      <c r="P173" s="2244"/>
      <c r="Q173" s="2244"/>
      <c r="R173" s="2244"/>
      <c r="S173" s="224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38" t="s">
        <v>2526</v>
      </c>
      <c r="K174" s="2038"/>
      <c r="L174" s="2038"/>
      <c r="M174" s="2038"/>
      <c r="N174" s="2038"/>
      <c r="O174" s="2038"/>
      <c r="P174" s="2038"/>
      <c r="Q174" s="2038"/>
      <c r="R174" s="2038"/>
      <c r="S174" s="2038"/>
      <c r="T174" s="2038"/>
      <c r="U174" s="2038"/>
      <c r="V174" s="2038"/>
      <c r="W174" s="2038"/>
      <c r="X174" s="2038"/>
      <c r="Y174" s="2038"/>
      <c r="Z174" s="2038"/>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6" t="s">
        <v>577</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6">
        <v>21</v>
      </c>
      <c r="V176" s="2166"/>
      <c r="W176" s="4" t="s">
        <v>315</v>
      </c>
      <c r="X176" s="2228">
        <v>447</v>
      </c>
      <c r="Y176" s="222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6" t="s">
        <v>705</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2"/>
      <c r="AG178" s="2412"/>
      <c r="AH178" s="4" t="s">
        <v>315</v>
      </c>
      <c r="AI178" s="2248"/>
      <c r="AJ178" s="2248"/>
      <c r="AK178" s="224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6" t="s">
        <v>705</v>
      </c>
      <c r="Y180" s="2036"/>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39" t="str">
        <f>H18</f>
        <v>Shiloh Terrace</v>
      </c>
      <c r="J184" s="2039"/>
      <c r="K184" s="2039"/>
      <c r="L184" s="2039"/>
      <c r="M184" s="2039"/>
      <c r="N184" s="2039"/>
      <c r="O184" s="2039"/>
      <c r="P184" s="2039"/>
      <c r="Q184" s="2039"/>
      <c r="R184" s="2039"/>
      <c r="S184" s="2039"/>
      <c r="T184" s="2039"/>
      <c r="U184" s="2039"/>
      <c r="V184" s="2039"/>
      <c r="W184" s="2039"/>
      <c r="X184" s="2039"/>
      <c r="Y184" s="2039"/>
      <c r="Z184" s="2039"/>
      <c r="AA184" s="2039"/>
      <c r="AB184" s="2039"/>
      <c r="AC184" s="2039"/>
      <c r="AD184" s="2039"/>
      <c r="AE184" s="2039"/>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40" t="s">
        <v>2527</v>
      </c>
      <c r="J185" s="2041"/>
      <c r="K185" s="2041"/>
      <c r="L185" s="2041"/>
      <c r="M185" s="2041"/>
      <c r="N185" s="2041"/>
      <c r="O185" s="2041"/>
      <c r="P185" s="2041"/>
      <c r="Q185" s="2041"/>
      <c r="R185" s="2041"/>
      <c r="S185" s="2041"/>
      <c r="T185" s="2041"/>
      <c r="U185" s="2041"/>
      <c r="V185" s="2041"/>
      <c r="W185" s="2041"/>
      <c r="X185" s="2041"/>
      <c r="Y185" s="2041"/>
      <c r="Z185" s="2041"/>
      <c r="AA185" s="2041"/>
      <c r="AB185" s="2041"/>
      <c r="AC185" s="2041"/>
      <c r="AD185" s="2041"/>
      <c r="AE185" s="2041"/>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8"/>
      <c r="F187" s="2088"/>
      <c r="G187" s="2088"/>
      <c r="H187" s="2088"/>
      <c r="I187" s="2088"/>
      <c r="J187" s="2088"/>
      <c r="K187" s="2088"/>
      <c r="L187" s="2088"/>
      <c r="M187" s="2088"/>
      <c r="N187" s="2088"/>
      <c r="O187" s="2088"/>
      <c r="P187" s="2088"/>
      <c r="Q187" s="2088"/>
      <c r="R187" s="2088"/>
      <c r="S187" s="2088"/>
      <c r="T187" s="2088"/>
      <c r="U187" s="2088"/>
      <c r="V187" s="2088"/>
      <c r="W187" s="2088"/>
      <c r="X187" s="2088"/>
      <c r="Y187" s="2088"/>
      <c r="Z187" s="2088"/>
      <c r="AA187" s="2088"/>
      <c r="AB187" s="2088"/>
      <c r="AC187" s="2088"/>
      <c r="AD187" s="2088"/>
      <c r="AE187" s="208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2089"/>
      <c r="AD188" s="2089"/>
      <c r="AE188" s="208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37" t="s">
        <v>2528</v>
      </c>
      <c r="J189" s="2038"/>
      <c r="K189" s="2038"/>
      <c r="L189" s="2038"/>
      <c r="M189" s="2038"/>
      <c r="N189" s="2038"/>
      <c r="O189" s="2038"/>
      <c r="P189" s="2038"/>
      <c r="Q189" s="25" t="s">
        <v>616</v>
      </c>
      <c r="T189" s="2038" t="s">
        <v>179</v>
      </c>
      <c r="U189" s="2038"/>
      <c r="V189" s="2038"/>
      <c r="W189" s="2038"/>
      <c r="X189" s="2038"/>
      <c r="Y189" s="2038"/>
      <c r="Z189" s="2038"/>
      <c r="AA189" s="2038"/>
      <c r="AB189" s="2038"/>
      <c r="AC189" s="2038"/>
      <c r="AD189" s="2038"/>
      <c r="AE189" s="2038"/>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41">
        <v>95492</v>
      </c>
      <c r="J190" s="2041"/>
      <c r="K190" s="2041"/>
      <c r="L190" s="2041"/>
      <c r="M190" s="2041"/>
      <c r="N190" s="2041"/>
      <c r="O190" s="25" t="s">
        <v>619</v>
      </c>
      <c r="P190" s="25"/>
      <c r="Q190" s="25"/>
      <c r="R190" s="25"/>
      <c r="S190" s="25"/>
      <c r="T190" s="2236">
        <v>1538.09</v>
      </c>
      <c r="U190" s="2236"/>
      <c r="V190" s="2236"/>
      <c r="W190" s="2236"/>
      <c r="X190" s="2236"/>
      <c r="Y190" s="2236"/>
      <c r="Z190" s="2236"/>
      <c r="AA190" s="2236"/>
      <c r="AB190" s="2236"/>
      <c r="AC190" s="2236"/>
      <c r="AD190" s="2236"/>
      <c r="AE190" s="2236"/>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238" t="s">
        <v>2529</v>
      </c>
      <c r="O191" s="2088"/>
      <c r="P191" s="2088"/>
      <c r="Q191" s="2088"/>
      <c r="R191" s="2088"/>
      <c r="S191" s="2088"/>
      <c r="T191" s="2088"/>
      <c r="U191" s="2088"/>
      <c r="V191" s="2088"/>
      <c r="W191" s="2088"/>
      <c r="X191" s="2088"/>
      <c r="Y191" s="2088"/>
      <c r="Z191" s="2088"/>
      <c r="AA191" s="2088"/>
      <c r="AB191" s="2088"/>
      <c r="AC191" s="2088"/>
      <c r="AD191" s="2088"/>
      <c r="AE191" s="2088"/>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089"/>
      <c r="O192" s="2089"/>
      <c r="P192" s="2089"/>
      <c r="Q192" s="2089"/>
      <c r="R192" s="2089"/>
      <c r="S192" s="2089"/>
      <c r="T192" s="2089"/>
      <c r="U192" s="2089"/>
      <c r="V192" s="2089"/>
      <c r="W192" s="2089"/>
      <c r="X192" s="2089"/>
      <c r="Y192" s="2089"/>
      <c r="Z192" s="2089"/>
      <c r="AA192" s="2089"/>
      <c r="AB192" s="2089"/>
      <c r="AC192" s="2089"/>
      <c r="AD192" s="2089"/>
      <c r="AE192" s="2089"/>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229" t="s">
        <v>2530</v>
      </c>
      <c r="U193" s="2229"/>
      <c r="V193" s="2229"/>
      <c r="W193" s="2229"/>
      <c r="X193" s="2229"/>
      <c r="Y193" s="2229"/>
      <c r="Z193" s="2229"/>
      <c r="AA193" s="2229"/>
      <c r="AB193" s="2229"/>
      <c r="AC193" s="2229"/>
      <c r="AD193" s="2229"/>
      <c r="AE193" s="2229"/>
      <c r="AF193" s="2229"/>
      <c r="AG193" s="2229"/>
      <c r="AH193" s="2229"/>
      <c r="AI193" s="2229"/>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6" t="s">
        <v>577</v>
      </c>
      <c r="U194" s="2036"/>
      <c r="W194" s="25" t="s">
        <v>721</v>
      </c>
      <c r="X194" s="25"/>
      <c r="Y194" s="25"/>
      <c r="Z194" s="25"/>
      <c r="AA194" s="25"/>
      <c r="AB194" s="25"/>
      <c r="AC194" s="25"/>
      <c r="AD194" s="25"/>
      <c r="AE194" s="25"/>
      <c r="AF194" s="25"/>
      <c r="AG194" s="25"/>
      <c r="AH194" s="2036">
        <v>2</v>
      </c>
      <c r="AI194" s="2036"/>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060" t="s">
        <v>705</v>
      </c>
      <c r="U195" s="2060"/>
      <c r="V195" s="12"/>
      <c r="W195" s="25" t="s">
        <v>722</v>
      </c>
      <c r="X195" s="25"/>
      <c r="Y195" s="25"/>
      <c r="Z195" s="25"/>
      <c r="AA195" s="25"/>
      <c r="AB195" s="25"/>
      <c r="AC195" s="25"/>
      <c r="AD195" s="25"/>
      <c r="AE195" s="25"/>
      <c r="AF195" s="25"/>
      <c r="AG195" s="25"/>
      <c r="AH195" s="2036">
        <v>2</v>
      </c>
      <c r="AI195" s="2036"/>
      <c r="AJ195" s="3"/>
      <c r="AK195" s="3"/>
      <c r="AL195" s="3"/>
      <c r="AM195" s="681"/>
      <c r="AN195" s="681"/>
      <c r="AO195" s="681"/>
      <c r="AP195" s="681"/>
      <c r="AQ195" s="681"/>
      <c r="AR195" s="681"/>
      <c r="AS195" s="681"/>
      <c r="AT195" s="681"/>
      <c r="AU195" s="681"/>
      <c r="AV195" s="681"/>
      <c r="AW195" s="681"/>
      <c r="AX195" s="681"/>
      <c r="AY195" s="681"/>
      <c r="BC195" s="719" t="s">
        <v>2381</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60" t="s">
        <v>705</v>
      </c>
      <c r="U196" s="2060"/>
      <c r="W196" s="25" t="s">
        <v>723</v>
      </c>
      <c r="X196" s="25"/>
      <c r="Y196" s="25"/>
      <c r="Z196" s="25"/>
      <c r="AA196" s="25"/>
      <c r="AB196" s="25"/>
      <c r="AC196" s="25"/>
      <c r="AD196" s="25"/>
      <c r="AE196" s="25"/>
      <c r="AF196" s="25"/>
      <c r="AG196" s="25"/>
      <c r="AH196" s="2036">
        <v>2</v>
      </c>
      <c r="AI196" s="203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60"/>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6" t="s">
        <v>577</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39" t="s">
        <v>402</v>
      </c>
      <c r="E203" s="2039"/>
      <c r="F203" s="2039"/>
      <c r="G203" s="2039"/>
      <c r="H203" s="2039"/>
      <c r="I203" s="2039"/>
      <c r="J203" s="2039"/>
      <c r="K203" s="2039"/>
      <c r="L203" s="2039"/>
      <c r="M203" s="2039"/>
      <c r="P203" s="2232">
        <f>M26</f>
        <v>3838084</v>
      </c>
      <c r="Q203" s="2227"/>
      <c r="R203" s="2227"/>
      <c r="S203" s="2227"/>
      <c r="T203" s="2227"/>
      <c r="U203" s="2227"/>
      <c r="V203" s="25"/>
      <c r="W203" s="25"/>
      <c r="X203" s="25"/>
      <c r="Y203" s="25"/>
      <c r="Z203" s="2225" t="s">
        <v>2531</v>
      </c>
      <c r="AA203" s="2225"/>
      <c r="AB203" s="2225"/>
      <c r="AC203" s="2225"/>
      <c r="AD203" s="2225"/>
      <c r="AE203" s="2225"/>
      <c r="AF203" s="222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30" t="s">
        <v>1476</v>
      </c>
      <c r="E204" s="2039"/>
      <c r="F204" s="2039"/>
      <c r="G204" s="2039"/>
      <c r="H204" s="2039"/>
      <c r="I204" s="2039"/>
      <c r="J204" s="2039"/>
      <c r="K204" s="2039"/>
      <c r="L204" s="2039"/>
      <c r="M204" s="2039"/>
      <c r="P204" s="2227">
        <f>M27</f>
        <v>9807392</v>
      </c>
      <c r="Q204" s="2227"/>
      <c r="R204" s="2227"/>
      <c r="S204" s="2227"/>
      <c r="T204" s="2227"/>
      <c r="U204" s="2227"/>
      <c r="V204" s="47"/>
      <c r="W204" s="58" t="s">
        <v>2215</v>
      </c>
      <c r="Z204" s="2225"/>
      <c r="AA204" s="2225"/>
      <c r="AB204" s="2225"/>
      <c r="AC204" s="2225"/>
      <c r="AD204" s="2225"/>
      <c r="AE204" s="2225"/>
      <c r="AF204" s="2225"/>
      <c r="AG204" s="25" t="s">
        <v>1477</v>
      </c>
      <c r="AH204" s="25"/>
      <c r="AI204" s="25"/>
      <c r="AJ204" s="25"/>
      <c r="AK204" s="25"/>
      <c r="AL204" s="25"/>
      <c r="AM204" s="25"/>
      <c r="AN204" s="25"/>
      <c r="AO204" s="25"/>
      <c r="AP204" s="2036" t="s">
        <v>705</v>
      </c>
      <c r="AQ204" s="2036"/>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6"/>
      <c r="AA205" s="2226"/>
      <c r="AB205" s="2226"/>
      <c r="AC205" s="2226"/>
      <c r="AD205" s="2226"/>
      <c r="AE205" s="2226"/>
      <c r="AF205" s="2226"/>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09" t="s">
        <v>2532</v>
      </c>
      <c r="E207" s="2209"/>
      <c r="F207" s="2209"/>
      <c r="G207" s="2209"/>
      <c r="H207" s="2209"/>
      <c r="I207" s="2209"/>
      <c r="J207" s="2209"/>
      <c r="K207" s="2209"/>
      <c r="L207" s="2209"/>
      <c r="M207" s="22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209" t="s">
        <v>1154</v>
      </c>
      <c r="E210" s="2209"/>
      <c r="F210" s="2209"/>
      <c r="G210" s="2209"/>
      <c r="H210" s="2209"/>
      <c r="I210" s="2209"/>
      <c r="J210" s="2209"/>
      <c r="K210" s="2209"/>
      <c r="L210" s="2209"/>
      <c r="M210" s="220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2" t="s">
        <v>625</v>
      </c>
      <c r="E213" s="2092"/>
      <c r="F213" s="2092"/>
      <c r="G213" s="2092"/>
      <c r="H213" s="2092"/>
      <c r="I213" s="2092"/>
      <c r="J213" s="2092"/>
      <c r="K213" s="2092"/>
      <c r="L213" s="2092"/>
      <c r="M213" s="2092"/>
      <c r="N213" s="2092"/>
      <c r="O213" s="2092"/>
      <c r="P213" s="2092"/>
      <c r="Q213" s="2092"/>
      <c r="R213" s="2092"/>
      <c r="S213" s="2092"/>
      <c r="T213" s="2092"/>
      <c r="U213" s="2092"/>
      <c r="V213" s="2092"/>
      <c r="W213" s="2092"/>
      <c r="X213" s="2092"/>
      <c r="Y213" s="2092"/>
      <c r="Z213" s="2092"/>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1"/>
      <c r="AC214" s="2091"/>
      <c r="AD214" s="2091"/>
      <c r="AE214" s="2091"/>
      <c r="AF214" s="2091"/>
      <c r="AG214" s="2091"/>
      <c r="AH214" s="2091"/>
      <c r="AI214" s="2091"/>
      <c r="AJ214" s="2091"/>
      <c r="AK214" s="2091"/>
      <c r="AL214" s="2091"/>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91"/>
      <c r="AC215" s="2091"/>
      <c r="AD215" s="2091"/>
      <c r="AE215" s="2091"/>
      <c r="AF215" s="2091"/>
      <c r="AG215" s="2091"/>
      <c r="AH215" s="2091"/>
      <c r="AI215" s="2091"/>
      <c r="AJ215" s="2091"/>
      <c r="AK215" s="2091"/>
      <c r="AL215" s="2091"/>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09" t="s">
        <v>1183</v>
      </c>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5" t="s">
        <v>572</v>
      </c>
      <c r="B221" s="2085"/>
      <c r="C221" s="2085"/>
      <c r="D221" s="2085"/>
      <c r="E221" s="2085"/>
      <c r="F221" s="2085"/>
      <c r="G221" s="2085"/>
      <c r="H221" s="2085"/>
      <c r="I221" s="2085"/>
      <c r="J221" s="2085"/>
      <c r="K221" s="2085"/>
      <c r="L221" s="2085"/>
      <c r="M221" s="2085"/>
      <c r="N221" s="2085"/>
      <c r="O221" s="2085"/>
      <c r="P221" s="2085"/>
      <c r="Q221" s="2085"/>
      <c r="R221" s="2085"/>
      <c r="S221" s="2085"/>
      <c r="T221" s="2085"/>
      <c r="U221" s="2085"/>
      <c r="V221" s="2085"/>
      <c r="W221" s="2085"/>
      <c r="X221" s="2085"/>
      <c r="Y221" s="2085"/>
      <c r="Z221" s="2085"/>
      <c r="AA221" s="2085"/>
      <c r="AB221" s="2085"/>
      <c r="AC221" s="2085"/>
      <c r="AD221" s="2085"/>
      <c r="AE221" s="2085"/>
      <c r="AF221" s="2085"/>
      <c r="AG221" s="2085"/>
      <c r="AH221" s="2085"/>
      <c r="AI221" s="2085"/>
      <c r="AJ221" s="2085"/>
      <c r="AK221" s="2085"/>
      <c r="AL221" s="2085"/>
      <c r="AM221" s="144"/>
      <c r="AN221" s="144"/>
      <c r="AO221" s="144"/>
      <c r="AP221" s="144"/>
      <c r="AQ221" s="144"/>
      <c r="AR221" s="144"/>
      <c r="AS221" s="144"/>
      <c r="AT221" s="144"/>
      <c r="AU221" s="144"/>
      <c r="AV221" s="144"/>
      <c r="AW221" s="144"/>
      <c r="AX221" s="144"/>
      <c r="AY221" s="144"/>
      <c r="BA221" s="58"/>
    </row>
    <row r="222" spans="1:96" ht="13.5" thickBot="1">
      <c r="A222" s="2086"/>
      <c r="B222" s="2086"/>
      <c r="C222" s="2086"/>
      <c r="D222" s="2086"/>
      <c r="E222" s="2086"/>
      <c r="F222" s="2086"/>
      <c r="G222" s="2086"/>
      <c r="H222" s="2086"/>
      <c r="I222" s="2086"/>
      <c r="J222" s="2086"/>
      <c r="K222" s="2086"/>
      <c r="L222" s="2086"/>
      <c r="M222" s="2086"/>
      <c r="N222" s="2086"/>
      <c r="O222" s="2086"/>
      <c r="P222" s="2086"/>
      <c r="Q222" s="2086"/>
      <c r="R222" s="2086"/>
      <c r="S222" s="2086"/>
      <c r="T222" s="2086"/>
      <c r="U222" s="2086"/>
      <c r="V222" s="2086"/>
      <c r="W222" s="2086"/>
      <c r="X222" s="2086"/>
      <c r="Y222" s="2086"/>
      <c r="Z222" s="2086"/>
      <c r="AA222" s="2086"/>
      <c r="AB222" s="2086"/>
      <c r="AC222" s="2086"/>
      <c r="AD222" s="2086"/>
      <c r="AE222" s="2086"/>
      <c r="AF222" s="2086"/>
      <c r="AG222" s="2086"/>
      <c r="AH222" s="2086"/>
      <c r="AI222" s="2086"/>
      <c r="AJ222" s="2086"/>
      <c r="AK222" s="2086"/>
      <c r="AL222" s="208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625</v>
      </c>
      <c r="AJ225" s="2036"/>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577</v>
      </c>
      <c r="AJ226" s="203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625</v>
      </c>
      <c r="AJ227" s="203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625</v>
      </c>
      <c r="AJ228" s="203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37" t="str">
        <f>H16</f>
        <v>Central Valley Coalition for Affordable Housing</v>
      </c>
      <c r="N231" s="2237"/>
      <c r="O231" s="2237"/>
      <c r="P231" s="2237"/>
      <c r="Q231" s="2237"/>
      <c r="R231" s="2237"/>
      <c r="S231" s="2237"/>
      <c r="T231" s="2237"/>
      <c r="U231" s="2237"/>
      <c r="V231" s="2237"/>
      <c r="W231" s="2237"/>
      <c r="X231" s="2237"/>
      <c r="Y231" s="2237"/>
      <c r="Z231" s="2237"/>
      <c r="AA231" s="2237"/>
      <c r="AB231" s="2237"/>
      <c r="AC231" s="2237"/>
      <c r="AD231" s="2237"/>
      <c r="AE231" s="2237"/>
      <c r="AF231" s="2237"/>
      <c r="AG231" s="2237"/>
      <c r="AH231" s="2237"/>
      <c r="AI231" s="2237"/>
      <c r="AJ231" s="2237"/>
      <c r="AK231" s="2237"/>
      <c r="BA231" s="58"/>
      <c r="BB231" s="384"/>
      <c r="BG231" s="387"/>
      <c r="BQ231" s="61"/>
    </row>
    <row r="232" spans="1:69" ht="12.75">
      <c r="D232" s="57" t="s">
        <v>90</v>
      </c>
      <c r="E232" s="57"/>
      <c r="F232" s="57"/>
      <c r="G232" s="57"/>
      <c r="H232" s="57"/>
      <c r="I232" s="57"/>
      <c r="J232" s="57"/>
      <c r="K232" s="7"/>
      <c r="M232" s="2037" t="s">
        <v>2533</v>
      </c>
      <c r="N232" s="2037"/>
      <c r="O232" s="2037"/>
      <c r="P232" s="2037"/>
      <c r="Q232" s="2037"/>
      <c r="R232" s="2037"/>
      <c r="S232" s="2037"/>
      <c r="T232" s="2037"/>
      <c r="U232" s="2037"/>
      <c r="V232" s="2037"/>
      <c r="W232" s="2037"/>
      <c r="X232" s="2037"/>
      <c r="Y232" s="2037"/>
      <c r="Z232" s="2037"/>
      <c r="AA232" s="2037"/>
      <c r="AB232" s="2037"/>
      <c r="AC232" s="2037"/>
      <c r="AD232" s="2037"/>
      <c r="AE232" s="2037"/>
      <c r="AZ232" s="7"/>
      <c r="BA232" s="58"/>
      <c r="BB232" s="334" t="s">
        <v>570</v>
      </c>
      <c r="BG232" s="389">
        <f>IF(AND(AND($M$248="nonprofit",$M$256="nonprofit",$M$264="for profit")),2,0)</f>
        <v>0</v>
      </c>
      <c r="BQ232" s="61"/>
    </row>
    <row r="233" spans="1:69" ht="12.75">
      <c r="D233" s="57" t="s">
        <v>614</v>
      </c>
      <c r="E233" s="57"/>
      <c r="M233" s="2037" t="s">
        <v>58</v>
      </c>
      <c r="N233" s="2037"/>
      <c r="O233" s="2037"/>
      <c r="P233" s="2037"/>
      <c r="Q233" s="2037"/>
      <c r="R233" s="2037"/>
      <c r="S233" s="2037"/>
      <c r="T233" s="2037"/>
      <c r="V233" s="59" t="s">
        <v>91</v>
      </c>
      <c r="W233" s="2040" t="s">
        <v>2534</v>
      </c>
      <c r="X233" s="2028"/>
      <c r="Y233" s="57" t="s">
        <v>617</v>
      </c>
      <c r="AC233" s="2209">
        <v>95348</v>
      </c>
      <c r="AD233" s="2209"/>
      <c r="AE233" s="2209"/>
      <c r="BB233" s="334" t="s">
        <v>570</v>
      </c>
      <c r="BG233" s="389">
        <f>IF(AND(AND($M$248="nonprofit",$M$256="for profit",$M$264="nonprofit")),2,0)</f>
        <v>0</v>
      </c>
    </row>
    <row r="234" spans="1:69" ht="12.75">
      <c r="D234" s="60" t="s">
        <v>92</v>
      </c>
      <c r="E234" s="7"/>
      <c r="F234" s="7"/>
      <c r="G234" s="7"/>
      <c r="H234" s="7"/>
      <c r="I234" s="7"/>
      <c r="J234" s="7"/>
      <c r="K234" s="29"/>
      <c r="M234" s="2037" t="s">
        <v>2535</v>
      </c>
      <c r="N234" s="2037"/>
      <c r="O234" s="2037"/>
      <c r="P234" s="2037"/>
      <c r="Q234" s="2037"/>
      <c r="R234" s="2037"/>
      <c r="S234" s="2037"/>
      <c r="T234" s="2037"/>
      <c r="U234" s="2037"/>
      <c r="V234" s="2037"/>
      <c r="W234" s="2037"/>
      <c r="X234" s="2037"/>
      <c r="Y234" s="2037"/>
      <c r="Z234" s="2037"/>
      <c r="AA234" s="2037"/>
      <c r="AB234" s="2037"/>
      <c r="AC234" s="2037"/>
      <c r="AD234" s="2037"/>
      <c r="AE234" s="203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71" t="s">
        <v>2536</v>
      </c>
      <c r="N235" s="2171"/>
      <c r="O235" s="2171"/>
      <c r="P235" s="2171"/>
      <c r="Q235" s="2171"/>
      <c r="R235" s="2171"/>
      <c r="S235" s="7" t="s">
        <v>212</v>
      </c>
      <c r="T235" s="7"/>
      <c r="U235" s="2028"/>
      <c r="V235" s="2028"/>
      <c r="W235" s="2028"/>
      <c r="X235" s="7" t="s">
        <v>94</v>
      </c>
      <c r="Z235" s="2065"/>
      <c r="AA235" s="2065"/>
      <c r="AB235" s="2065"/>
      <c r="AC235" s="2065"/>
      <c r="AD235" s="2065"/>
      <c r="AE235" s="2065"/>
      <c r="BB235" s="385"/>
      <c r="BG235" s="386"/>
    </row>
    <row r="236" spans="1:69" ht="12.75">
      <c r="D236" s="60" t="s">
        <v>95</v>
      </c>
      <c r="E236" s="7"/>
      <c r="F236" s="7"/>
      <c r="M236" s="2212" t="s">
        <v>2537</v>
      </c>
      <c r="N236" s="2212"/>
      <c r="O236" s="2212"/>
      <c r="P236" s="2212"/>
      <c r="Q236" s="2212"/>
      <c r="R236" s="2212"/>
      <c r="S236" s="2212"/>
      <c r="T236" s="2212"/>
      <c r="U236" s="2212"/>
      <c r="V236" s="2212"/>
      <c r="W236" s="2212"/>
      <c r="X236" s="2212"/>
      <c r="Y236" s="2212"/>
      <c r="Z236" s="2212"/>
      <c r="AA236" s="2212"/>
      <c r="AB236" s="2212"/>
      <c r="AC236" s="2212"/>
      <c r="AD236" s="2212"/>
      <c r="AE236" s="22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1" t="s">
        <v>394</v>
      </c>
      <c r="N237" s="2041"/>
      <c r="O237" s="2041"/>
      <c r="P237" s="2041"/>
      <c r="Q237" s="2041"/>
      <c r="R237" s="2041"/>
      <c r="S237" s="2041"/>
      <c r="T237" s="2041"/>
      <c r="U237" s="387" t="s">
        <v>974</v>
      </c>
      <c r="V237" s="325"/>
      <c r="W237" s="325"/>
      <c r="X237" s="325"/>
      <c r="Y237" s="325"/>
      <c r="Z237" s="325"/>
      <c r="AA237" s="2221"/>
      <c r="AB237" s="2221"/>
      <c r="AC237" s="2221"/>
      <c r="AD237" s="2221"/>
      <c r="AE237" s="2221"/>
      <c r="AF237" s="2221"/>
      <c r="AG237" s="2221"/>
      <c r="AH237" s="2221"/>
      <c r="AI237" s="2221"/>
      <c r="AJ237" s="2221"/>
      <c r="AK237" s="2221"/>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38"/>
      <c r="N238" s="2038"/>
      <c r="O238" s="2038"/>
      <c r="P238" s="2038"/>
      <c r="Q238" s="2038"/>
      <c r="R238" s="2038"/>
      <c r="S238" s="2038"/>
      <c r="T238" s="2038"/>
      <c r="U238" s="2038"/>
      <c r="V238" s="2038"/>
      <c r="W238" s="2038"/>
      <c r="X238" s="2038"/>
      <c r="Y238" s="2038"/>
      <c r="Z238" s="2038"/>
      <c r="AA238" s="2038"/>
      <c r="AB238" s="2038"/>
      <c r="AC238" s="2038"/>
      <c r="AD238" s="2038"/>
      <c r="AE238" s="203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19" t="s">
        <v>2538</v>
      </c>
      <c r="N242" s="2219"/>
      <c r="O242" s="2219"/>
      <c r="P242" s="2219"/>
      <c r="Q242" s="2219"/>
      <c r="R242" s="2219"/>
      <c r="S242" s="2219"/>
      <c r="T242" s="2219"/>
      <c r="U242" s="2219"/>
      <c r="V242" s="2219"/>
      <c r="W242" s="2219"/>
      <c r="X242" s="2219"/>
      <c r="Y242" s="2219"/>
      <c r="Z242" s="2219"/>
      <c r="AA242" s="2219"/>
      <c r="AB242" s="2219"/>
      <c r="AC242" s="2219"/>
      <c r="AD242" s="2219"/>
      <c r="AE242" s="2219"/>
      <c r="AF242" s="2220" t="s">
        <v>2540</v>
      </c>
      <c r="AG242" s="2220"/>
      <c r="AH242" s="2220"/>
      <c r="AI242" s="2220"/>
      <c r="AJ242" s="2220"/>
      <c r="AK242" s="222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7" t="s">
        <v>2539</v>
      </c>
      <c r="N243" s="2037"/>
      <c r="O243" s="2037"/>
      <c r="P243" s="2037"/>
      <c r="Q243" s="2037"/>
      <c r="R243" s="2037"/>
      <c r="S243" s="2037"/>
      <c r="T243" s="2037"/>
      <c r="U243" s="2037"/>
      <c r="V243" s="2037"/>
      <c r="W243" s="2037"/>
      <c r="X243" s="2037"/>
      <c r="Y243" s="2037"/>
      <c r="Z243" s="2037"/>
      <c r="AA243" s="2037"/>
      <c r="AB243" s="2037"/>
      <c r="AC243" s="2037"/>
      <c r="AD243" s="2037"/>
      <c r="AE243" s="2037"/>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37" t="s">
        <v>769</v>
      </c>
      <c r="N244" s="2037"/>
      <c r="O244" s="2037"/>
      <c r="P244" s="2037"/>
      <c r="Q244" s="2037"/>
      <c r="R244" s="2037"/>
      <c r="S244" s="2037"/>
      <c r="T244" s="2037"/>
      <c r="V244" s="59" t="s">
        <v>91</v>
      </c>
      <c r="W244" s="2040" t="s">
        <v>2534</v>
      </c>
      <c r="X244" s="2028"/>
      <c r="Y244" s="57" t="s">
        <v>617</v>
      </c>
      <c r="AC244" s="2209">
        <v>92117</v>
      </c>
      <c r="AD244" s="2209"/>
      <c r="AE244" s="2209"/>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37" t="s">
        <v>2541</v>
      </c>
      <c r="N245" s="2037"/>
      <c r="O245" s="2037"/>
      <c r="P245" s="2037"/>
      <c r="Q245" s="2037"/>
      <c r="R245" s="2037"/>
      <c r="S245" s="2037"/>
      <c r="T245" s="2037"/>
      <c r="U245" s="2037"/>
      <c r="V245" s="2037"/>
      <c r="W245" s="2037"/>
      <c r="X245" s="2037"/>
      <c r="Y245" s="2037"/>
      <c r="Z245" s="2037"/>
      <c r="AA245" s="2037"/>
      <c r="AB245" s="2037"/>
      <c r="AC245" s="2037"/>
      <c r="AD245" s="2037"/>
      <c r="AE245" s="2037"/>
      <c r="AH245" s="2106">
        <v>4.8999999999999998E-4</v>
      </c>
      <c r="AI245" s="2106"/>
      <c r="AJ245" s="2106"/>
      <c r="AK245" s="210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171" t="s">
        <v>2542</v>
      </c>
      <c r="N246" s="2171"/>
      <c r="O246" s="2171"/>
      <c r="P246" s="2171"/>
      <c r="Q246" s="2171"/>
      <c r="R246" s="2171"/>
      <c r="S246" s="7" t="s">
        <v>212</v>
      </c>
      <c r="T246" s="7"/>
      <c r="U246" s="2028"/>
      <c r="V246" s="2028"/>
      <c r="W246" s="2028"/>
      <c r="X246" s="7" t="s">
        <v>94</v>
      </c>
      <c r="Z246" s="2065"/>
      <c r="AA246" s="2065"/>
      <c r="AB246" s="2065"/>
      <c r="AC246" s="2065"/>
      <c r="AD246" s="2065"/>
      <c r="AE246" s="2065"/>
      <c r="BB246" s="7" t="s">
        <v>178</v>
      </c>
      <c r="BG246" s="12">
        <v>3</v>
      </c>
      <c r="BH246" s="12" t="s">
        <v>568</v>
      </c>
      <c r="BN246" s="390"/>
      <c r="BO246" s="39"/>
    </row>
    <row r="247" spans="1:72" ht="12.75">
      <c r="A247" s="29"/>
      <c r="B247" s="7"/>
      <c r="C247" s="7"/>
      <c r="D247" s="60" t="s">
        <v>95</v>
      </c>
      <c r="E247" s="7"/>
      <c r="F247" s="7"/>
      <c r="M247" s="2212" t="s">
        <v>2543</v>
      </c>
      <c r="N247" s="2212"/>
      <c r="O247" s="2212"/>
      <c r="P247" s="2212"/>
      <c r="Q247" s="2212"/>
      <c r="R247" s="2212"/>
      <c r="S247" s="2212"/>
      <c r="T247" s="2212"/>
      <c r="U247" s="2212"/>
      <c r="V247" s="2212"/>
      <c r="W247" s="2212"/>
      <c r="X247" s="2212"/>
      <c r="Y247" s="2212"/>
      <c r="Z247" s="2212"/>
      <c r="AA247" s="2212"/>
      <c r="AB247" s="2212"/>
      <c r="AC247" s="2212"/>
      <c r="AD247" s="2212"/>
      <c r="AE247" s="22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1" t="s">
        <v>568</v>
      </c>
      <c r="N248" s="2041"/>
      <c r="O248" s="2041"/>
      <c r="P248" s="2041"/>
      <c r="Q248" s="2041"/>
      <c r="R248" s="2041"/>
      <c r="S248" s="2041"/>
      <c r="T248" s="2041"/>
      <c r="U248" s="387" t="s">
        <v>974</v>
      </c>
      <c r="V248" s="325"/>
      <c r="W248" s="325"/>
      <c r="X248" s="325"/>
      <c r="Y248" s="325"/>
      <c r="Z248" s="325"/>
      <c r="AA248" s="2221"/>
      <c r="AB248" s="2221"/>
      <c r="AC248" s="2221"/>
      <c r="AD248" s="2221"/>
      <c r="AE248" s="2221"/>
      <c r="AF248" s="2221"/>
      <c r="AG248" s="2221"/>
      <c r="AH248" s="2221"/>
      <c r="AI248" s="2221"/>
      <c r="AJ248" s="2221"/>
      <c r="AK248" s="222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9" t="s">
        <v>2517</v>
      </c>
      <c r="N250" s="2219"/>
      <c r="O250" s="2219"/>
      <c r="P250" s="2219"/>
      <c r="Q250" s="2219"/>
      <c r="R250" s="2219"/>
      <c r="S250" s="2219"/>
      <c r="T250" s="2219"/>
      <c r="U250" s="2219"/>
      <c r="V250" s="2219"/>
      <c r="W250" s="2219"/>
      <c r="X250" s="2219"/>
      <c r="Y250" s="2219"/>
      <c r="Z250" s="2219"/>
      <c r="AA250" s="2219"/>
      <c r="AB250" s="2219"/>
      <c r="AC250" s="2219"/>
      <c r="AD250" s="2219"/>
      <c r="AE250" s="2219"/>
      <c r="AF250" s="2220" t="s">
        <v>2544</v>
      </c>
      <c r="AG250" s="2220"/>
      <c r="AH250" s="2220"/>
      <c r="AI250" s="2220"/>
      <c r="AJ250" s="2220"/>
      <c r="AK250" s="2220"/>
      <c r="BN250" s="61"/>
    </row>
    <row r="251" spans="1:72" ht="12.75">
      <c r="A251" s="29"/>
      <c r="B251" s="7"/>
      <c r="C251" s="7"/>
      <c r="D251" s="57" t="s">
        <v>90</v>
      </c>
      <c r="E251" s="57"/>
      <c r="F251" s="57"/>
      <c r="G251" s="57"/>
      <c r="H251" s="57"/>
      <c r="I251" s="57"/>
      <c r="J251" s="57"/>
      <c r="K251" s="57"/>
      <c r="L251" s="7"/>
      <c r="M251" s="2037" t="s">
        <v>2533</v>
      </c>
      <c r="N251" s="2037"/>
      <c r="O251" s="2037"/>
      <c r="P251" s="2037"/>
      <c r="Q251" s="2037"/>
      <c r="R251" s="2037"/>
      <c r="S251" s="2037"/>
      <c r="T251" s="2037"/>
      <c r="U251" s="2037"/>
      <c r="V251" s="2037"/>
      <c r="W251" s="2037"/>
      <c r="X251" s="2037"/>
      <c r="Y251" s="2037"/>
      <c r="Z251" s="2037"/>
      <c r="AA251" s="2037"/>
      <c r="AB251" s="2037"/>
      <c r="AC251" s="2037"/>
      <c r="AD251" s="2037"/>
      <c r="AE251" s="2037"/>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37" t="s">
        <v>58</v>
      </c>
      <c r="N252" s="2037"/>
      <c r="O252" s="2037"/>
      <c r="P252" s="2037"/>
      <c r="Q252" s="2037"/>
      <c r="R252" s="2037"/>
      <c r="S252" s="2037"/>
      <c r="T252" s="2037"/>
      <c r="V252" s="59" t="s">
        <v>91</v>
      </c>
      <c r="W252" s="2040" t="s">
        <v>2534</v>
      </c>
      <c r="X252" s="2028"/>
      <c r="Y252" s="57" t="s">
        <v>617</v>
      </c>
      <c r="AC252" s="2209">
        <v>95348</v>
      </c>
      <c r="AD252" s="2209"/>
      <c r="AE252" s="2209"/>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37" t="s">
        <v>2535</v>
      </c>
      <c r="N253" s="2037"/>
      <c r="O253" s="2037"/>
      <c r="P253" s="2037"/>
      <c r="Q253" s="2037"/>
      <c r="R253" s="2037"/>
      <c r="S253" s="2037"/>
      <c r="T253" s="2037"/>
      <c r="U253" s="2037"/>
      <c r="V253" s="2037"/>
      <c r="W253" s="2037"/>
      <c r="X253" s="2037"/>
      <c r="Y253" s="2037"/>
      <c r="Z253" s="2037"/>
      <c r="AA253" s="2037"/>
      <c r="AB253" s="2037"/>
      <c r="AC253" s="2037"/>
      <c r="AD253" s="2037"/>
      <c r="AE253" s="2037"/>
      <c r="AF253" s="719"/>
      <c r="AG253" s="719"/>
      <c r="AH253" s="2106">
        <v>5.1000000000000004E-4</v>
      </c>
      <c r="AI253" s="2106"/>
      <c r="AJ253" s="2106"/>
      <c r="AK253" s="210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71" t="s">
        <v>2536</v>
      </c>
      <c r="N254" s="2171"/>
      <c r="O254" s="2171"/>
      <c r="P254" s="2171"/>
      <c r="Q254" s="2171"/>
      <c r="R254" s="2171"/>
      <c r="S254" s="7" t="s">
        <v>212</v>
      </c>
      <c r="T254" s="7"/>
      <c r="U254" s="2028"/>
      <c r="V254" s="2028"/>
      <c r="W254" s="2028"/>
      <c r="X254" s="7" t="s">
        <v>94</v>
      </c>
      <c r="Z254" s="2065"/>
      <c r="AA254" s="2065"/>
      <c r="AB254" s="2065"/>
      <c r="AC254" s="2065"/>
      <c r="AD254" s="2065"/>
      <c r="AE254" s="2065"/>
    </row>
    <row r="255" spans="1:72" ht="12.75">
      <c r="A255" s="29"/>
      <c r="B255" s="7"/>
      <c r="C255" s="7"/>
      <c r="D255" s="60" t="s">
        <v>95</v>
      </c>
      <c r="E255" s="7"/>
      <c r="F255" s="7"/>
      <c r="M255" s="2212" t="s">
        <v>2537</v>
      </c>
      <c r="N255" s="2212"/>
      <c r="O255" s="2212"/>
      <c r="P255" s="2212"/>
      <c r="Q255" s="2212"/>
      <c r="R255" s="2212"/>
      <c r="S255" s="2212"/>
      <c r="T255" s="2212"/>
      <c r="U255" s="2212"/>
      <c r="V255" s="2212"/>
      <c r="W255" s="2212"/>
      <c r="X255" s="2212"/>
      <c r="Y255" s="2212"/>
      <c r="Z255" s="2212"/>
      <c r="AA255" s="2212"/>
      <c r="AB255" s="2212"/>
      <c r="AC255" s="2212"/>
      <c r="AD255" s="2212"/>
      <c r="AE255" s="22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1" t="s">
        <v>566</v>
      </c>
      <c r="N256" s="2041"/>
      <c r="O256" s="2041"/>
      <c r="P256" s="2041"/>
      <c r="Q256" s="2041"/>
      <c r="R256" s="2041"/>
      <c r="S256" s="2041"/>
      <c r="T256" s="2041"/>
      <c r="U256" s="387" t="s">
        <v>974</v>
      </c>
      <c r="V256" s="325"/>
      <c r="W256" s="325"/>
      <c r="X256" s="325"/>
      <c r="Y256" s="325"/>
      <c r="Z256" s="325"/>
      <c r="AA256" s="2221"/>
      <c r="AB256" s="2221"/>
      <c r="AC256" s="2221"/>
      <c r="AD256" s="2221"/>
      <c r="AE256" s="2221"/>
      <c r="AF256" s="2221"/>
      <c r="AG256" s="2221"/>
      <c r="AH256" s="2221"/>
      <c r="AI256" s="2221"/>
      <c r="AJ256" s="2221"/>
      <c r="AK256" s="222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20"/>
      <c r="N258" s="2220"/>
      <c r="O258" s="2220"/>
      <c r="P258" s="2220"/>
      <c r="Q258" s="2220"/>
      <c r="R258" s="2220"/>
      <c r="S258" s="2220"/>
      <c r="T258" s="2220"/>
      <c r="U258" s="2220"/>
      <c r="V258" s="2220"/>
      <c r="W258" s="2220"/>
      <c r="X258" s="2220"/>
      <c r="Y258" s="2220"/>
      <c r="Z258" s="2220"/>
      <c r="AA258" s="2220"/>
      <c r="AB258" s="2220"/>
      <c r="AC258" s="2220"/>
      <c r="AD258" s="2220"/>
      <c r="AE258" s="2220"/>
      <c r="AF258" s="2220" t="s">
        <v>316</v>
      </c>
      <c r="AG258" s="2220"/>
      <c r="AH258" s="2220"/>
      <c r="AI258" s="2220"/>
      <c r="AJ258" s="2220"/>
      <c r="AK258" s="222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9"/>
      <c r="N259" s="2209"/>
      <c r="O259" s="2209"/>
      <c r="P259" s="2209"/>
      <c r="Q259" s="2209"/>
      <c r="R259" s="2209"/>
      <c r="S259" s="2209"/>
      <c r="T259" s="2209"/>
      <c r="U259" s="2209"/>
      <c r="V259" s="2209"/>
      <c r="W259" s="2209"/>
      <c r="X259" s="2209"/>
      <c r="Y259" s="2209"/>
      <c r="Z259" s="2209"/>
      <c r="AA259" s="2209"/>
      <c r="AB259" s="2209"/>
      <c r="AC259" s="2209"/>
      <c r="AD259" s="2209"/>
      <c r="AE259" s="2209"/>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09"/>
      <c r="N260" s="2209"/>
      <c r="O260" s="2209"/>
      <c r="P260" s="2209"/>
      <c r="Q260" s="2209"/>
      <c r="R260" s="2209"/>
      <c r="S260" s="2209"/>
      <c r="T260" s="2209"/>
      <c r="V260" s="59" t="s">
        <v>91</v>
      </c>
      <c r="W260" s="2028"/>
      <c r="X260" s="2028"/>
      <c r="Y260" s="57" t="s">
        <v>617</v>
      </c>
      <c r="AC260" s="2209"/>
      <c r="AD260" s="2209"/>
      <c r="AE260" s="2209"/>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9"/>
      <c r="N261" s="2209"/>
      <c r="O261" s="2209"/>
      <c r="P261" s="2209"/>
      <c r="Q261" s="2209"/>
      <c r="R261" s="2209"/>
      <c r="S261" s="2209"/>
      <c r="T261" s="2209"/>
      <c r="U261" s="2209"/>
      <c r="V261" s="2209"/>
      <c r="W261" s="2209"/>
      <c r="X261" s="2209"/>
      <c r="Y261" s="2209"/>
      <c r="Z261" s="2209"/>
      <c r="AA261" s="2209"/>
      <c r="AB261" s="2209"/>
      <c r="AC261" s="2209"/>
      <c r="AD261" s="2209"/>
      <c r="AE261" s="2209"/>
      <c r="AF261" s="719"/>
      <c r="AG261" s="719"/>
      <c r="AH261" s="2106"/>
      <c r="AI261" s="2106"/>
      <c r="AJ261" s="2106"/>
      <c r="AK261" s="210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5"/>
      <c r="N262" s="2065"/>
      <c r="O262" s="2065"/>
      <c r="P262" s="2065"/>
      <c r="Q262" s="2065"/>
      <c r="R262" s="2065"/>
      <c r="S262" s="7" t="s">
        <v>212</v>
      </c>
      <c r="T262" s="7"/>
      <c r="U262" s="2028"/>
      <c r="V262" s="2028"/>
      <c r="W262" s="2028"/>
      <c r="X262" s="7" t="s">
        <v>94</v>
      </c>
      <c r="Z262" s="2065"/>
      <c r="AA262" s="2065"/>
      <c r="AB262" s="2065"/>
      <c r="AC262" s="2065"/>
      <c r="AD262" s="2065"/>
      <c r="AE262" s="206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2"/>
      <c r="N263" s="2212"/>
      <c r="O263" s="2212"/>
      <c r="P263" s="2212"/>
      <c r="Q263" s="2212"/>
      <c r="R263" s="2212"/>
      <c r="S263" s="2212"/>
      <c r="T263" s="2212"/>
      <c r="U263" s="2212"/>
      <c r="V263" s="2212"/>
      <c r="W263" s="2212"/>
      <c r="X263" s="2212"/>
      <c r="Y263" s="2212"/>
      <c r="Z263" s="2212"/>
      <c r="AA263" s="2224"/>
      <c r="AB263" s="2224"/>
      <c r="AC263" s="2224"/>
      <c r="AD263" s="2224"/>
      <c r="AE263" s="222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1" t="s">
        <v>316</v>
      </c>
      <c r="N264" s="2041"/>
      <c r="O264" s="2041"/>
      <c r="P264" s="2041"/>
      <c r="Q264" s="2041"/>
      <c r="R264" s="2041"/>
      <c r="S264" s="2041"/>
      <c r="T264" s="2041"/>
      <c r="U264" s="387" t="s">
        <v>974</v>
      </c>
      <c r="V264" s="325"/>
      <c r="W264" s="325"/>
      <c r="X264" s="325"/>
      <c r="Y264" s="325"/>
      <c r="Z264" s="325"/>
      <c r="AA264" s="2235"/>
      <c r="AB264" s="2235"/>
      <c r="AC264" s="2235"/>
      <c r="AD264" s="2235"/>
      <c r="AE264" s="2235"/>
      <c r="AF264" s="2235"/>
      <c r="AG264" s="2235"/>
      <c r="AH264" s="2235"/>
      <c r="AI264" s="2235"/>
      <c r="AJ264" s="2235"/>
      <c r="AK264" s="223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50" t="str">
        <f>BO245</f>
        <v>Joint Venture</v>
      </c>
      <c r="U266" s="2250"/>
      <c r="V266" s="2250"/>
      <c r="W266" s="2250"/>
      <c r="X266" s="2250"/>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9" t="s">
        <v>286</v>
      </c>
      <c r="E269" s="2209"/>
      <c r="F269" s="2209"/>
      <c r="G269" s="2209"/>
      <c r="H269" s="2209"/>
      <c r="J269" s="12" t="s">
        <v>285</v>
      </c>
      <c r="X269" s="2223"/>
      <c r="Y269" s="2223"/>
      <c r="Z269" s="2223"/>
      <c r="AA269" s="2223"/>
      <c r="AB269" s="2223"/>
      <c r="AC269" s="222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9" t="s">
        <v>2545</v>
      </c>
      <c r="M273" s="2219"/>
      <c r="N273" s="2219"/>
      <c r="O273" s="2219"/>
      <c r="P273" s="2219"/>
      <c r="Q273" s="2219"/>
      <c r="R273" s="2219"/>
      <c r="S273" s="2219"/>
      <c r="T273" s="2219"/>
      <c r="U273" s="2219"/>
      <c r="V273" s="2219"/>
      <c r="W273" s="2219"/>
      <c r="X273" s="2219"/>
      <c r="Y273" s="2219"/>
      <c r="Z273" s="2219"/>
      <c r="AA273" s="2219"/>
      <c r="AB273" s="2219"/>
      <c r="AC273" s="2219"/>
      <c r="AD273" s="2219"/>
      <c r="AE273" s="2219"/>
      <c r="AF273" s="2219"/>
      <c r="AG273" s="2219"/>
      <c r="AH273" s="2219"/>
      <c r="AI273" s="2219"/>
      <c r="AJ273" s="221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7" t="s">
        <v>2539</v>
      </c>
      <c r="M274" s="2037"/>
      <c r="N274" s="2037"/>
      <c r="O274" s="2037"/>
      <c r="P274" s="2037"/>
      <c r="Q274" s="2037"/>
      <c r="R274" s="2037"/>
      <c r="S274" s="2037"/>
      <c r="T274" s="2037"/>
      <c r="U274" s="2037"/>
      <c r="V274" s="2037"/>
      <c r="W274" s="2037"/>
      <c r="X274" s="2037"/>
      <c r="Y274" s="2037"/>
      <c r="Z274" s="2037"/>
      <c r="AA274" s="2037"/>
      <c r="AB274" s="2037"/>
      <c r="AC274" s="2037"/>
      <c r="AD274" s="2037"/>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37" t="s">
        <v>769</v>
      </c>
      <c r="M275" s="2037"/>
      <c r="N275" s="2037"/>
      <c r="O275" s="2037"/>
      <c r="P275" s="2037"/>
      <c r="Q275" s="2037"/>
      <c r="R275" s="2037"/>
      <c r="S275" s="2037"/>
      <c r="U275" s="59" t="s">
        <v>91</v>
      </c>
      <c r="V275" s="2040" t="s">
        <v>2534</v>
      </c>
      <c r="W275" s="2028"/>
      <c r="X275" s="57" t="s">
        <v>617</v>
      </c>
      <c r="AB275" s="2209">
        <v>92117</v>
      </c>
      <c r="AC275" s="2209"/>
      <c r="AD275" s="220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7" t="s">
        <v>2546</v>
      </c>
      <c r="M276" s="2209"/>
      <c r="N276" s="2209"/>
      <c r="O276" s="2209"/>
      <c r="P276" s="2209"/>
      <c r="Q276" s="2209"/>
      <c r="R276" s="2209"/>
      <c r="S276" s="2209"/>
      <c r="T276" s="2209"/>
      <c r="U276" s="2209"/>
      <c r="V276" s="2209"/>
      <c r="W276" s="2209"/>
      <c r="X276" s="2209"/>
      <c r="Y276" s="2209"/>
      <c r="Z276" s="2209"/>
      <c r="AA276" s="2209"/>
      <c r="AB276" s="2209"/>
      <c r="AC276" s="2209"/>
      <c r="AD276" s="220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1" t="s">
        <v>2547</v>
      </c>
      <c r="M277" s="2171"/>
      <c r="N277" s="2171"/>
      <c r="O277" s="2171"/>
      <c r="P277" s="2171"/>
      <c r="Q277" s="2171"/>
      <c r="R277" s="7" t="s">
        <v>212</v>
      </c>
      <c r="S277" s="7"/>
      <c r="T277" s="2028"/>
      <c r="U277" s="2028"/>
      <c r="V277" s="2028"/>
      <c r="W277" s="7" t="s">
        <v>94</v>
      </c>
      <c r="Y277" s="2065"/>
      <c r="Z277" s="2065"/>
      <c r="AA277" s="2065"/>
      <c r="AB277" s="2065"/>
      <c r="AC277" s="2065"/>
      <c r="AD277" s="2065"/>
      <c r="BN277" s="61"/>
    </row>
    <row r="278" spans="1:66" ht="12.75">
      <c r="D278" s="60" t="s">
        <v>95</v>
      </c>
      <c r="E278" s="7"/>
      <c r="F278" s="7"/>
      <c r="L278" s="2212" t="s">
        <v>2548</v>
      </c>
      <c r="M278" s="2212"/>
      <c r="N278" s="2212"/>
      <c r="O278" s="2212"/>
      <c r="P278" s="2212"/>
      <c r="Q278" s="2212"/>
      <c r="R278" s="2212"/>
      <c r="S278" s="2212"/>
      <c r="T278" s="2212"/>
      <c r="U278" s="2212"/>
      <c r="V278" s="2212"/>
      <c r="W278" s="2212"/>
      <c r="X278" s="2212"/>
      <c r="Y278" s="2212"/>
      <c r="Z278" s="2212"/>
      <c r="AA278" s="2212"/>
      <c r="AB278" s="2212"/>
      <c r="AC278" s="2212"/>
      <c r="AD278" s="2212"/>
      <c r="AF278" s="7"/>
      <c r="AG278" s="7"/>
      <c r="AH278" s="7"/>
      <c r="AI278" s="7"/>
      <c r="AJ278" s="7"/>
      <c r="BN278" s="61"/>
    </row>
    <row r="279" spans="1:66" ht="12.75">
      <c r="D279" s="58" t="s">
        <v>657</v>
      </c>
      <c r="E279" s="58"/>
      <c r="F279" s="58"/>
      <c r="G279" s="58"/>
      <c r="H279" s="58"/>
      <c r="I279" s="58"/>
      <c r="L279" s="2040" t="s">
        <v>2549</v>
      </c>
      <c r="M279" s="2040"/>
      <c r="N279" s="2040"/>
      <c r="O279" s="2040"/>
      <c r="P279" s="2040"/>
      <c r="Q279" s="2040"/>
      <c r="R279" s="2040"/>
      <c r="S279" s="2040"/>
      <c r="T279" s="2040"/>
      <c r="U279" s="2040"/>
      <c r="V279" s="2040"/>
      <c r="W279" s="2040"/>
      <c r="X279" s="2040"/>
      <c r="Y279" s="2040"/>
      <c r="Z279" s="2040"/>
      <c r="AA279" s="2040"/>
      <c r="AB279" s="2040"/>
      <c r="AC279" s="2040"/>
      <c r="AD279" s="2040"/>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5" t="s">
        <v>573</v>
      </c>
      <c r="B281" s="2085"/>
      <c r="C281" s="2085"/>
      <c r="D281" s="2085"/>
      <c r="E281" s="2085"/>
      <c r="F281" s="2085"/>
      <c r="G281" s="2085"/>
      <c r="H281" s="2085"/>
      <c r="I281" s="2085"/>
      <c r="J281" s="2085"/>
      <c r="K281" s="2085"/>
      <c r="L281" s="2085"/>
      <c r="M281" s="2085"/>
      <c r="N281" s="2085"/>
      <c r="O281" s="2085"/>
      <c r="P281" s="2085"/>
      <c r="Q281" s="2085"/>
      <c r="R281" s="2085"/>
      <c r="S281" s="2085"/>
      <c r="T281" s="2085"/>
      <c r="U281" s="2085"/>
      <c r="V281" s="2085"/>
      <c r="W281" s="2085"/>
      <c r="X281" s="2085"/>
      <c r="Y281" s="2085"/>
      <c r="Z281" s="2085"/>
      <c r="AA281" s="2085"/>
      <c r="AB281" s="2085"/>
      <c r="AC281" s="2085"/>
      <c r="AD281" s="2085"/>
      <c r="AE281" s="2085"/>
      <c r="AF281" s="2085"/>
      <c r="AG281" s="2085"/>
      <c r="AH281" s="2085"/>
      <c r="AI281" s="2085"/>
      <c r="AJ281" s="2085"/>
      <c r="AK281" s="2085"/>
      <c r="AL281" s="2085"/>
      <c r="AM281" s="144"/>
      <c r="AN281" s="144"/>
      <c r="AO281" s="144"/>
      <c r="AP281" s="144"/>
      <c r="AQ281" s="144"/>
      <c r="AR281" s="144"/>
      <c r="AS281" s="144"/>
      <c r="AT281" s="144"/>
      <c r="AU281" s="144"/>
      <c r="AV281" s="144"/>
      <c r="AW281" s="144"/>
      <c r="AX281" s="144"/>
      <c r="AY281" s="144"/>
      <c r="BN281" s="61"/>
    </row>
    <row r="282" spans="1:66" ht="13.5" thickBot="1">
      <c r="A282" s="2086"/>
      <c r="B282" s="2086"/>
      <c r="C282" s="2086"/>
      <c r="D282" s="2086"/>
      <c r="E282" s="2086"/>
      <c r="F282" s="2086"/>
      <c r="G282" s="2086"/>
      <c r="H282" s="2086"/>
      <c r="I282" s="2086"/>
      <c r="J282" s="2086"/>
      <c r="K282" s="2086"/>
      <c r="L282" s="2086"/>
      <c r="M282" s="2086"/>
      <c r="N282" s="2086"/>
      <c r="O282" s="2086"/>
      <c r="P282" s="2086"/>
      <c r="Q282" s="2086"/>
      <c r="R282" s="2086"/>
      <c r="S282" s="2086"/>
      <c r="T282" s="2086"/>
      <c r="U282" s="2086"/>
      <c r="V282" s="2086"/>
      <c r="W282" s="2086"/>
      <c r="X282" s="2086"/>
      <c r="Y282" s="2086"/>
      <c r="Z282" s="2086"/>
      <c r="AA282" s="2086"/>
      <c r="AB282" s="2086"/>
      <c r="AC282" s="2086"/>
      <c r="AD282" s="2086"/>
      <c r="AE282" s="2086"/>
      <c r="AF282" s="2086"/>
      <c r="AG282" s="2086"/>
      <c r="AH282" s="2086"/>
      <c r="AI282" s="2086"/>
      <c r="AJ282" s="2086"/>
      <c r="AK282" s="2086"/>
      <c r="AL282" s="208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8" t="s">
        <v>2550</v>
      </c>
      <c r="I286" s="2038"/>
      <c r="J286" s="2038"/>
      <c r="K286" s="2038"/>
      <c r="L286" s="2038"/>
      <c r="M286" s="2038"/>
      <c r="N286" s="2038"/>
      <c r="O286" s="2038"/>
      <c r="P286" s="2038"/>
      <c r="Q286" s="2038"/>
      <c r="R286" s="2038"/>
      <c r="T286" s="58" t="s">
        <v>599</v>
      </c>
      <c r="V286" s="58"/>
      <c r="W286" s="58"/>
      <c r="X286" s="58"/>
      <c r="Y286" s="58"/>
      <c r="AA286" s="2038" t="s">
        <v>2617</v>
      </c>
      <c r="AB286" s="2038"/>
      <c r="AC286" s="2038"/>
      <c r="AD286" s="2038"/>
      <c r="AE286" s="2038"/>
      <c r="AF286" s="2038"/>
      <c r="AG286" s="2038"/>
      <c r="AH286" s="2038"/>
      <c r="AI286" s="2038"/>
      <c r="AJ286" s="2038"/>
      <c r="AK286" s="2038"/>
      <c r="BN286" s="61"/>
    </row>
    <row r="287" spans="1:66" ht="12.75">
      <c r="B287" s="58" t="s">
        <v>503</v>
      </c>
      <c r="C287" s="58"/>
      <c r="D287" s="58"/>
      <c r="E287" s="58"/>
      <c r="F287" s="58"/>
      <c r="H287" s="2041" t="s">
        <v>2539</v>
      </c>
      <c r="I287" s="2041"/>
      <c r="J287" s="2041"/>
      <c r="K287" s="2041"/>
      <c r="L287" s="2041"/>
      <c r="M287" s="2041"/>
      <c r="N287" s="2041"/>
      <c r="O287" s="2041"/>
      <c r="P287" s="2041"/>
      <c r="Q287" s="2041"/>
      <c r="R287" s="2041"/>
      <c r="T287" s="58" t="s">
        <v>503</v>
      </c>
      <c r="V287" s="58"/>
      <c r="W287" s="58"/>
      <c r="X287" s="58"/>
      <c r="Y287" s="58"/>
      <c r="AA287" s="2041" t="s">
        <v>2618</v>
      </c>
      <c r="AB287" s="2041"/>
      <c r="AC287" s="2041"/>
      <c r="AD287" s="2041"/>
      <c r="AE287" s="2041"/>
      <c r="AF287" s="2041"/>
      <c r="AG287" s="2041"/>
      <c r="AH287" s="2041"/>
      <c r="AI287" s="2041"/>
      <c r="AJ287" s="2041"/>
      <c r="AK287" s="2041"/>
      <c r="BN287" s="61"/>
    </row>
    <row r="288" spans="1:66" ht="12.75">
      <c r="B288" s="58" t="s">
        <v>504</v>
      </c>
      <c r="C288" s="58"/>
      <c r="D288" s="58"/>
      <c r="E288" s="58"/>
      <c r="F288" s="58"/>
      <c r="H288" s="2041" t="s">
        <v>2551</v>
      </c>
      <c r="I288" s="2041"/>
      <c r="J288" s="2041"/>
      <c r="K288" s="2041"/>
      <c r="L288" s="2041"/>
      <c r="M288" s="2041"/>
      <c r="N288" s="2041"/>
      <c r="O288" s="2041"/>
      <c r="P288" s="2041"/>
      <c r="Q288" s="2041"/>
      <c r="R288" s="2041"/>
      <c r="T288" s="58" t="s">
        <v>79</v>
      </c>
      <c r="V288" s="58"/>
      <c r="W288" s="58"/>
      <c r="X288" s="58"/>
      <c r="Y288" s="58"/>
      <c r="AA288" s="2041" t="s">
        <v>2619</v>
      </c>
      <c r="AB288" s="2041"/>
      <c r="AC288" s="2041"/>
      <c r="AD288" s="2041"/>
      <c r="AE288" s="2041"/>
      <c r="AF288" s="2041"/>
      <c r="AG288" s="2041"/>
      <c r="AH288" s="2041"/>
      <c r="AI288" s="2041"/>
      <c r="AJ288" s="2041"/>
      <c r="AK288" s="2041"/>
      <c r="BN288" s="61"/>
    </row>
    <row r="289" spans="2:66" ht="12.75" customHeight="1">
      <c r="B289" s="58" t="s">
        <v>92</v>
      </c>
      <c r="C289" s="58"/>
      <c r="D289" s="58"/>
      <c r="E289" s="58"/>
      <c r="F289" s="58"/>
      <c r="H289" s="2041" t="s">
        <v>2541</v>
      </c>
      <c r="I289" s="2041"/>
      <c r="J289" s="2041"/>
      <c r="K289" s="2041"/>
      <c r="L289" s="2041"/>
      <c r="M289" s="2041"/>
      <c r="N289" s="2041"/>
      <c r="O289" s="2041"/>
      <c r="P289" s="2041"/>
      <c r="Q289" s="2041"/>
      <c r="R289" s="2041"/>
      <c r="T289" s="58" t="s">
        <v>92</v>
      </c>
      <c r="V289" s="58"/>
      <c r="W289" s="58"/>
      <c r="X289" s="58"/>
      <c r="Y289" s="58"/>
      <c r="AA289" s="2041" t="s">
        <v>2620</v>
      </c>
      <c r="AB289" s="2041"/>
      <c r="AC289" s="2041"/>
      <c r="AD289" s="2041"/>
      <c r="AE289" s="2041"/>
      <c r="AF289" s="2041"/>
      <c r="AG289" s="2041"/>
      <c r="AH289" s="2041"/>
      <c r="AI289" s="2041"/>
      <c r="AJ289" s="2041"/>
      <c r="AK289" s="2041"/>
      <c r="BN289" s="61"/>
    </row>
    <row r="290" spans="2:66" ht="12.75" customHeight="1">
      <c r="B290" s="58" t="s">
        <v>93</v>
      </c>
      <c r="C290" s="58"/>
      <c r="D290" s="58"/>
      <c r="E290" s="58"/>
      <c r="F290" s="58"/>
      <c r="G290" s="58"/>
      <c r="H290" s="2222" t="s">
        <v>2542</v>
      </c>
      <c r="I290" s="2222"/>
      <c r="J290" s="2222"/>
      <c r="K290" s="2222"/>
      <c r="L290" s="2222"/>
      <c r="M290" s="2222"/>
      <c r="N290" s="7" t="s">
        <v>212</v>
      </c>
      <c r="O290" s="7"/>
      <c r="P290" s="2209"/>
      <c r="Q290" s="2209"/>
      <c r="R290" s="2209"/>
      <c r="S290" s="58"/>
      <c r="T290" s="58" t="s">
        <v>93</v>
      </c>
      <c r="V290" s="58"/>
      <c r="W290" s="58"/>
      <c r="X290" s="58"/>
      <c r="Y290" s="58"/>
      <c r="AA290" s="2222" t="s">
        <v>2621</v>
      </c>
      <c r="AB290" s="2222"/>
      <c r="AC290" s="2222"/>
      <c r="AD290" s="2222"/>
      <c r="AE290" s="2222"/>
      <c r="AF290" s="2222"/>
      <c r="AG290" s="7" t="s">
        <v>212</v>
      </c>
      <c r="AH290" s="7"/>
      <c r="AI290" s="2209"/>
      <c r="AJ290" s="2209"/>
      <c r="AK290" s="2209"/>
      <c r="BN290" s="61"/>
    </row>
    <row r="291" spans="2:66" ht="12.75" customHeight="1">
      <c r="B291" s="58" t="s">
        <v>94</v>
      </c>
      <c r="C291" s="58"/>
      <c r="D291" s="58"/>
      <c r="E291" s="58"/>
      <c r="F291" s="58"/>
      <c r="G291" s="58"/>
      <c r="H291" s="2065"/>
      <c r="I291" s="2065"/>
      <c r="J291" s="2065"/>
      <c r="K291" s="2065"/>
      <c r="L291" s="2065"/>
      <c r="M291" s="2065"/>
      <c r="N291" s="60"/>
      <c r="O291" s="60"/>
      <c r="P291" s="62"/>
      <c r="Q291" s="62"/>
      <c r="R291" s="62"/>
      <c r="S291" s="58"/>
      <c r="T291" s="58" t="s">
        <v>94</v>
      </c>
      <c r="V291" s="58"/>
      <c r="W291" s="58"/>
      <c r="X291" s="58"/>
      <c r="Y291" s="58"/>
      <c r="AA291" s="2065"/>
      <c r="AB291" s="2065"/>
      <c r="AC291" s="2065"/>
      <c r="AD291" s="2065"/>
      <c r="AE291" s="2065"/>
      <c r="AF291" s="2065"/>
      <c r="AG291" s="60"/>
      <c r="AH291" s="60"/>
      <c r="AI291" s="62"/>
      <c r="AJ291" s="62"/>
      <c r="AK291" s="62"/>
      <c r="BN291" s="61"/>
    </row>
    <row r="292" spans="2:66" ht="12.75" customHeight="1">
      <c r="B292" s="58" t="s">
        <v>80</v>
      </c>
      <c r="C292" s="58"/>
      <c r="D292" s="58"/>
      <c r="E292" s="58"/>
      <c r="F292" s="58"/>
      <c r="G292" s="58"/>
      <c r="H292" s="2041" t="s">
        <v>2543</v>
      </c>
      <c r="I292" s="2041"/>
      <c r="J292" s="2041"/>
      <c r="K292" s="2041"/>
      <c r="L292" s="2041"/>
      <c r="M292" s="2041"/>
      <c r="N292" s="2038"/>
      <c r="O292" s="2038"/>
      <c r="P292" s="2038"/>
      <c r="Q292" s="2038"/>
      <c r="R292" s="2038"/>
      <c r="S292" s="58"/>
      <c r="T292" s="58" t="s">
        <v>80</v>
      </c>
      <c r="V292" s="58"/>
      <c r="W292" s="58"/>
      <c r="X292" s="58"/>
      <c r="Y292" s="58"/>
      <c r="AA292" s="2041" t="s">
        <v>2622</v>
      </c>
      <c r="AB292" s="2041"/>
      <c r="AC292" s="2041"/>
      <c r="AD292" s="2041"/>
      <c r="AE292" s="2041"/>
      <c r="AF292" s="2041"/>
      <c r="AG292" s="2038"/>
      <c r="AH292" s="2038"/>
      <c r="AI292" s="2038"/>
      <c r="AJ292" s="2038"/>
      <c r="AK292" s="203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7" t="s">
        <v>2552</v>
      </c>
      <c r="I294" s="2038"/>
      <c r="J294" s="2038"/>
      <c r="K294" s="2038"/>
      <c r="L294" s="2038"/>
      <c r="M294" s="2038"/>
      <c r="N294" s="2038"/>
      <c r="O294" s="2038"/>
      <c r="P294" s="2038"/>
      <c r="Q294" s="2038"/>
      <c r="R294" s="2038"/>
      <c r="T294" s="58" t="s">
        <v>374</v>
      </c>
      <c r="V294" s="58"/>
      <c r="W294" s="58"/>
      <c r="X294" s="58"/>
      <c r="Y294" s="58"/>
      <c r="AA294" s="2037" t="s">
        <v>2657</v>
      </c>
      <c r="AB294" s="2038"/>
      <c r="AC294" s="2038"/>
      <c r="AD294" s="2038"/>
      <c r="AE294" s="2038"/>
      <c r="AF294" s="2038"/>
      <c r="AG294" s="2038"/>
      <c r="AH294" s="2038"/>
      <c r="AI294" s="2038"/>
      <c r="AJ294" s="2038"/>
      <c r="AK294" s="2038"/>
      <c r="BN294" s="61"/>
    </row>
    <row r="295" spans="2:66" ht="12.75">
      <c r="B295" s="58" t="s">
        <v>503</v>
      </c>
      <c r="C295" s="58"/>
      <c r="D295" s="58"/>
      <c r="E295" s="58"/>
      <c r="F295" s="58"/>
      <c r="H295" s="2040" t="s">
        <v>2553</v>
      </c>
      <c r="I295" s="2041"/>
      <c r="J295" s="2041"/>
      <c r="K295" s="2041"/>
      <c r="L295" s="2041"/>
      <c r="M295" s="2041"/>
      <c r="N295" s="2041"/>
      <c r="O295" s="2041"/>
      <c r="P295" s="2041"/>
      <c r="Q295" s="2041"/>
      <c r="R295" s="2041"/>
      <c r="T295" s="58" t="s">
        <v>503</v>
      </c>
      <c r="V295" s="58"/>
      <c r="W295" s="58"/>
      <c r="X295" s="58"/>
      <c r="Y295" s="58"/>
      <c r="AA295" s="2040" t="s">
        <v>2658</v>
      </c>
      <c r="AB295" s="2041"/>
      <c r="AC295" s="2041"/>
      <c r="AD295" s="2041"/>
      <c r="AE295" s="2041"/>
      <c r="AF295" s="2041"/>
      <c r="AG295" s="2041"/>
      <c r="AH295" s="2041"/>
      <c r="AI295" s="2041"/>
      <c r="AJ295" s="2041"/>
      <c r="AK295" s="2041"/>
      <c r="BN295" s="61"/>
    </row>
    <row r="296" spans="2:66" ht="12.75">
      <c r="B296" s="58" t="s">
        <v>504</v>
      </c>
      <c r="C296" s="58"/>
      <c r="D296" s="58"/>
      <c r="E296" s="58"/>
      <c r="F296" s="58"/>
      <c r="H296" s="2041" t="s">
        <v>2554</v>
      </c>
      <c r="I296" s="2041"/>
      <c r="J296" s="2041"/>
      <c r="K296" s="2041"/>
      <c r="L296" s="2041"/>
      <c r="M296" s="2041"/>
      <c r="N296" s="2041"/>
      <c r="O296" s="2041"/>
      <c r="P296" s="2041"/>
      <c r="Q296" s="2041"/>
      <c r="R296" s="2041"/>
      <c r="T296" s="58" t="s">
        <v>79</v>
      </c>
      <c r="V296" s="58"/>
      <c r="W296" s="58"/>
      <c r="X296" s="58"/>
      <c r="Y296" s="58"/>
      <c r="AA296" s="2040" t="s">
        <v>2659</v>
      </c>
      <c r="AB296" s="2041"/>
      <c r="AC296" s="2041"/>
      <c r="AD296" s="2041"/>
      <c r="AE296" s="2041"/>
      <c r="AF296" s="2041"/>
      <c r="AG296" s="2041"/>
      <c r="AH296" s="2041"/>
      <c r="AI296" s="2041"/>
      <c r="AJ296" s="2041"/>
      <c r="AK296" s="2041"/>
      <c r="BN296" s="61"/>
    </row>
    <row r="297" spans="2:66" ht="12.75">
      <c r="B297" s="58" t="s">
        <v>92</v>
      </c>
      <c r="C297" s="58"/>
      <c r="D297" s="58"/>
      <c r="E297" s="58"/>
      <c r="F297" s="58"/>
      <c r="H297" s="2041" t="s">
        <v>2555</v>
      </c>
      <c r="I297" s="2041"/>
      <c r="J297" s="2041"/>
      <c r="K297" s="2041"/>
      <c r="L297" s="2041"/>
      <c r="M297" s="2041"/>
      <c r="N297" s="2041"/>
      <c r="O297" s="2041"/>
      <c r="P297" s="2041"/>
      <c r="Q297" s="2041"/>
      <c r="R297" s="2041"/>
      <c r="T297" s="58" t="s">
        <v>92</v>
      </c>
      <c r="V297" s="58"/>
      <c r="W297" s="58"/>
      <c r="X297" s="58"/>
      <c r="Y297" s="58"/>
      <c r="AA297" s="2040" t="s">
        <v>2660</v>
      </c>
      <c r="AB297" s="2041"/>
      <c r="AC297" s="2041"/>
      <c r="AD297" s="2041"/>
      <c r="AE297" s="2041"/>
      <c r="AF297" s="2041"/>
      <c r="AG297" s="2041"/>
      <c r="AH297" s="2041"/>
      <c r="AI297" s="2041"/>
      <c r="AJ297" s="2041"/>
      <c r="AK297" s="2041"/>
      <c r="BN297" s="61"/>
    </row>
    <row r="298" spans="2:66" ht="12.75">
      <c r="B298" s="58" t="s">
        <v>93</v>
      </c>
      <c r="C298" s="58"/>
      <c r="D298" s="58"/>
      <c r="E298" s="58"/>
      <c r="F298" s="58"/>
      <c r="G298" s="58"/>
      <c r="H298" s="2222" t="s">
        <v>2557</v>
      </c>
      <c r="I298" s="2222"/>
      <c r="J298" s="2222"/>
      <c r="K298" s="2222"/>
      <c r="L298" s="2222"/>
      <c r="M298" s="2222"/>
      <c r="N298" s="7" t="s">
        <v>212</v>
      </c>
      <c r="O298" s="7"/>
      <c r="P298" s="2209"/>
      <c r="Q298" s="2209"/>
      <c r="R298" s="2209"/>
      <c r="S298" s="58"/>
      <c r="T298" s="58" t="s">
        <v>93</v>
      </c>
      <c r="V298" s="58"/>
      <c r="W298" s="58"/>
      <c r="X298" s="58"/>
      <c r="Y298" s="58"/>
      <c r="AA298" s="2249">
        <v>6194982900</v>
      </c>
      <c r="AB298" s="2222"/>
      <c r="AC298" s="2222"/>
      <c r="AD298" s="2222"/>
      <c r="AE298" s="2222"/>
      <c r="AF298" s="2222"/>
      <c r="AG298" s="7" t="s">
        <v>212</v>
      </c>
      <c r="AH298" s="7"/>
      <c r="AI298" s="2209"/>
      <c r="AJ298" s="2209"/>
      <c r="AK298" s="2209"/>
      <c r="BN298" s="61"/>
    </row>
    <row r="299" spans="2:66" ht="12.75" customHeight="1">
      <c r="B299" s="58" t="s">
        <v>94</v>
      </c>
      <c r="C299" s="58"/>
      <c r="D299" s="58"/>
      <c r="E299" s="58"/>
      <c r="F299" s="58"/>
      <c r="G299" s="58"/>
      <c r="H299" s="2065"/>
      <c r="I299" s="2065"/>
      <c r="J299" s="2065"/>
      <c r="K299" s="2065"/>
      <c r="L299" s="2065"/>
      <c r="M299" s="2065"/>
      <c r="N299" s="60"/>
      <c r="O299" s="60"/>
      <c r="P299" s="62"/>
      <c r="Q299" s="62"/>
      <c r="R299" s="62"/>
      <c r="S299" s="58"/>
      <c r="T299" s="58" t="s">
        <v>94</v>
      </c>
      <c r="V299" s="58"/>
      <c r="W299" s="58"/>
      <c r="X299" s="58"/>
      <c r="Y299" s="58"/>
      <c r="AA299" s="2065"/>
      <c r="AB299" s="2065"/>
      <c r="AC299" s="2065"/>
      <c r="AD299" s="2065"/>
      <c r="AE299" s="2065"/>
      <c r="AF299" s="2065"/>
      <c r="AG299" s="60"/>
      <c r="AH299" s="60"/>
      <c r="AI299" s="62"/>
      <c r="AJ299" s="62"/>
      <c r="AK299" s="62"/>
      <c r="BN299" s="61"/>
    </row>
    <row r="300" spans="2:66" ht="12.75" customHeight="1">
      <c r="B300" s="58" t="s">
        <v>80</v>
      </c>
      <c r="C300" s="58"/>
      <c r="D300" s="58"/>
      <c r="E300" s="58"/>
      <c r="F300" s="58"/>
      <c r="G300" s="58"/>
      <c r="H300" s="2041" t="s">
        <v>2558</v>
      </c>
      <c r="I300" s="2041"/>
      <c r="J300" s="2041"/>
      <c r="K300" s="2041"/>
      <c r="L300" s="2041"/>
      <c r="M300" s="2041"/>
      <c r="N300" s="2038"/>
      <c r="O300" s="2038"/>
      <c r="P300" s="2038"/>
      <c r="Q300" s="2038"/>
      <c r="R300" s="2038"/>
      <c r="S300" s="58"/>
      <c r="T300" s="58" t="s">
        <v>80</v>
      </c>
      <c r="V300" s="58"/>
      <c r="W300" s="58"/>
      <c r="X300" s="58"/>
      <c r="Y300" s="58"/>
      <c r="AA300" s="2040" t="s">
        <v>2661</v>
      </c>
      <c r="AB300" s="2041"/>
      <c r="AC300" s="2041"/>
      <c r="AD300" s="2041"/>
      <c r="AE300" s="2041"/>
      <c r="AF300" s="2041"/>
      <c r="AG300" s="2038"/>
      <c r="AH300" s="2038"/>
      <c r="AI300" s="2038"/>
      <c r="AJ300" s="2038"/>
      <c r="AK300" s="2038"/>
      <c r="BN300" s="61"/>
    </row>
    <row r="301" spans="2:66" ht="12.75" customHeight="1">
      <c r="BN301" s="61"/>
    </row>
    <row r="302" spans="2:66" ht="12.75" customHeight="1">
      <c r="B302" s="58" t="s">
        <v>81</v>
      </c>
      <c r="C302" s="58"/>
      <c r="D302" s="58"/>
      <c r="E302" s="58"/>
      <c r="F302" s="58"/>
      <c r="H302" s="2037" t="s">
        <v>2566</v>
      </c>
      <c r="I302" s="2038"/>
      <c r="J302" s="2038"/>
      <c r="K302" s="2038"/>
      <c r="L302" s="2038"/>
      <c r="M302" s="2038"/>
      <c r="N302" s="2038"/>
      <c r="O302" s="2038"/>
      <c r="P302" s="2038"/>
      <c r="Q302" s="2038"/>
      <c r="R302" s="2038"/>
      <c r="T302" s="7" t="s">
        <v>942</v>
      </c>
      <c r="V302" s="58"/>
      <c r="W302" s="58"/>
      <c r="X302" s="58"/>
      <c r="Y302" s="58"/>
      <c r="AA302" s="2038" t="s">
        <v>2559</v>
      </c>
      <c r="AB302" s="2038"/>
      <c r="AC302" s="2038"/>
      <c r="AD302" s="2038"/>
      <c r="AE302" s="2038"/>
      <c r="AF302" s="2038"/>
      <c r="AG302" s="2038"/>
      <c r="AH302" s="2038"/>
      <c r="AI302" s="2038"/>
      <c r="AJ302" s="2038"/>
      <c r="AK302" s="2038"/>
      <c r="BN302" s="61"/>
    </row>
    <row r="303" spans="2:66" ht="12.75">
      <c r="B303" s="58" t="s">
        <v>503</v>
      </c>
      <c r="C303" s="58"/>
      <c r="D303" s="58"/>
      <c r="E303" s="58"/>
      <c r="F303" s="58"/>
      <c r="H303" s="2040" t="s">
        <v>2567</v>
      </c>
      <c r="I303" s="2041"/>
      <c r="J303" s="2041"/>
      <c r="K303" s="2041"/>
      <c r="L303" s="2041"/>
      <c r="M303" s="2041"/>
      <c r="N303" s="2041"/>
      <c r="O303" s="2041"/>
      <c r="P303" s="2041"/>
      <c r="Q303" s="2041"/>
      <c r="R303" s="2041"/>
      <c r="T303" s="58" t="s">
        <v>503</v>
      </c>
      <c r="V303" s="58"/>
      <c r="W303" s="58"/>
      <c r="X303" s="58"/>
      <c r="Y303" s="58"/>
      <c r="AA303" s="2041" t="s">
        <v>2560</v>
      </c>
      <c r="AB303" s="2041"/>
      <c r="AC303" s="2041"/>
      <c r="AD303" s="2041"/>
      <c r="AE303" s="2041"/>
      <c r="AF303" s="2041"/>
      <c r="AG303" s="2041"/>
      <c r="AH303" s="2041"/>
      <c r="AI303" s="2041"/>
      <c r="AJ303" s="2041"/>
      <c r="AK303" s="2041"/>
      <c r="BN303" s="61"/>
    </row>
    <row r="304" spans="2:66" ht="12.75">
      <c r="B304" s="58" t="s">
        <v>504</v>
      </c>
      <c r="C304" s="58"/>
      <c r="D304" s="58"/>
      <c r="E304" s="58"/>
      <c r="F304" s="58"/>
      <c r="H304" s="2040" t="s">
        <v>2568</v>
      </c>
      <c r="I304" s="2041"/>
      <c r="J304" s="2041"/>
      <c r="K304" s="2041"/>
      <c r="L304" s="2041"/>
      <c r="M304" s="2041"/>
      <c r="N304" s="2041"/>
      <c r="O304" s="2041"/>
      <c r="P304" s="2041"/>
      <c r="Q304" s="2041"/>
      <c r="R304" s="2041"/>
      <c r="T304" s="58" t="s">
        <v>79</v>
      </c>
      <c r="V304" s="58"/>
      <c r="W304" s="58"/>
      <c r="X304" s="58"/>
      <c r="Y304" s="58"/>
      <c r="AA304" s="2041" t="s">
        <v>2561</v>
      </c>
      <c r="AB304" s="2041"/>
      <c r="AC304" s="2041"/>
      <c r="AD304" s="2041"/>
      <c r="AE304" s="2041"/>
      <c r="AF304" s="2041"/>
      <c r="AG304" s="2041"/>
      <c r="AH304" s="2041"/>
      <c r="AI304" s="2041"/>
      <c r="AJ304" s="2041"/>
      <c r="AK304" s="2041"/>
      <c r="BN304" s="61"/>
    </row>
    <row r="305" spans="2:66" ht="12.75">
      <c r="B305" s="58" t="s">
        <v>92</v>
      </c>
      <c r="C305" s="58"/>
      <c r="D305" s="58"/>
      <c r="E305" s="58"/>
      <c r="F305" s="58"/>
      <c r="H305" s="2040" t="s">
        <v>2569</v>
      </c>
      <c r="I305" s="2041"/>
      <c r="J305" s="2041"/>
      <c r="K305" s="2041"/>
      <c r="L305" s="2041"/>
      <c r="M305" s="2041"/>
      <c r="N305" s="2041"/>
      <c r="O305" s="2041"/>
      <c r="P305" s="2041"/>
      <c r="Q305" s="2041"/>
      <c r="R305" s="2041"/>
      <c r="T305" s="58" t="s">
        <v>92</v>
      </c>
      <c r="V305" s="58"/>
      <c r="W305" s="58"/>
      <c r="X305" s="58"/>
      <c r="Y305" s="58"/>
      <c r="AA305" s="2041" t="s">
        <v>2562</v>
      </c>
      <c r="AB305" s="2041"/>
      <c r="AC305" s="2041"/>
      <c r="AD305" s="2041"/>
      <c r="AE305" s="2041"/>
      <c r="AF305" s="2041"/>
      <c r="AG305" s="2041"/>
      <c r="AH305" s="2041"/>
      <c r="AI305" s="2041"/>
      <c r="AJ305" s="2041"/>
      <c r="AK305" s="2041"/>
      <c r="BN305" s="61"/>
    </row>
    <row r="306" spans="2:66" ht="12.75">
      <c r="B306" s="58" t="s">
        <v>93</v>
      </c>
      <c r="C306" s="58"/>
      <c r="D306" s="58"/>
      <c r="E306" s="58"/>
      <c r="F306" s="58"/>
      <c r="G306" s="58"/>
      <c r="H306" s="2222" t="s">
        <v>2570</v>
      </c>
      <c r="I306" s="2222"/>
      <c r="J306" s="2222"/>
      <c r="K306" s="2222"/>
      <c r="L306" s="2222"/>
      <c r="M306" s="2222"/>
      <c r="N306" s="7" t="s">
        <v>212</v>
      </c>
      <c r="O306" s="7"/>
      <c r="P306" s="2209"/>
      <c r="Q306" s="2209"/>
      <c r="R306" s="2209"/>
      <c r="S306" s="58"/>
      <c r="T306" s="58" t="s">
        <v>93</v>
      </c>
      <c r="V306" s="58"/>
      <c r="W306" s="58"/>
      <c r="X306" s="58"/>
      <c r="Y306" s="58"/>
      <c r="AA306" s="2222" t="s">
        <v>2563</v>
      </c>
      <c r="AB306" s="2222"/>
      <c r="AC306" s="2222"/>
      <c r="AD306" s="2222"/>
      <c r="AE306" s="2222"/>
      <c r="AF306" s="2222"/>
      <c r="AG306" s="7" t="s">
        <v>212</v>
      </c>
      <c r="AH306" s="7"/>
      <c r="AI306" s="2209"/>
      <c r="AJ306" s="2209"/>
      <c r="AK306" s="2209"/>
      <c r="BN306" s="61"/>
    </row>
    <row r="307" spans="2:66" ht="12.75">
      <c r="B307" s="58" t="s">
        <v>94</v>
      </c>
      <c r="C307" s="58"/>
      <c r="D307" s="58"/>
      <c r="E307" s="58"/>
      <c r="F307" s="58"/>
      <c r="G307" s="58"/>
      <c r="H307" s="2065"/>
      <c r="I307" s="2065"/>
      <c r="J307" s="2065"/>
      <c r="K307" s="2065"/>
      <c r="L307" s="2065"/>
      <c r="M307" s="2065"/>
      <c r="N307" s="60"/>
      <c r="O307" s="60"/>
      <c r="P307" s="62"/>
      <c r="Q307" s="62"/>
      <c r="R307" s="62"/>
      <c r="S307" s="58"/>
      <c r="T307" s="58" t="s">
        <v>94</v>
      </c>
      <c r="V307" s="58"/>
      <c r="W307" s="58"/>
      <c r="X307" s="58"/>
      <c r="Y307" s="58"/>
      <c r="AA307" s="2171" t="s">
        <v>2564</v>
      </c>
      <c r="AB307" s="2171"/>
      <c r="AC307" s="2171"/>
      <c r="AD307" s="2171"/>
      <c r="AE307" s="2171"/>
      <c r="AF307" s="2171"/>
      <c r="AG307" s="60"/>
      <c r="AH307" s="60"/>
      <c r="AI307" s="62"/>
      <c r="AJ307" s="62"/>
      <c r="AK307" s="62"/>
      <c r="BN307" s="61"/>
    </row>
    <row r="308" spans="2:66" ht="12.75">
      <c r="B308" s="58" t="s">
        <v>80</v>
      </c>
      <c r="C308" s="58"/>
      <c r="D308" s="58"/>
      <c r="E308" s="58"/>
      <c r="F308" s="58"/>
      <c r="G308" s="58"/>
      <c r="H308" s="2040" t="s">
        <v>2571</v>
      </c>
      <c r="I308" s="2041"/>
      <c r="J308" s="2041"/>
      <c r="K308" s="2041"/>
      <c r="L308" s="2041"/>
      <c r="M308" s="2041"/>
      <c r="N308" s="2038"/>
      <c r="O308" s="2038"/>
      <c r="P308" s="2038"/>
      <c r="Q308" s="2038"/>
      <c r="R308" s="2038"/>
      <c r="S308" s="58"/>
      <c r="T308" s="58" t="s">
        <v>80</v>
      </c>
      <c r="V308" s="58"/>
      <c r="W308" s="58"/>
      <c r="X308" s="58"/>
      <c r="Y308" s="58"/>
      <c r="AA308" s="2041" t="s">
        <v>2565</v>
      </c>
      <c r="AB308" s="2041"/>
      <c r="AC308" s="2041"/>
      <c r="AD308" s="2041"/>
      <c r="AE308" s="2041"/>
      <c r="AF308" s="2041"/>
      <c r="AG308" s="2038"/>
      <c r="AH308" s="2038"/>
      <c r="AI308" s="2038"/>
      <c r="AJ308" s="2038"/>
      <c r="AK308" s="203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37" t="s">
        <v>2566</v>
      </c>
      <c r="I310" s="2038"/>
      <c r="J310" s="2038"/>
      <c r="K310" s="2038"/>
      <c r="L310" s="2038"/>
      <c r="M310" s="2038"/>
      <c r="N310" s="2038"/>
      <c r="O310" s="2038"/>
      <c r="P310" s="2038"/>
      <c r="Q310" s="2038"/>
      <c r="R310" s="2038"/>
      <c r="S310" s="58"/>
      <c r="T310" s="58" t="s">
        <v>375</v>
      </c>
      <c r="V310" s="58"/>
      <c r="W310" s="58"/>
      <c r="X310" s="58"/>
      <c r="Y310" s="58"/>
      <c r="AA310" s="2037" t="s">
        <v>2671</v>
      </c>
      <c r="AB310" s="2038"/>
      <c r="AC310" s="2038"/>
      <c r="AD310" s="2038"/>
      <c r="AE310" s="2038"/>
      <c r="AF310" s="2038"/>
      <c r="AG310" s="2038"/>
      <c r="AH310" s="2038"/>
      <c r="AI310" s="2038"/>
      <c r="AJ310" s="2038"/>
      <c r="AK310" s="2038"/>
      <c r="BN310" s="61"/>
    </row>
    <row r="311" spans="2:66" ht="12.75">
      <c r="B311" s="58" t="s">
        <v>503</v>
      </c>
      <c r="C311" s="58"/>
      <c r="D311" s="58"/>
      <c r="E311" s="58"/>
      <c r="F311" s="58"/>
      <c r="H311" s="2040" t="s">
        <v>2567</v>
      </c>
      <c r="I311" s="2041"/>
      <c r="J311" s="2041"/>
      <c r="K311" s="2041"/>
      <c r="L311" s="2041"/>
      <c r="M311" s="2041"/>
      <c r="N311" s="2041"/>
      <c r="O311" s="2041"/>
      <c r="P311" s="2041"/>
      <c r="Q311" s="2041"/>
      <c r="R311" s="2041"/>
      <c r="S311" s="58"/>
      <c r="T311" s="58" t="s">
        <v>503</v>
      </c>
      <c r="V311" s="58"/>
      <c r="W311" s="58"/>
      <c r="X311" s="58"/>
      <c r="Y311" s="58"/>
      <c r="AA311" s="2040" t="s">
        <v>2664</v>
      </c>
      <c r="AB311" s="2041"/>
      <c r="AC311" s="2041"/>
      <c r="AD311" s="2041"/>
      <c r="AE311" s="2041"/>
      <c r="AF311" s="2041"/>
      <c r="AG311" s="2041"/>
      <c r="AH311" s="2041"/>
      <c r="AI311" s="2041"/>
      <c r="AJ311" s="2041"/>
      <c r="AK311" s="2041"/>
      <c r="BN311" s="61"/>
    </row>
    <row r="312" spans="2:66" ht="12.75" customHeight="1">
      <c r="B312" s="58" t="s">
        <v>504</v>
      </c>
      <c r="C312" s="58"/>
      <c r="D312" s="58"/>
      <c r="E312" s="58"/>
      <c r="F312" s="58"/>
      <c r="H312" s="2040" t="s">
        <v>2568</v>
      </c>
      <c r="I312" s="2041"/>
      <c r="J312" s="2041"/>
      <c r="K312" s="2041"/>
      <c r="L312" s="2041"/>
      <c r="M312" s="2041"/>
      <c r="N312" s="2041"/>
      <c r="O312" s="2041"/>
      <c r="P312" s="2041"/>
      <c r="Q312" s="2041"/>
      <c r="R312" s="2041"/>
      <c r="S312" s="58"/>
      <c r="T312" s="58" t="s">
        <v>79</v>
      </c>
      <c r="V312" s="58"/>
      <c r="W312" s="58"/>
      <c r="X312" s="58"/>
      <c r="Y312" s="58"/>
      <c r="AA312" s="2040" t="s">
        <v>2665</v>
      </c>
      <c r="AB312" s="2041"/>
      <c r="AC312" s="2041"/>
      <c r="AD312" s="2041"/>
      <c r="AE312" s="2041"/>
      <c r="AF312" s="2041"/>
      <c r="AG312" s="2041"/>
      <c r="AH312" s="2041"/>
      <c r="AI312" s="2041"/>
      <c r="AJ312" s="2041"/>
      <c r="AK312" s="2041"/>
      <c r="BN312" s="61"/>
    </row>
    <row r="313" spans="2:66" ht="12.75">
      <c r="B313" s="58" t="s">
        <v>92</v>
      </c>
      <c r="C313" s="58"/>
      <c r="D313" s="58"/>
      <c r="E313" s="58"/>
      <c r="F313" s="58"/>
      <c r="H313" s="2040" t="s">
        <v>2569</v>
      </c>
      <c r="I313" s="2041"/>
      <c r="J313" s="2041"/>
      <c r="K313" s="2041"/>
      <c r="L313" s="2041"/>
      <c r="M313" s="2041"/>
      <c r="N313" s="2041"/>
      <c r="O313" s="2041"/>
      <c r="P313" s="2041"/>
      <c r="Q313" s="2041"/>
      <c r="R313" s="2041"/>
      <c r="S313" s="58"/>
      <c r="T313" s="58" t="s">
        <v>92</v>
      </c>
      <c r="V313" s="58"/>
      <c r="W313" s="58"/>
      <c r="X313" s="58"/>
      <c r="Y313" s="58"/>
      <c r="AA313" s="2040" t="s">
        <v>2666</v>
      </c>
      <c r="AB313" s="2041"/>
      <c r="AC313" s="2041"/>
      <c r="AD313" s="2041"/>
      <c r="AE313" s="2041"/>
      <c r="AF313" s="2041"/>
      <c r="AG313" s="2041"/>
      <c r="AH313" s="2041"/>
      <c r="AI313" s="2041"/>
      <c r="AJ313" s="2041"/>
      <c r="AK313" s="2041"/>
      <c r="BN313" s="61"/>
    </row>
    <row r="314" spans="2:66" ht="12.75">
      <c r="B314" s="58" t="s">
        <v>93</v>
      </c>
      <c r="C314" s="58"/>
      <c r="D314" s="58"/>
      <c r="E314" s="58"/>
      <c r="F314" s="58"/>
      <c r="G314" s="58"/>
      <c r="H314" s="2222" t="s">
        <v>2570</v>
      </c>
      <c r="I314" s="2222"/>
      <c r="J314" s="2222"/>
      <c r="K314" s="2222"/>
      <c r="L314" s="2222"/>
      <c r="M314" s="2222"/>
      <c r="N314" s="7" t="s">
        <v>212</v>
      </c>
      <c r="O314" s="7"/>
      <c r="P314" s="2209"/>
      <c r="Q314" s="2209"/>
      <c r="R314" s="2209"/>
      <c r="S314" s="58"/>
      <c r="T314" s="58" t="s">
        <v>93</v>
      </c>
      <c r="V314" s="58"/>
      <c r="W314" s="58"/>
      <c r="X314" s="58"/>
      <c r="Y314" s="58"/>
      <c r="AA314" s="2171" t="s">
        <v>2667</v>
      </c>
      <c r="AB314" s="2171"/>
      <c r="AC314" s="2171"/>
      <c r="AD314" s="2171"/>
      <c r="AE314" s="2171"/>
      <c r="AF314" s="2171"/>
      <c r="AG314" s="7" t="s">
        <v>212</v>
      </c>
      <c r="AH314" s="7"/>
      <c r="AI314" s="2209"/>
      <c r="AJ314" s="2209"/>
      <c r="AK314" s="2209"/>
      <c r="BN314" s="61"/>
    </row>
    <row r="315" spans="2:66" ht="12.75">
      <c r="B315" s="58" t="s">
        <v>94</v>
      </c>
      <c r="C315" s="58"/>
      <c r="D315" s="58"/>
      <c r="E315" s="58"/>
      <c r="F315" s="58"/>
      <c r="G315" s="58"/>
      <c r="H315" s="2065"/>
      <c r="I315" s="2065"/>
      <c r="J315" s="2065"/>
      <c r="K315" s="2065"/>
      <c r="L315" s="2065"/>
      <c r="M315" s="2065"/>
      <c r="N315" s="60"/>
      <c r="O315" s="60"/>
      <c r="P315" s="62"/>
      <c r="Q315" s="62"/>
      <c r="R315" s="62"/>
      <c r="S315" s="58"/>
      <c r="T315" s="58" t="s">
        <v>94</v>
      </c>
      <c r="V315" s="58"/>
      <c r="W315" s="58"/>
      <c r="X315" s="58"/>
      <c r="Y315" s="58"/>
      <c r="AA315" s="2065"/>
      <c r="AB315" s="2065"/>
      <c r="AC315" s="2065"/>
      <c r="AD315" s="2065"/>
      <c r="AE315" s="2065"/>
      <c r="AF315" s="2065"/>
      <c r="AG315" s="60"/>
      <c r="AH315" s="60"/>
      <c r="AI315" s="62"/>
      <c r="AJ315" s="62"/>
      <c r="AK315" s="62"/>
      <c r="BN315" s="61"/>
    </row>
    <row r="316" spans="2:66" ht="12.75">
      <c r="B316" s="58" t="s">
        <v>80</v>
      </c>
      <c r="C316" s="58"/>
      <c r="D316" s="58"/>
      <c r="E316" s="58"/>
      <c r="F316" s="58"/>
      <c r="G316" s="58"/>
      <c r="H316" s="2040" t="s">
        <v>2571</v>
      </c>
      <c r="I316" s="2041"/>
      <c r="J316" s="2041"/>
      <c r="K316" s="2041"/>
      <c r="L316" s="2041"/>
      <c r="M316" s="2041"/>
      <c r="N316" s="2038"/>
      <c r="O316" s="2038"/>
      <c r="P316" s="2038"/>
      <c r="Q316" s="2038"/>
      <c r="R316" s="2038"/>
      <c r="S316" s="58"/>
      <c r="T316" s="58" t="s">
        <v>80</v>
      </c>
      <c r="V316" s="58"/>
      <c r="W316" s="58"/>
      <c r="X316" s="58"/>
      <c r="Y316" s="58"/>
      <c r="AA316" s="2040" t="s">
        <v>2672</v>
      </c>
      <c r="AB316" s="2041"/>
      <c r="AC316" s="2041"/>
      <c r="AD316" s="2041"/>
      <c r="AE316" s="2041"/>
      <c r="AF316" s="2041"/>
      <c r="AG316" s="2038"/>
      <c r="AH316" s="2038"/>
      <c r="AI316" s="2038"/>
      <c r="AJ316" s="2038"/>
      <c r="AK316" s="2038"/>
      <c r="BN316" s="61"/>
    </row>
    <row r="317" spans="2:66" ht="12.75">
      <c r="BN317" s="61"/>
    </row>
    <row r="318" spans="2:66" ht="12.75">
      <c r="B318" s="7" t="s">
        <v>976</v>
      </c>
      <c r="C318" s="58"/>
      <c r="D318" s="58"/>
      <c r="E318" s="58"/>
      <c r="F318" s="58"/>
      <c r="H318" s="2038"/>
      <c r="I318" s="2038"/>
      <c r="J318" s="2038"/>
      <c r="K318" s="2038"/>
      <c r="L318" s="2038"/>
      <c r="M318" s="2038"/>
      <c r="N318" s="2038"/>
      <c r="O318" s="2038"/>
      <c r="P318" s="2038"/>
      <c r="Q318" s="2038"/>
      <c r="R318" s="2038"/>
      <c r="T318" s="58" t="s">
        <v>376</v>
      </c>
      <c r="V318" s="58"/>
      <c r="W318" s="58"/>
      <c r="X318" s="58"/>
      <c r="Y318" s="58"/>
      <c r="AA318" s="2037" t="s">
        <v>2566</v>
      </c>
      <c r="AB318" s="2038"/>
      <c r="AC318" s="2038"/>
      <c r="AD318" s="2038"/>
      <c r="AE318" s="2038"/>
      <c r="AF318" s="2038"/>
      <c r="AG318" s="2038"/>
      <c r="AH318" s="2038"/>
      <c r="AI318" s="2038"/>
      <c r="AJ318" s="2038"/>
      <c r="AK318" s="2038"/>
      <c r="BN318" s="61"/>
    </row>
    <row r="319" spans="2:66" ht="12.75">
      <c r="B319" s="58" t="s">
        <v>503</v>
      </c>
      <c r="C319" s="58"/>
      <c r="D319" s="58"/>
      <c r="E319" s="58"/>
      <c r="F319" s="58"/>
      <c r="H319" s="2041"/>
      <c r="I319" s="2041"/>
      <c r="J319" s="2041"/>
      <c r="K319" s="2041"/>
      <c r="L319" s="2041"/>
      <c r="M319" s="2041"/>
      <c r="N319" s="2041"/>
      <c r="O319" s="2041"/>
      <c r="P319" s="2041"/>
      <c r="Q319" s="2041"/>
      <c r="R319" s="2041"/>
      <c r="T319" s="58" t="s">
        <v>503</v>
      </c>
      <c r="V319" s="58"/>
      <c r="W319" s="58"/>
      <c r="X319" s="58"/>
      <c r="Y319" s="58"/>
      <c r="AA319" s="2040" t="s">
        <v>2567</v>
      </c>
      <c r="AB319" s="2041"/>
      <c r="AC319" s="2041"/>
      <c r="AD319" s="2041"/>
      <c r="AE319" s="2041"/>
      <c r="AF319" s="2041"/>
      <c r="AG319" s="2041"/>
      <c r="AH319" s="2041"/>
      <c r="AI319" s="2041"/>
      <c r="AJ319" s="2041"/>
      <c r="AK319" s="2041"/>
      <c r="BN319" s="61"/>
    </row>
    <row r="320" spans="2:66" ht="12.75">
      <c r="B320" s="58" t="s">
        <v>504</v>
      </c>
      <c r="C320" s="58"/>
      <c r="D320" s="58"/>
      <c r="E320" s="58"/>
      <c r="F320" s="58"/>
      <c r="H320" s="2041"/>
      <c r="I320" s="2041"/>
      <c r="J320" s="2041"/>
      <c r="K320" s="2041"/>
      <c r="L320" s="2041"/>
      <c r="M320" s="2041"/>
      <c r="N320" s="2041"/>
      <c r="O320" s="2041"/>
      <c r="P320" s="2041"/>
      <c r="Q320" s="2041"/>
      <c r="R320" s="2041"/>
      <c r="T320" s="58" t="s">
        <v>79</v>
      </c>
      <c r="V320" s="58"/>
      <c r="W320" s="58"/>
      <c r="X320" s="58"/>
      <c r="Y320" s="58"/>
      <c r="AA320" s="2040" t="s">
        <v>2568</v>
      </c>
      <c r="AB320" s="2041"/>
      <c r="AC320" s="2041"/>
      <c r="AD320" s="2041"/>
      <c r="AE320" s="2041"/>
      <c r="AF320" s="2041"/>
      <c r="AG320" s="2041"/>
      <c r="AH320" s="2041"/>
      <c r="AI320" s="2041"/>
      <c r="AJ320" s="2041"/>
      <c r="AK320" s="2041"/>
      <c r="BN320" s="61"/>
    </row>
    <row r="321" spans="1:66" ht="12.75" customHeight="1">
      <c r="A321" s="39"/>
      <c r="B321" s="58" t="s">
        <v>92</v>
      </c>
      <c r="C321" s="58"/>
      <c r="D321" s="58"/>
      <c r="E321" s="58"/>
      <c r="F321" s="58"/>
      <c r="H321" s="2041"/>
      <c r="I321" s="2041"/>
      <c r="J321" s="2041"/>
      <c r="K321" s="2041"/>
      <c r="L321" s="2041"/>
      <c r="M321" s="2041"/>
      <c r="N321" s="2041"/>
      <c r="O321" s="2041"/>
      <c r="P321" s="2041"/>
      <c r="Q321" s="2041"/>
      <c r="R321" s="2041"/>
      <c r="T321" s="58" t="s">
        <v>92</v>
      </c>
      <c r="V321" s="58"/>
      <c r="W321" s="58"/>
      <c r="X321" s="58"/>
      <c r="Y321" s="58"/>
      <c r="AA321" s="2040" t="s">
        <v>2572</v>
      </c>
      <c r="AB321" s="2041"/>
      <c r="AC321" s="2041"/>
      <c r="AD321" s="2041"/>
      <c r="AE321" s="2041"/>
      <c r="AF321" s="2041"/>
      <c r="AG321" s="2041"/>
      <c r="AH321" s="2041"/>
      <c r="AI321" s="2041"/>
      <c r="AJ321" s="2041"/>
      <c r="AK321" s="2041"/>
      <c r="AL321" s="39"/>
      <c r="BN321" s="61"/>
    </row>
    <row r="322" spans="1:66" ht="12.75">
      <c r="A322" s="39"/>
      <c r="B322" s="58" t="s">
        <v>93</v>
      </c>
      <c r="C322" s="58"/>
      <c r="D322" s="58"/>
      <c r="E322" s="58"/>
      <c r="F322" s="58"/>
      <c r="G322" s="58"/>
      <c r="H322" s="2198"/>
      <c r="I322" s="2198"/>
      <c r="J322" s="2198"/>
      <c r="K322" s="2198"/>
      <c r="L322" s="2198"/>
      <c r="M322" s="2198"/>
      <c r="N322" s="7" t="s">
        <v>212</v>
      </c>
      <c r="O322" s="7"/>
      <c r="P322" s="2209"/>
      <c r="Q322" s="2209"/>
      <c r="R322" s="2209"/>
      <c r="S322" s="58"/>
      <c r="T322" s="58" t="s">
        <v>93</v>
      </c>
      <c r="V322" s="58"/>
      <c r="W322" s="58"/>
      <c r="X322" s="58"/>
      <c r="Y322" s="58"/>
      <c r="AA322" s="2222" t="s">
        <v>2573</v>
      </c>
      <c r="AB322" s="2222"/>
      <c r="AC322" s="2222"/>
      <c r="AD322" s="2222"/>
      <c r="AE322" s="2222"/>
      <c r="AF322" s="2222"/>
      <c r="AG322" s="7" t="s">
        <v>212</v>
      </c>
      <c r="AH322" s="7"/>
      <c r="AI322" s="2209"/>
      <c r="AJ322" s="2209"/>
      <c r="AK322" s="2209"/>
      <c r="AL322" s="39"/>
      <c r="BN322" s="61"/>
    </row>
    <row r="323" spans="1:66" ht="12.75" customHeight="1">
      <c r="A323" s="39"/>
      <c r="B323" s="58" t="s">
        <v>94</v>
      </c>
      <c r="C323" s="58"/>
      <c r="D323" s="58"/>
      <c r="E323" s="58"/>
      <c r="F323" s="58"/>
      <c r="G323" s="58"/>
      <c r="H323" s="2065"/>
      <c r="I323" s="2065"/>
      <c r="J323" s="2065"/>
      <c r="K323" s="2065"/>
      <c r="L323" s="2065"/>
      <c r="M323" s="2065"/>
      <c r="N323" s="60"/>
      <c r="O323" s="60"/>
      <c r="P323" s="62"/>
      <c r="Q323" s="62"/>
      <c r="R323" s="62"/>
      <c r="S323" s="58"/>
      <c r="T323" s="58" t="s">
        <v>94</v>
      </c>
      <c r="V323" s="58"/>
      <c r="W323" s="58"/>
      <c r="X323" s="58"/>
      <c r="Y323" s="58"/>
      <c r="AA323" s="2065"/>
      <c r="AB323" s="2065"/>
      <c r="AC323" s="2065"/>
      <c r="AD323" s="2065"/>
      <c r="AE323" s="2065"/>
      <c r="AF323" s="2065"/>
      <c r="AG323" s="60"/>
      <c r="AH323" s="60"/>
      <c r="AI323" s="62"/>
      <c r="AJ323" s="62"/>
      <c r="AK323" s="62"/>
      <c r="AL323" s="39"/>
    </row>
    <row r="324" spans="1:66" ht="12.75">
      <c r="A324" s="39"/>
      <c r="B324" s="58" t="s">
        <v>80</v>
      </c>
      <c r="C324" s="58"/>
      <c r="D324" s="58"/>
      <c r="E324" s="58"/>
      <c r="F324" s="58"/>
      <c r="G324" s="58"/>
      <c r="H324" s="2041"/>
      <c r="I324" s="2041"/>
      <c r="J324" s="2041"/>
      <c r="K324" s="2041"/>
      <c r="L324" s="2041"/>
      <c r="M324" s="2041"/>
      <c r="N324" s="2038"/>
      <c r="O324" s="2038"/>
      <c r="P324" s="2038"/>
      <c r="Q324" s="2038"/>
      <c r="R324" s="2038"/>
      <c r="S324" s="58"/>
      <c r="T324" s="58" t="s">
        <v>80</v>
      </c>
      <c r="V324" s="58"/>
      <c r="W324" s="58"/>
      <c r="X324" s="58"/>
      <c r="Y324" s="58"/>
      <c r="AA324" s="2040" t="s">
        <v>2574</v>
      </c>
      <c r="AB324" s="2041"/>
      <c r="AC324" s="2041"/>
      <c r="AD324" s="2041"/>
      <c r="AE324" s="2041"/>
      <c r="AF324" s="2041"/>
      <c r="AG324" s="2038"/>
      <c r="AH324" s="2038"/>
      <c r="AI324" s="2038"/>
      <c r="AJ324" s="2038"/>
      <c r="AK324" s="203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7" t="s">
        <v>2566</v>
      </c>
      <c r="I326" s="2038"/>
      <c r="J326" s="2038"/>
      <c r="K326" s="2038"/>
      <c r="L326" s="2038"/>
      <c r="M326" s="2038"/>
      <c r="N326" s="2038"/>
      <c r="O326" s="2038"/>
      <c r="P326" s="2038"/>
      <c r="Q326" s="2038"/>
      <c r="R326" s="2038"/>
      <c r="T326" s="58" t="s">
        <v>378</v>
      </c>
      <c r="V326" s="58"/>
      <c r="W326" s="58"/>
      <c r="X326" s="58"/>
      <c r="Y326" s="58"/>
      <c r="AA326" s="2038"/>
      <c r="AB326" s="2038"/>
      <c r="AC326" s="2038"/>
      <c r="AD326" s="2038"/>
      <c r="AE326" s="2038"/>
      <c r="AF326" s="2038"/>
      <c r="AG326" s="2038"/>
      <c r="AH326" s="2038"/>
      <c r="AI326" s="2038"/>
      <c r="AJ326" s="2038"/>
      <c r="AK326" s="2038"/>
      <c r="AL326" s="39"/>
    </row>
    <row r="327" spans="1:66" ht="12.75">
      <c r="A327" s="39"/>
      <c r="B327" s="58" t="s">
        <v>503</v>
      </c>
      <c r="C327" s="58"/>
      <c r="D327" s="58"/>
      <c r="E327" s="58"/>
      <c r="F327" s="58"/>
      <c r="H327" s="2040" t="s">
        <v>2567</v>
      </c>
      <c r="I327" s="2041"/>
      <c r="J327" s="2041"/>
      <c r="K327" s="2041"/>
      <c r="L327" s="2041"/>
      <c r="M327" s="2041"/>
      <c r="N327" s="2041"/>
      <c r="O327" s="2041"/>
      <c r="P327" s="2041"/>
      <c r="Q327" s="2041"/>
      <c r="R327" s="2041"/>
      <c r="T327" s="58" t="s">
        <v>503</v>
      </c>
      <c r="V327" s="58"/>
      <c r="W327" s="58"/>
      <c r="X327" s="58"/>
      <c r="Y327" s="58"/>
      <c r="AA327" s="2041"/>
      <c r="AB327" s="2041"/>
      <c r="AC327" s="2041"/>
      <c r="AD327" s="2041"/>
      <c r="AE327" s="2041"/>
      <c r="AF327" s="2041"/>
      <c r="AG327" s="2041"/>
      <c r="AH327" s="2041"/>
      <c r="AI327" s="2041"/>
      <c r="AJ327" s="2041"/>
      <c r="AK327" s="2041"/>
      <c r="AL327" s="39"/>
    </row>
    <row r="328" spans="1:66" ht="12.75">
      <c r="A328" s="39"/>
      <c r="B328" s="58" t="s">
        <v>504</v>
      </c>
      <c r="C328" s="58"/>
      <c r="D328" s="58"/>
      <c r="E328" s="58"/>
      <c r="F328" s="58"/>
      <c r="H328" s="2040" t="s">
        <v>2568</v>
      </c>
      <c r="I328" s="2041"/>
      <c r="J328" s="2041"/>
      <c r="K328" s="2041"/>
      <c r="L328" s="2041"/>
      <c r="M328" s="2041"/>
      <c r="N328" s="2041"/>
      <c r="O328" s="2041"/>
      <c r="P328" s="2041"/>
      <c r="Q328" s="2041"/>
      <c r="R328" s="2041"/>
      <c r="T328" s="58" t="s">
        <v>79</v>
      </c>
      <c r="V328" s="58"/>
      <c r="W328" s="58"/>
      <c r="X328" s="58"/>
      <c r="Y328" s="58"/>
      <c r="AA328" s="2041"/>
      <c r="AB328" s="2041"/>
      <c r="AC328" s="2041"/>
      <c r="AD328" s="2041"/>
      <c r="AE328" s="2041"/>
      <c r="AF328" s="2041"/>
      <c r="AG328" s="2041"/>
      <c r="AH328" s="2041"/>
      <c r="AI328" s="2041"/>
      <c r="AJ328" s="2041"/>
      <c r="AK328" s="2041"/>
      <c r="AL328" s="39"/>
    </row>
    <row r="329" spans="1:66" ht="12.75">
      <c r="A329" s="39"/>
      <c r="B329" s="58" t="s">
        <v>92</v>
      </c>
      <c r="C329" s="58"/>
      <c r="D329" s="58"/>
      <c r="E329" s="58"/>
      <c r="F329" s="58"/>
      <c r="H329" s="2040" t="s">
        <v>2572</v>
      </c>
      <c r="I329" s="2041"/>
      <c r="J329" s="2041"/>
      <c r="K329" s="2041"/>
      <c r="L329" s="2041"/>
      <c r="M329" s="2041"/>
      <c r="N329" s="2041"/>
      <c r="O329" s="2041"/>
      <c r="P329" s="2041"/>
      <c r="Q329" s="2041"/>
      <c r="R329" s="2041"/>
      <c r="T329" s="58" t="s">
        <v>92</v>
      </c>
      <c r="V329" s="58"/>
      <c r="W329" s="58"/>
      <c r="X329" s="58"/>
      <c r="Y329" s="58"/>
      <c r="AA329" s="2041"/>
      <c r="AB329" s="2041"/>
      <c r="AC329" s="2041"/>
      <c r="AD329" s="2041"/>
      <c r="AE329" s="2041"/>
      <c r="AF329" s="2041"/>
      <c r="AG329" s="2041"/>
      <c r="AH329" s="2041"/>
      <c r="AI329" s="2041"/>
      <c r="AJ329" s="2041"/>
      <c r="AK329" s="2041"/>
      <c r="AL329" s="39"/>
    </row>
    <row r="330" spans="1:66" ht="12.75" customHeight="1">
      <c r="A330" s="39"/>
      <c r="B330" s="58" t="s">
        <v>93</v>
      </c>
      <c r="C330" s="58"/>
      <c r="D330" s="58"/>
      <c r="E330" s="58"/>
      <c r="F330" s="58"/>
      <c r="G330" s="58"/>
      <c r="H330" s="2222" t="s">
        <v>2573</v>
      </c>
      <c r="I330" s="2222"/>
      <c r="J330" s="2222"/>
      <c r="K330" s="2222"/>
      <c r="L330" s="2222"/>
      <c r="M330" s="2222"/>
      <c r="N330" s="7" t="s">
        <v>212</v>
      </c>
      <c r="O330" s="7"/>
      <c r="P330" s="2209"/>
      <c r="Q330" s="2209"/>
      <c r="R330" s="2209"/>
      <c r="S330" s="58"/>
      <c r="T330" s="58" t="s">
        <v>93</v>
      </c>
      <c r="V330" s="58"/>
      <c r="W330" s="58"/>
      <c r="X330" s="58"/>
      <c r="Y330" s="58"/>
      <c r="AA330" s="2198"/>
      <c r="AB330" s="2198"/>
      <c r="AC330" s="2198"/>
      <c r="AD330" s="2198"/>
      <c r="AE330" s="2198"/>
      <c r="AF330" s="2198"/>
      <c r="AG330" s="7" t="s">
        <v>212</v>
      </c>
      <c r="AH330" s="7"/>
      <c r="AI330" s="2209"/>
      <c r="AJ330" s="2209"/>
      <c r="AK330" s="2209"/>
      <c r="AL330" s="39"/>
    </row>
    <row r="331" spans="1:66" ht="12.75">
      <c r="A331" s="39"/>
      <c r="B331" s="58" t="s">
        <v>94</v>
      </c>
      <c r="C331" s="58"/>
      <c r="D331" s="58"/>
      <c r="E331" s="58"/>
      <c r="F331" s="58"/>
      <c r="G331" s="58"/>
      <c r="H331" s="2065"/>
      <c r="I331" s="2065"/>
      <c r="J331" s="2065"/>
      <c r="K331" s="2065"/>
      <c r="L331" s="2065"/>
      <c r="M331" s="2065"/>
      <c r="N331" s="60"/>
      <c r="O331" s="60"/>
      <c r="P331" s="62"/>
      <c r="Q331" s="62"/>
      <c r="R331" s="62"/>
      <c r="S331" s="58"/>
      <c r="T331" s="58" t="s">
        <v>94</v>
      </c>
      <c r="V331" s="58"/>
      <c r="W331" s="58"/>
      <c r="X331" s="58"/>
      <c r="Y331" s="58"/>
      <c r="AA331" s="2065"/>
      <c r="AB331" s="2065"/>
      <c r="AC331" s="2065"/>
      <c r="AD331" s="2065"/>
      <c r="AE331" s="2065"/>
      <c r="AF331" s="2065"/>
      <c r="AG331" s="60"/>
      <c r="AH331" s="60"/>
      <c r="AI331" s="62"/>
      <c r="AJ331" s="62"/>
      <c r="AK331" s="62"/>
      <c r="AL331" s="39"/>
    </row>
    <row r="332" spans="1:66" ht="12.75">
      <c r="A332" s="39"/>
      <c r="B332" s="58" t="s">
        <v>80</v>
      </c>
      <c r="C332" s="58"/>
      <c r="D332" s="58"/>
      <c r="E332" s="58"/>
      <c r="F332" s="58"/>
      <c r="G332" s="58"/>
      <c r="H332" s="2040" t="s">
        <v>2574</v>
      </c>
      <c r="I332" s="2041"/>
      <c r="J332" s="2041"/>
      <c r="K332" s="2041"/>
      <c r="L332" s="2041"/>
      <c r="M332" s="2041"/>
      <c r="N332" s="2038"/>
      <c r="O332" s="2038"/>
      <c r="P332" s="2038"/>
      <c r="Q332" s="2038"/>
      <c r="R332" s="2038"/>
      <c r="S332" s="58"/>
      <c r="T332" s="58" t="s">
        <v>80</v>
      </c>
      <c r="V332" s="58"/>
      <c r="W332" s="58"/>
      <c r="X332" s="58"/>
      <c r="Y332" s="58"/>
      <c r="AA332" s="2041"/>
      <c r="AB332" s="2041"/>
      <c r="AC332" s="2041"/>
      <c r="AD332" s="2041"/>
      <c r="AE332" s="2041"/>
      <c r="AF332" s="2041"/>
      <c r="AG332" s="2038"/>
      <c r="AH332" s="2038"/>
      <c r="AI332" s="2038"/>
      <c r="AJ332" s="2038"/>
      <c r="AK332" s="203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7" t="s">
        <v>2623</v>
      </c>
      <c r="I334" s="2038"/>
      <c r="J334" s="2038"/>
      <c r="K334" s="2038"/>
      <c r="L334" s="2038"/>
      <c r="M334" s="2038"/>
      <c r="N334" s="2038"/>
      <c r="O334" s="2038"/>
      <c r="P334" s="2038"/>
      <c r="Q334" s="2038"/>
      <c r="R334" s="2038"/>
      <c r="T334" s="405" t="s">
        <v>951</v>
      </c>
      <c r="V334" s="58"/>
      <c r="W334" s="58"/>
      <c r="X334" s="58"/>
      <c r="Y334" s="58"/>
      <c r="AA334" s="2038" t="s">
        <v>2575</v>
      </c>
      <c r="AB334" s="2038"/>
      <c r="AC334" s="2038"/>
      <c r="AD334" s="2038"/>
      <c r="AE334" s="2038"/>
      <c r="AF334" s="2038"/>
      <c r="AG334" s="2038"/>
      <c r="AH334" s="2038"/>
      <c r="AI334" s="2038"/>
      <c r="AJ334" s="2038"/>
      <c r="AK334" s="2038"/>
      <c r="AL334" s="39"/>
    </row>
    <row r="335" spans="1:66" ht="12.75" customHeight="1">
      <c r="B335" s="58" t="s">
        <v>503</v>
      </c>
      <c r="C335" s="240"/>
      <c r="D335" s="240"/>
      <c r="E335" s="240"/>
      <c r="F335" s="240"/>
      <c r="G335" s="3"/>
      <c r="H335" s="2040" t="s">
        <v>2636</v>
      </c>
      <c r="I335" s="2041"/>
      <c r="J335" s="2041"/>
      <c r="K335" s="2041"/>
      <c r="L335" s="2041"/>
      <c r="M335" s="2041"/>
      <c r="N335" s="2041"/>
      <c r="O335" s="2041"/>
      <c r="P335" s="2041"/>
      <c r="Q335" s="2041"/>
      <c r="R335" s="2041"/>
      <c r="T335" s="58" t="s">
        <v>503</v>
      </c>
      <c r="V335" s="58"/>
      <c r="W335" s="58"/>
      <c r="X335" s="58"/>
      <c r="Y335" s="58"/>
      <c r="AA335" s="2041" t="s">
        <v>2576</v>
      </c>
      <c r="AB335" s="2041"/>
      <c r="AC335" s="2041"/>
      <c r="AD335" s="2041"/>
      <c r="AE335" s="2041"/>
      <c r="AF335" s="2041"/>
      <c r="AG335" s="2041"/>
      <c r="AH335" s="2041"/>
      <c r="AI335" s="2041"/>
      <c r="AJ335" s="2041"/>
      <c r="AK335" s="2041"/>
      <c r="AL335" s="39"/>
    </row>
    <row r="336" spans="1:66" ht="12.75" customHeight="1">
      <c r="B336" s="58" t="s">
        <v>79</v>
      </c>
      <c r="C336" s="240"/>
      <c r="D336" s="240"/>
      <c r="E336" s="240"/>
      <c r="F336" s="240"/>
      <c r="G336" s="3"/>
      <c r="H336" s="2040" t="s">
        <v>2640</v>
      </c>
      <c r="I336" s="2041"/>
      <c r="J336" s="2041"/>
      <c r="K336" s="2041"/>
      <c r="L336" s="2041"/>
      <c r="M336" s="2041"/>
      <c r="N336" s="2041"/>
      <c r="O336" s="2041"/>
      <c r="P336" s="2041"/>
      <c r="Q336" s="2041"/>
      <c r="R336" s="2041"/>
      <c r="T336" s="58" t="s">
        <v>79</v>
      </c>
      <c r="V336" s="58"/>
      <c r="W336" s="58"/>
      <c r="X336" s="58"/>
      <c r="Y336" s="58"/>
      <c r="AA336" s="2041" t="s">
        <v>2577</v>
      </c>
      <c r="AB336" s="2041"/>
      <c r="AC336" s="2041"/>
      <c r="AD336" s="2041"/>
      <c r="AE336" s="2041"/>
      <c r="AF336" s="2041"/>
      <c r="AG336" s="2041"/>
      <c r="AH336" s="2041"/>
      <c r="AI336" s="2041"/>
      <c r="AJ336" s="2041"/>
      <c r="AK336" s="2041"/>
      <c r="AL336" s="39"/>
    </row>
    <row r="337" spans="1:66" ht="12.75" customHeight="1">
      <c r="A337" s="39"/>
      <c r="B337" s="58" t="s">
        <v>92</v>
      </c>
      <c r="C337" s="240"/>
      <c r="D337" s="240"/>
      <c r="E337" s="240"/>
      <c r="F337" s="240"/>
      <c r="G337" s="240"/>
      <c r="H337" s="2040" t="s">
        <v>2624</v>
      </c>
      <c r="I337" s="2041"/>
      <c r="J337" s="2041"/>
      <c r="K337" s="2041"/>
      <c r="L337" s="2041"/>
      <c r="M337" s="2041"/>
      <c r="N337" s="2041"/>
      <c r="O337" s="2041"/>
      <c r="P337" s="2041"/>
      <c r="Q337" s="2041"/>
      <c r="R337" s="2041"/>
      <c r="T337" s="58" t="s">
        <v>92</v>
      </c>
      <c r="V337" s="58"/>
      <c r="W337" s="58"/>
      <c r="X337" s="58"/>
      <c r="Y337" s="58"/>
      <c r="AA337" s="2041" t="s">
        <v>2578</v>
      </c>
      <c r="AB337" s="2041"/>
      <c r="AC337" s="2041"/>
      <c r="AD337" s="2041"/>
      <c r="AE337" s="2041"/>
      <c r="AF337" s="2041"/>
      <c r="AG337" s="2041"/>
      <c r="AH337" s="2041"/>
      <c r="AI337" s="2041"/>
      <c r="AJ337" s="2041"/>
      <c r="AK337" s="2041"/>
      <c r="AL337" s="39"/>
    </row>
    <row r="338" spans="1:66" ht="12.75" customHeight="1">
      <c r="A338" s="39"/>
      <c r="B338" s="58" t="s">
        <v>93</v>
      </c>
      <c r="C338" s="240"/>
      <c r="D338" s="240"/>
      <c r="E338" s="240"/>
      <c r="F338" s="240"/>
      <c r="G338" s="240"/>
      <c r="H338" s="2171" t="s">
        <v>2638</v>
      </c>
      <c r="I338" s="2171"/>
      <c r="J338" s="2171"/>
      <c r="K338" s="2171"/>
      <c r="L338" s="2171"/>
      <c r="M338" s="2171"/>
      <c r="N338" s="7" t="s">
        <v>212</v>
      </c>
      <c r="O338" s="7"/>
      <c r="P338" s="2209"/>
      <c r="Q338" s="2209"/>
      <c r="R338" s="2209"/>
      <c r="S338" s="58"/>
      <c r="T338" s="58" t="s">
        <v>93</v>
      </c>
      <c r="V338" s="58"/>
      <c r="W338" s="58"/>
      <c r="X338" s="58"/>
      <c r="Y338" s="58"/>
      <c r="AA338" s="2222" t="s">
        <v>2579</v>
      </c>
      <c r="AB338" s="2222"/>
      <c r="AC338" s="2222"/>
      <c r="AD338" s="2222"/>
      <c r="AE338" s="2222"/>
      <c r="AF338" s="2222"/>
      <c r="AG338" s="7" t="s">
        <v>212</v>
      </c>
      <c r="AH338" s="7"/>
      <c r="AI338" s="2209"/>
      <c r="AJ338" s="2209"/>
      <c r="AK338" s="2209"/>
      <c r="AL338" s="39"/>
    </row>
    <row r="339" spans="1:66" ht="12.75">
      <c r="A339" s="39"/>
      <c r="B339" s="58" t="s">
        <v>94</v>
      </c>
      <c r="C339" s="240"/>
      <c r="D339" s="240"/>
      <c r="E339" s="240"/>
      <c r="F339" s="240"/>
      <c r="G339" s="240"/>
      <c r="H339" s="2065"/>
      <c r="I339" s="2065"/>
      <c r="J339" s="2065"/>
      <c r="K339" s="2065"/>
      <c r="L339" s="2065"/>
      <c r="M339" s="2065"/>
      <c r="N339" s="60"/>
      <c r="O339" s="60"/>
      <c r="P339" s="62"/>
      <c r="Q339" s="62"/>
      <c r="R339" s="62"/>
      <c r="S339" s="58"/>
      <c r="T339" s="58" t="s">
        <v>94</v>
      </c>
      <c r="V339" s="58"/>
      <c r="W339" s="58"/>
      <c r="X339" s="58"/>
      <c r="Y339" s="58"/>
      <c r="AA339" s="2171" t="s">
        <v>2580</v>
      </c>
      <c r="AB339" s="2171"/>
      <c r="AC339" s="2171"/>
      <c r="AD339" s="2171"/>
      <c r="AE339" s="2171"/>
      <c r="AF339" s="2171"/>
      <c r="AG339" s="60"/>
      <c r="AH339" s="60"/>
      <c r="AI339" s="62"/>
      <c r="AJ339" s="62"/>
      <c r="AK339" s="62"/>
      <c r="AL339" s="39"/>
    </row>
    <row r="340" spans="1:66" ht="12.75">
      <c r="A340" s="39"/>
      <c r="B340" s="58" t="s">
        <v>80</v>
      </c>
      <c r="C340" s="237"/>
      <c r="D340" s="237"/>
      <c r="E340" s="237"/>
      <c r="F340" s="237"/>
      <c r="G340" s="237"/>
      <c r="H340" s="2040" t="s">
        <v>2641</v>
      </c>
      <c r="I340" s="2041"/>
      <c r="J340" s="2041"/>
      <c r="K340" s="2041"/>
      <c r="L340" s="2041"/>
      <c r="M340" s="2041"/>
      <c r="N340" s="2038"/>
      <c r="O340" s="2038"/>
      <c r="P340" s="2038"/>
      <c r="Q340" s="2038"/>
      <c r="R340" s="2038"/>
      <c r="S340" s="58"/>
      <c r="T340" s="58" t="s">
        <v>80</v>
      </c>
      <c r="V340" s="58"/>
      <c r="W340" s="58"/>
      <c r="X340" s="58"/>
      <c r="Y340" s="58"/>
      <c r="AA340" s="2041" t="s">
        <v>2581</v>
      </c>
      <c r="AB340" s="2041"/>
      <c r="AC340" s="2041"/>
      <c r="AD340" s="2041"/>
      <c r="AE340" s="2041"/>
      <c r="AF340" s="2041"/>
      <c r="AG340" s="2038"/>
      <c r="AH340" s="2038"/>
      <c r="AI340" s="2038"/>
      <c r="AJ340" s="2038"/>
      <c r="AK340" s="203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38"/>
      <c r="Q342" s="2038"/>
      <c r="R342" s="2038"/>
      <c r="S342" s="2038"/>
      <c r="T342" s="2038"/>
      <c r="U342" s="2038"/>
      <c r="V342" s="2038"/>
      <c r="W342" s="2038"/>
      <c r="X342" s="2038"/>
      <c r="Y342" s="2038"/>
      <c r="Z342" s="2038"/>
      <c r="AA342" s="2038"/>
      <c r="AB342" s="2038"/>
      <c r="AC342" s="2038"/>
      <c r="AD342" s="2038"/>
      <c r="AE342" s="2038"/>
      <c r="AF342" s="88"/>
      <c r="AG342" s="88"/>
      <c r="AH342" s="88"/>
      <c r="AI342" s="88"/>
      <c r="AJ342" s="88"/>
      <c r="AK342" s="88"/>
      <c r="AL342" s="39"/>
      <c r="BN342" s="12" t="s">
        <v>625</v>
      </c>
    </row>
    <row r="343" spans="1:66" ht="12.75">
      <c r="A343" s="3"/>
      <c r="B343" s="60"/>
      <c r="C343" s="60"/>
      <c r="D343" s="60"/>
      <c r="E343" s="60"/>
      <c r="F343" s="60"/>
      <c r="G343" s="3"/>
      <c r="H343" s="88"/>
      <c r="I343" s="7" t="s">
        <v>503</v>
      </c>
      <c r="P343" s="2041"/>
      <c r="Q343" s="2041"/>
      <c r="R343" s="2041"/>
      <c r="S343" s="2041"/>
      <c r="T343" s="2041"/>
      <c r="U343" s="2041"/>
      <c r="V343" s="2041"/>
      <c r="W343" s="2041"/>
      <c r="X343" s="2041"/>
      <c r="Y343" s="2041"/>
      <c r="Z343" s="2041"/>
      <c r="AA343" s="2041"/>
      <c r="AB343" s="2041"/>
      <c r="AC343" s="2041"/>
      <c r="AD343" s="2041"/>
      <c r="AE343" s="2041"/>
      <c r="AF343" s="88"/>
      <c r="AG343" s="88"/>
      <c r="AH343" s="88"/>
      <c r="AI343" s="88"/>
      <c r="AJ343" s="88"/>
      <c r="AK343" s="88"/>
      <c r="AL343" s="39"/>
      <c r="BN343" s="12" t="s">
        <v>705</v>
      </c>
    </row>
    <row r="344" spans="1:66" ht="12.75">
      <c r="A344" s="3"/>
      <c r="B344" s="60"/>
      <c r="C344" s="60"/>
      <c r="D344" s="60"/>
      <c r="E344" s="60"/>
      <c r="F344" s="60"/>
      <c r="G344" s="3"/>
      <c r="H344" s="88"/>
      <c r="I344" s="7" t="s">
        <v>79</v>
      </c>
      <c r="P344" s="2041"/>
      <c r="Q344" s="2041"/>
      <c r="R344" s="2041"/>
      <c r="S344" s="2041"/>
      <c r="T344" s="2041"/>
      <c r="U344" s="2041"/>
      <c r="V344" s="2041"/>
      <c r="W344" s="2041"/>
      <c r="X344" s="2041"/>
      <c r="Y344" s="2041"/>
      <c r="Z344" s="2041"/>
      <c r="AA344" s="2041"/>
      <c r="AB344" s="2041"/>
      <c r="AC344" s="2041"/>
      <c r="AD344" s="2041"/>
      <c r="AE344" s="2041"/>
      <c r="AF344" s="88"/>
      <c r="AG344" s="88"/>
      <c r="AH344" s="88"/>
      <c r="AI344" s="88"/>
      <c r="AJ344" s="88"/>
      <c r="AK344" s="88"/>
      <c r="AL344" s="39"/>
      <c r="BN344" s="12" t="s">
        <v>577</v>
      </c>
    </row>
    <row r="345" spans="1:66" ht="12.75">
      <c r="A345" s="3"/>
      <c r="B345" s="60"/>
      <c r="C345" s="60"/>
      <c r="D345" s="60"/>
      <c r="E345" s="60"/>
      <c r="F345" s="60"/>
      <c r="G345" s="60"/>
      <c r="H345" s="88"/>
      <c r="I345" s="7" t="s">
        <v>92</v>
      </c>
      <c r="P345" s="2041"/>
      <c r="Q345" s="2041"/>
      <c r="R345" s="2041"/>
      <c r="S345" s="2041"/>
      <c r="T345" s="2041"/>
      <c r="U345" s="2041"/>
      <c r="V345" s="2041"/>
      <c r="W345" s="2041"/>
      <c r="X345" s="2041"/>
      <c r="Y345" s="2041"/>
      <c r="Z345" s="2041"/>
      <c r="AA345" s="2041"/>
      <c r="AB345" s="2041"/>
      <c r="AC345" s="2041"/>
      <c r="AD345" s="2041"/>
      <c r="AE345" s="2041"/>
      <c r="AF345" s="88"/>
      <c r="AG345" s="88"/>
      <c r="AH345" s="88"/>
      <c r="AI345" s="88"/>
      <c r="AJ345" s="88"/>
      <c r="AK345" s="88"/>
      <c r="AL345" s="39"/>
    </row>
    <row r="346" spans="1:66" ht="12.75">
      <c r="A346" s="3"/>
      <c r="B346" s="60"/>
      <c r="C346" s="60"/>
      <c r="D346" s="60"/>
      <c r="E346" s="60"/>
      <c r="F346" s="60"/>
      <c r="G346" s="60"/>
      <c r="H346" s="465"/>
      <c r="I346" s="7" t="s">
        <v>93</v>
      </c>
      <c r="P346" s="2065"/>
      <c r="Q346" s="2065"/>
      <c r="R346" s="2065"/>
      <c r="S346" s="2065"/>
      <c r="T346" s="2065"/>
      <c r="U346" s="2065"/>
      <c r="V346" s="2065"/>
      <c r="W346" s="2065"/>
      <c r="X346" s="2065"/>
      <c r="Y346" s="2065"/>
      <c r="Z346" s="2065"/>
      <c r="AA346" s="7" t="s">
        <v>212</v>
      </c>
      <c r="AB346" s="7"/>
      <c r="AC346" s="2028"/>
      <c r="AD346" s="2028"/>
      <c r="AE346" s="2028"/>
      <c r="AF346" s="465"/>
      <c r="AG346" s="60"/>
      <c r="AH346" s="60"/>
      <c r="AI346" s="406"/>
      <c r="AJ346" s="406"/>
      <c r="AK346" s="406"/>
      <c r="AL346" s="39"/>
    </row>
    <row r="347" spans="1:66" ht="12.75" customHeight="1">
      <c r="A347" s="3"/>
      <c r="B347" s="60"/>
      <c r="C347" s="60"/>
      <c r="D347" s="60"/>
      <c r="E347" s="60"/>
      <c r="F347" s="60"/>
      <c r="G347" s="60"/>
      <c r="H347" s="465"/>
      <c r="I347" s="7" t="s">
        <v>94</v>
      </c>
      <c r="P347" s="2065"/>
      <c r="Q347" s="2065"/>
      <c r="R347" s="2065"/>
      <c r="S347" s="2065"/>
      <c r="T347" s="2065"/>
      <c r="U347" s="2065"/>
      <c r="V347" s="2065"/>
      <c r="W347" s="2065"/>
      <c r="X347" s="2065"/>
      <c r="Y347" s="2065"/>
      <c r="Z347" s="2065"/>
      <c r="AF347" s="465"/>
      <c r="AG347" s="60"/>
      <c r="AH347" s="60"/>
      <c r="AI347" s="62"/>
      <c r="AJ347" s="62"/>
      <c r="AK347" s="62"/>
      <c r="AL347" s="39"/>
    </row>
    <row r="348" spans="1:66" ht="12.75">
      <c r="A348" s="3"/>
      <c r="B348" s="60"/>
      <c r="C348" s="406"/>
      <c r="D348" s="406"/>
      <c r="E348" s="406"/>
      <c r="F348" s="406"/>
      <c r="G348" s="406"/>
      <c r="H348" s="88"/>
      <c r="I348" s="7" t="s">
        <v>80</v>
      </c>
      <c r="P348" s="2038"/>
      <c r="Q348" s="2038"/>
      <c r="R348" s="2038"/>
      <c r="S348" s="2038"/>
      <c r="T348" s="2038"/>
      <c r="U348" s="2038"/>
      <c r="V348" s="2038"/>
      <c r="W348" s="2038"/>
      <c r="X348" s="2038"/>
      <c r="Y348" s="2038"/>
      <c r="Z348" s="2038"/>
      <c r="AA348" s="2038"/>
      <c r="AB348" s="2038"/>
      <c r="AC348" s="2038"/>
      <c r="AD348" s="2038"/>
      <c r="AE348" s="203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5" t="s">
        <v>574</v>
      </c>
      <c r="B350" s="2085"/>
      <c r="C350" s="2085"/>
      <c r="D350" s="2085"/>
      <c r="E350" s="2085"/>
      <c r="F350" s="2085"/>
      <c r="G350" s="2085"/>
      <c r="H350" s="2085"/>
      <c r="I350" s="2085"/>
      <c r="J350" s="2085"/>
      <c r="K350" s="2085"/>
      <c r="L350" s="2085"/>
      <c r="M350" s="2085"/>
      <c r="N350" s="2085"/>
      <c r="O350" s="2085"/>
      <c r="P350" s="2085"/>
      <c r="Q350" s="2085"/>
      <c r="R350" s="2085"/>
      <c r="S350" s="2085"/>
      <c r="T350" s="2085"/>
      <c r="U350" s="2085"/>
      <c r="V350" s="2085"/>
      <c r="W350" s="2085"/>
      <c r="X350" s="2085"/>
      <c r="Y350" s="2085"/>
      <c r="Z350" s="2085"/>
      <c r="AA350" s="2085"/>
      <c r="AB350" s="2085"/>
      <c r="AC350" s="2085"/>
      <c r="AD350" s="2085"/>
      <c r="AE350" s="2085"/>
      <c r="AF350" s="2085"/>
      <c r="AG350" s="2085"/>
      <c r="AH350" s="2085"/>
      <c r="AI350" s="2085"/>
      <c r="AJ350" s="2085"/>
      <c r="AK350" s="2085"/>
      <c r="AL350" s="2085"/>
      <c r="AM350" s="144"/>
      <c r="AN350" s="144"/>
      <c r="AO350" s="144"/>
      <c r="AP350" s="144"/>
      <c r="AQ350" s="144"/>
      <c r="AR350" s="144"/>
      <c r="AS350" s="144"/>
      <c r="AT350" s="144"/>
      <c r="AU350" s="144"/>
      <c r="AV350" s="144"/>
      <c r="AW350" s="144"/>
      <c r="AX350" s="144"/>
      <c r="AY350" s="144"/>
    </row>
    <row r="351" spans="1:66" ht="13.5" thickBot="1">
      <c r="A351" s="2086"/>
      <c r="B351" s="2086"/>
      <c r="C351" s="2086"/>
      <c r="D351" s="2086"/>
      <c r="E351" s="2086"/>
      <c r="F351" s="2086"/>
      <c r="G351" s="2086"/>
      <c r="H351" s="2086"/>
      <c r="I351" s="2086"/>
      <c r="J351" s="2086"/>
      <c r="K351" s="2086"/>
      <c r="L351" s="2086"/>
      <c r="M351" s="2086"/>
      <c r="N351" s="2086"/>
      <c r="O351" s="2086"/>
      <c r="P351" s="2086"/>
      <c r="Q351" s="2086"/>
      <c r="R351" s="2086"/>
      <c r="S351" s="2086"/>
      <c r="T351" s="2086"/>
      <c r="U351" s="2086"/>
      <c r="V351" s="2086"/>
      <c r="W351" s="2086"/>
      <c r="X351" s="2086"/>
      <c r="Y351" s="2086"/>
      <c r="Z351" s="2086"/>
      <c r="AA351" s="2086"/>
      <c r="AB351" s="2086"/>
      <c r="AC351" s="2086"/>
      <c r="AD351" s="2086"/>
      <c r="AE351" s="2086"/>
      <c r="AF351" s="2086"/>
      <c r="AG351" s="2086"/>
      <c r="AH351" s="2086"/>
      <c r="AI351" s="2086"/>
      <c r="AJ351" s="2086"/>
      <c r="AK351" s="2086"/>
      <c r="AL351" s="208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6" t="s">
        <v>577</v>
      </c>
      <c r="N354" s="2036"/>
      <c r="P354" s="12" t="s">
        <v>2003</v>
      </c>
      <c r="AJ354" s="2036" t="s">
        <v>577</v>
      </c>
      <c r="AK354" s="2036"/>
    </row>
    <row r="355" spans="1:37" ht="12.75" customHeight="1">
      <c r="D355" s="58" t="s">
        <v>1992</v>
      </c>
      <c r="M355" s="2036" t="s">
        <v>625</v>
      </c>
      <c r="N355" s="2036"/>
      <c r="P355" s="58" t="s">
        <v>2214</v>
      </c>
      <c r="AJ355" s="2137">
        <v>2</v>
      </c>
      <c r="AK355" s="2137"/>
    </row>
    <row r="356" spans="1:37" ht="12.75" customHeight="1">
      <c r="D356" s="12" t="s">
        <v>744</v>
      </c>
      <c r="M356" s="2036" t="s">
        <v>625</v>
      </c>
      <c r="N356" s="2036"/>
      <c r="P356" s="719" t="s">
        <v>2002</v>
      </c>
      <c r="AJ356" s="2036" t="s">
        <v>577</v>
      </c>
      <c r="AK356" s="2036"/>
    </row>
    <row r="357" spans="1:37" ht="12.75" customHeight="1">
      <c r="D357" s="12" t="s">
        <v>745</v>
      </c>
      <c r="M357" s="2036" t="s">
        <v>625</v>
      </c>
      <c r="N357" s="203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6" t="s">
        <v>625</v>
      </c>
      <c r="O362" s="2036"/>
      <c r="P362" s="69"/>
      <c r="Q362" s="69"/>
      <c r="R362" s="69"/>
      <c r="S362" s="69"/>
      <c r="T362" s="69"/>
      <c r="U362" s="69"/>
      <c r="V362" s="69"/>
      <c r="W362" s="69"/>
      <c r="X362" s="69"/>
      <c r="Y362" s="70"/>
      <c r="Z362" s="70"/>
      <c r="AC362" s="69"/>
      <c r="AD362" s="69"/>
      <c r="AE362" s="69"/>
    </row>
    <row r="363" spans="1:37" ht="12.75" customHeight="1">
      <c r="E363" s="12" t="s">
        <v>381</v>
      </c>
      <c r="Y363" s="2036" t="s">
        <v>625</v>
      </c>
      <c r="Z363" s="2036"/>
    </row>
    <row r="364" spans="1:37" ht="12.75" customHeight="1">
      <c r="D364" s="7" t="s">
        <v>1058</v>
      </c>
      <c r="Q364" s="2038" t="s">
        <v>625</v>
      </c>
      <c r="R364" s="2038"/>
      <c r="S364" s="2038"/>
      <c r="T364" s="2038"/>
      <c r="U364" s="2038"/>
      <c r="V364" s="2038"/>
      <c r="W364" s="2038"/>
      <c r="X364" s="2038"/>
      <c r="Y364" s="2038"/>
      <c r="Z364" s="2038"/>
      <c r="AA364" s="2038"/>
      <c r="AB364" s="2038"/>
      <c r="AC364" s="2038"/>
      <c r="AD364" s="2038"/>
      <c r="AE364" s="2038"/>
      <c r="AF364" s="2038"/>
      <c r="AG364" s="203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6" t="s">
        <v>625</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84" t="s">
        <v>746</v>
      </c>
      <c r="F367" s="2384"/>
      <c r="G367" s="2384"/>
      <c r="H367" s="2384"/>
      <c r="I367" s="2384"/>
      <c r="J367" s="2384"/>
      <c r="K367" s="2384"/>
      <c r="L367" s="2384"/>
      <c r="M367" s="2384"/>
      <c r="N367" s="2384"/>
      <c r="O367" s="2384"/>
      <c r="P367" s="2384"/>
      <c r="Q367" s="2384"/>
      <c r="R367" s="2384"/>
      <c r="S367" s="2384"/>
      <c r="T367" s="2384"/>
      <c r="U367" s="2384"/>
      <c r="V367" s="2384"/>
      <c r="W367" s="2384"/>
      <c r="X367" s="2384"/>
      <c r="Y367" s="2384"/>
      <c r="Z367" s="2384"/>
      <c r="AA367" s="2384"/>
      <c r="AB367" s="2384"/>
      <c r="AC367" s="2384"/>
      <c r="AD367" s="2384"/>
      <c r="AE367" s="2384"/>
      <c r="AF367" s="2384"/>
      <c r="AG367" s="2384"/>
      <c r="AH367" s="2384"/>
    </row>
    <row r="368" spans="1:37" ht="12.75" customHeight="1">
      <c r="E368" s="2384"/>
      <c r="F368" s="2384"/>
      <c r="G368" s="2384"/>
      <c r="H368" s="2384"/>
      <c r="I368" s="2384"/>
      <c r="J368" s="2384"/>
      <c r="K368" s="2384"/>
      <c r="L368" s="2384"/>
      <c r="M368" s="2384"/>
      <c r="N368" s="2384"/>
      <c r="O368" s="2384"/>
      <c r="P368" s="2384"/>
      <c r="Q368" s="2384"/>
      <c r="R368" s="2384"/>
      <c r="S368" s="2384"/>
      <c r="T368" s="2384"/>
      <c r="U368" s="2384"/>
      <c r="V368" s="2384"/>
      <c r="W368" s="2384"/>
      <c r="X368" s="2384"/>
      <c r="Y368" s="2384"/>
      <c r="Z368" s="2384"/>
      <c r="AA368" s="2384"/>
      <c r="AB368" s="2384"/>
      <c r="AC368" s="2384"/>
      <c r="AD368" s="2384"/>
      <c r="AE368" s="2384"/>
      <c r="AF368" s="2384"/>
      <c r="AG368" s="2384"/>
      <c r="AH368" s="2384"/>
    </row>
    <row r="369" spans="1:36" ht="12.75" customHeight="1">
      <c r="E369" s="7" t="s">
        <v>478</v>
      </c>
      <c r="F369" s="7"/>
      <c r="G369" s="7"/>
      <c r="H369" s="7"/>
      <c r="I369" s="7"/>
      <c r="J369" s="7"/>
      <c r="K369" s="7"/>
      <c r="L369" s="7"/>
      <c r="N369" s="2064"/>
      <c r="O369" s="2064"/>
      <c r="P369" s="2064"/>
      <c r="Q369" s="2064"/>
      <c r="R369" s="7"/>
      <c r="U369" s="7" t="s">
        <v>479</v>
      </c>
      <c r="V369" s="7"/>
      <c r="W369" s="7"/>
      <c r="X369" s="7"/>
      <c r="Y369" s="7"/>
      <c r="Z369" s="7"/>
      <c r="AA369" s="7"/>
      <c r="AB369" s="7"/>
      <c r="AC369" s="2064"/>
      <c r="AD369" s="2064"/>
      <c r="AE369" s="2064"/>
      <c r="AF369" s="2064"/>
    </row>
    <row r="370" spans="1:36" ht="12.75" customHeight="1">
      <c r="E370" s="7" t="s">
        <v>480</v>
      </c>
      <c r="F370" s="7"/>
      <c r="G370" s="7"/>
      <c r="H370" s="7"/>
      <c r="I370" s="7"/>
      <c r="J370" s="7"/>
      <c r="K370" s="7"/>
      <c r="L370" s="7"/>
      <c r="N370" s="2064"/>
      <c r="O370" s="2064"/>
      <c r="P370" s="2064"/>
      <c r="Q370" s="2064"/>
      <c r="R370" s="7"/>
      <c r="U370" s="7" t="s">
        <v>0</v>
      </c>
      <c r="V370" s="7"/>
      <c r="W370" s="7"/>
      <c r="X370" s="7"/>
      <c r="Y370" s="7"/>
      <c r="Z370" s="7"/>
      <c r="AA370" s="7"/>
      <c r="AB370" s="7"/>
      <c r="AC370" s="2064"/>
      <c r="AD370" s="2064"/>
      <c r="AE370" s="2064"/>
      <c r="AF370" s="2064"/>
    </row>
    <row r="371" spans="1:36" ht="12.75" customHeight="1">
      <c r="E371" s="7" t="s">
        <v>1</v>
      </c>
      <c r="F371" s="7"/>
      <c r="G371" s="7"/>
      <c r="H371" s="7"/>
      <c r="I371" s="7"/>
      <c r="J371" s="7"/>
      <c r="K371" s="7"/>
      <c r="L371" s="7"/>
      <c r="N371" s="2064"/>
      <c r="O371" s="2064"/>
      <c r="P371" s="2064"/>
      <c r="Q371" s="2064"/>
      <c r="R371" s="7"/>
      <c r="V371" s="7"/>
      <c r="W371" s="7"/>
      <c r="X371" s="7"/>
      <c r="Y371" s="7"/>
      <c r="Z371" s="7"/>
      <c r="AA371" s="7"/>
      <c r="AB371" s="7"/>
    </row>
    <row r="372" spans="1:36" ht="12.75" customHeight="1">
      <c r="E372" s="7" t="s">
        <v>2</v>
      </c>
      <c r="F372" s="7"/>
      <c r="G372" s="7"/>
      <c r="H372" s="7"/>
      <c r="I372" s="7"/>
      <c r="J372" s="7"/>
      <c r="K372" s="7"/>
      <c r="L372" s="7"/>
      <c r="N372" s="2066"/>
      <c r="O372" s="2066"/>
      <c r="P372" s="2066"/>
      <c r="Q372" s="2066"/>
      <c r="R372" s="2066"/>
      <c r="S372" s="2066"/>
      <c r="T372" s="2066"/>
      <c r="U372" s="2066"/>
      <c r="V372" s="2066"/>
      <c r="W372" s="2066"/>
      <c r="X372" s="2066"/>
      <c r="Y372" s="2066"/>
      <c r="Z372" s="2066"/>
      <c r="AA372" s="2066"/>
      <c r="AB372" s="2066"/>
      <c r="AC372" s="2066"/>
      <c r="AD372" s="2066"/>
      <c r="AE372" s="2066"/>
      <c r="AF372" s="2066"/>
    </row>
    <row r="373" spans="1:36" ht="12.75" customHeight="1">
      <c r="E373" s="7"/>
      <c r="F373" s="7"/>
      <c r="G373" s="7"/>
      <c r="H373" s="7"/>
      <c r="I373" s="7"/>
      <c r="J373" s="7"/>
      <c r="K373" s="7"/>
      <c r="L373" s="7"/>
      <c r="N373" s="2067"/>
      <c r="O373" s="2067"/>
      <c r="P373" s="2067"/>
      <c r="Q373" s="2067"/>
      <c r="R373" s="2067"/>
      <c r="S373" s="2067"/>
      <c r="T373" s="2067"/>
      <c r="U373" s="2067"/>
      <c r="V373" s="2067"/>
      <c r="W373" s="2067"/>
      <c r="X373" s="2067"/>
      <c r="Y373" s="2067"/>
      <c r="Z373" s="2067"/>
      <c r="AA373" s="2067"/>
      <c r="AB373" s="2067"/>
      <c r="AC373" s="2067"/>
      <c r="AD373" s="2067"/>
      <c r="AE373" s="2067"/>
      <c r="AF373" s="2067"/>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7"/>
      <c r="T376" s="2087"/>
      <c r="U376" s="4" t="s">
        <v>315</v>
      </c>
      <c r="V376" s="2087"/>
      <c r="W376" s="2087"/>
      <c r="Y376" s="25" t="s">
        <v>313</v>
      </c>
      <c r="AA376" s="25"/>
      <c r="AB376" s="25" t="s">
        <v>314</v>
      </c>
      <c r="AD376" s="2087"/>
      <c r="AE376" s="2087"/>
      <c r="AF376" s="4" t="s">
        <v>315</v>
      </c>
      <c r="AG376" s="2087"/>
      <c r="AH376" s="2087"/>
    </row>
    <row r="377" spans="1:36" ht="12.75" customHeight="1">
      <c r="E377" s="7" t="s">
        <v>1089</v>
      </c>
      <c r="F377" s="7"/>
      <c r="G377" s="7"/>
      <c r="H377" s="7"/>
      <c r="I377" s="7"/>
      <c r="J377" s="7"/>
      <c r="K377" s="7"/>
      <c r="L377" s="7"/>
      <c r="N377" s="2087"/>
      <c r="O377" s="2087"/>
      <c r="P377" s="2087"/>
    </row>
    <row r="378" spans="1:36" ht="12.75" customHeight="1">
      <c r="E378" s="382" t="s">
        <v>1090</v>
      </c>
      <c r="F378" s="7"/>
      <c r="G378" s="7"/>
      <c r="H378" s="7"/>
      <c r="I378" s="7"/>
      <c r="J378" s="7"/>
      <c r="K378" s="7"/>
      <c r="L378" s="7"/>
      <c r="AG378" s="2248" t="s">
        <v>625</v>
      </c>
      <c r="AH378" s="2248"/>
    </row>
    <row r="379" spans="1:36" ht="12.75" customHeight="1">
      <c r="E379" s="7"/>
      <c r="F379" s="7"/>
      <c r="G379" s="7" t="s">
        <v>1111</v>
      </c>
      <c r="H379" s="7"/>
      <c r="I379" s="7"/>
      <c r="J379" s="7"/>
      <c r="K379" s="7"/>
      <c r="L379" s="7"/>
      <c r="AG379" s="2248" t="s">
        <v>625</v>
      </c>
      <c r="AH379" s="2248"/>
    </row>
    <row r="380" spans="1:36" ht="12.75" customHeight="1">
      <c r="E380" s="7"/>
      <c r="F380" s="7"/>
      <c r="G380" s="509" t="s">
        <v>1091</v>
      </c>
      <c r="H380" s="7"/>
      <c r="I380" s="7"/>
      <c r="J380" s="7"/>
      <c r="K380" s="7"/>
      <c r="L380" s="7"/>
      <c r="V380" s="2036" t="s">
        <v>625</v>
      </c>
      <c r="W380" s="2036"/>
      <c r="Y380" s="35" t="s">
        <v>1060</v>
      </c>
    </row>
    <row r="381" spans="1:36" ht="12.75" customHeight="1">
      <c r="E381" s="7" t="s">
        <v>1061</v>
      </c>
      <c r="F381" s="7"/>
      <c r="G381" s="7"/>
      <c r="H381" s="7"/>
      <c r="I381" s="7"/>
      <c r="J381" s="7"/>
      <c r="K381" s="7"/>
      <c r="L381" s="7"/>
      <c r="V381" s="2036" t="s">
        <v>625</v>
      </c>
      <c r="W381" s="2036"/>
      <c r="Y381" s="7" t="s">
        <v>1062</v>
      </c>
    </row>
    <row r="382" spans="1:36" ht="12.75" customHeight="1"/>
    <row r="383" spans="1:36" ht="12.75" customHeight="1">
      <c r="A383" s="50" t="s">
        <v>82</v>
      </c>
      <c r="B383" s="50"/>
    </row>
    <row r="384" spans="1:36" ht="12.75" customHeight="1">
      <c r="D384" s="12" t="s">
        <v>448</v>
      </c>
      <c r="J384" s="2037" t="s">
        <v>2582</v>
      </c>
      <c r="K384" s="2038"/>
      <c r="L384" s="2038"/>
      <c r="M384" s="2038"/>
      <c r="N384" s="2038"/>
      <c r="O384" s="2038"/>
      <c r="P384" s="2038"/>
      <c r="Q384" s="2038"/>
      <c r="R384" s="2038"/>
      <c r="S384" s="2038"/>
      <c r="T384" s="2038"/>
      <c r="U384" s="2038"/>
      <c r="V384" s="14" t="s">
        <v>88</v>
      </c>
      <c r="W384" s="14"/>
      <c r="X384" s="14"/>
      <c r="Y384" s="14"/>
      <c r="Z384" s="14"/>
      <c r="AA384" s="14"/>
      <c r="AB384" s="14"/>
      <c r="AC384" s="2037" t="s">
        <v>2583</v>
      </c>
      <c r="AD384" s="2038"/>
      <c r="AE384" s="2038"/>
      <c r="AF384" s="2038"/>
      <c r="AG384" s="2038"/>
      <c r="AH384" s="2038"/>
      <c r="AI384" s="2038"/>
      <c r="AJ384" s="2038"/>
    </row>
    <row r="385" spans="1:96" ht="12.75" customHeight="1">
      <c r="A385" s="719"/>
      <c r="B385" s="719"/>
      <c r="C385" s="719"/>
      <c r="D385" s="58" t="s">
        <v>1381</v>
      </c>
      <c r="E385" s="719"/>
      <c r="F385" s="719"/>
      <c r="G385" s="719"/>
      <c r="H385" s="719"/>
      <c r="I385" s="719"/>
      <c r="J385" s="2040" t="s">
        <v>2583</v>
      </c>
      <c r="K385" s="2041"/>
      <c r="L385" s="2041"/>
      <c r="M385" s="2041"/>
      <c r="N385" s="2041"/>
      <c r="O385" s="2041"/>
      <c r="P385" s="2041"/>
      <c r="Q385" s="2041"/>
      <c r="R385" s="2041"/>
      <c r="S385" s="2041"/>
      <c r="T385" s="2041"/>
      <c r="U385" s="2041"/>
      <c r="V385" s="58" t="s">
        <v>1381</v>
      </c>
      <c r="W385" s="14"/>
      <c r="X385" s="14"/>
      <c r="Y385" s="14"/>
      <c r="Z385" s="14"/>
      <c r="AA385" s="14"/>
      <c r="AB385" s="14"/>
      <c r="AC385" s="2038"/>
      <c r="AD385" s="2038"/>
      <c r="AE385" s="2038"/>
      <c r="AF385" s="2038"/>
      <c r="AG385" s="2038"/>
      <c r="AH385" s="2038"/>
      <c r="AI385" s="2038"/>
      <c r="AJ385" s="2038"/>
      <c r="AK385" s="719"/>
      <c r="AL385" s="719"/>
    </row>
    <row r="386" spans="1:96" ht="12.75" customHeight="1">
      <c r="A386" s="719"/>
      <c r="B386" s="719"/>
      <c r="C386" s="719"/>
      <c r="D386" s="58" t="s">
        <v>463</v>
      </c>
      <c r="E386" s="719"/>
      <c r="F386" s="719"/>
      <c r="G386" s="719"/>
      <c r="H386" s="719"/>
      <c r="I386" s="719"/>
      <c r="J386" s="2040" t="s">
        <v>2584</v>
      </c>
      <c r="K386" s="2041"/>
      <c r="L386" s="2041"/>
      <c r="M386" s="2041"/>
      <c r="N386" s="2041"/>
      <c r="O386" s="2041"/>
      <c r="P386" s="2041"/>
      <c r="Q386" s="2041"/>
      <c r="R386" s="2041"/>
      <c r="S386" s="2041"/>
      <c r="T386" s="2041"/>
      <c r="U386" s="2041"/>
      <c r="V386" s="58" t="s">
        <v>463</v>
      </c>
      <c r="W386" s="14"/>
      <c r="X386" s="14"/>
      <c r="Y386" s="14"/>
      <c r="Z386" s="14"/>
      <c r="AA386" s="14"/>
      <c r="AB386" s="14"/>
      <c r="AC386" s="2038"/>
      <c r="AD386" s="2038"/>
      <c r="AE386" s="2038"/>
      <c r="AF386" s="2038"/>
      <c r="AG386" s="2038"/>
      <c r="AH386" s="2038"/>
      <c r="AI386" s="2038"/>
      <c r="AJ386" s="2038"/>
      <c r="AK386" s="719"/>
      <c r="AL386" s="719"/>
    </row>
    <row r="387" spans="1:96" ht="12.75" customHeight="1">
      <c r="A387" s="719"/>
      <c r="B387" s="719"/>
      <c r="C387" s="719"/>
      <c r="D387" s="479" t="s">
        <v>1377</v>
      </c>
      <c r="E387" s="719"/>
      <c r="F387" s="719"/>
      <c r="G387" s="719"/>
      <c r="H387" s="719"/>
      <c r="I387" s="88"/>
      <c r="J387" s="2060"/>
      <c r="K387" s="2060"/>
      <c r="L387" s="2060"/>
      <c r="M387" s="2060"/>
      <c r="N387" s="2060"/>
      <c r="O387" s="2060"/>
      <c r="P387" s="2060"/>
      <c r="Q387" s="2060"/>
      <c r="R387" s="2060"/>
      <c r="S387" s="2060"/>
      <c r="T387" s="2060"/>
      <c r="U387" s="2060"/>
      <c r="V387" s="2038"/>
      <c r="W387" s="2038"/>
      <c r="X387" s="2038"/>
      <c r="Y387" s="2038"/>
      <c r="Z387" s="2038"/>
      <c r="AA387" s="2038"/>
      <c r="AB387" s="2038"/>
      <c r="AC387" s="2038"/>
      <c r="AD387" s="2038"/>
      <c r="AE387" s="2038"/>
      <c r="AF387" s="2038"/>
      <c r="AG387" s="2038"/>
      <c r="AH387" s="2038"/>
      <c r="AI387" s="2038"/>
      <c r="AJ387" s="2038"/>
      <c r="AK387" s="719"/>
      <c r="AL387" s="719"/>
    </row>
    <row r="388" spans="1:96" ht="12.75" customHeight="1">
      <c r="D388" s="12" t="s">
        <v>4</v>
      </c>
      <c r="Q388" s="2264" t="s">
        <v>2662</v>
      </c>
      <c r="R388" s="2264"/>
      <c r="S388" s="2264"/>
      <c r="T388" s="2264"/>
      <c r="U388" s="2264"/>
      <c r="V388" s="12" t="s">
        <v>318</v>
      </c>
      <c r="AI388" s="2036" t="s">
        <v>705</v>
      </c>
      <c r="AJ388" s="2036"/>
    </row>
    <row r="389" spans="1:96" ht="12.75" customHeight="1">
      <c r="D389" s="12" t="s">
        <v>5</v>
      </c>
      <c r="Q389" s="2264" t="s">
        <v>2663</v>
      </c>
      <c r="R389" s="2383"/>
      <c r="S389" s="2383"/>
      <c r="T389" s="2383"/>
      <c r="U389" s="2383"/>
      <c r="W389" s="33" t="s">
        <v>78</v>
      </c>
      <c r="AG389" s="2062"/>
      <c r="AH389" s="2062"/>
      <c r="AI389" s="2062"/>
      <c r="AJ389" s="2062"/>
    </row>
    <row r="390" spans="1:96" ht="12.75" customHeight="1">
      <c r="D390" s="12" t="s">
        <v>447</v>
      </c>
      <c r="Q390" s="2265">
        <v>4050000</v>
      </c>
      <c r="R390" s="2265"/>
      <c r="S390" s="2265"/>
      <c r="T390" s="2265"/>
      <c r="U390" s="2265"/>
      <c r="V390" s="58" t="s">
        <v>1380</v>
      </c>
      <c r="AG390" s="2063">
        <v>44593</v>
      </c>
      <c r="AH390" s="2063"/>
      <c r="AI390" s="2063"/>
      <c r="AJ390" s="2063"/>
    </row>
    <row r="391" spans="1:96" ht="12.75" customHeight="1">
      <c r="D391" s="12" t="s">
        <v>93</v>
      </c>
      <c r="I391" s="2198"/>
      <c r="J391" s="2198"/>
      <c r="K391" s="2198"/>
      <c r="L391" s="2198"/>
      <c r="M391" s="2198"/>
      <c r="N391" s="2198"/>
      <c r="Q391" s="57" t="s">
        <v>212</v>
      </c>
      <c r="S391" s="2263"/>
      <c r="T391" s="2263"/>
      <c r="U391" s="2263"/>
      <c r="V391" s="12" t="s">
        <v>77</v>
      </c>
      <c r="AI391" s="2036" t="s">
        <v>705</v>
      </c>
      <c r="AJ391" s="2036"/>
    </row>
    <row r="392" spans="1:96" ht="12.75" customHeight="1">
      <c r="D392" s="12" t="s">
        <v>319</v>
      </c>
      <c r="Q392" s="2042"/>
      <c r="R392" s="2042"/>
      <c r="S392" s="2042"/>
      <c r="T392" s="2042"/>
      <c r="U392" s="2042"/>
      <c r="V392" s="12" t="s">
        <v>320</v>
      </c>
      <c r="AG392" s="2062"/>
      <c r="AH392" s="2062"/>
      <c r="AI392" s="2062"/>
      <c r="AJ392" s="2062"/>
    </row>
    <row r="393" spans="1:96" ht="12.75" customHeight="1">
      <c r="D393" s="12" t="s">
        <v>321</v>
      </c>
      <c r="Q393" s="2201"/>
      <c r="R393" s="2201"/>
      <c r="S393" s="2201"/>
      <c r="T393" s="2201"/>
      <c r="U393" s="2201"/>
      <c r="V393" s="719" t="s">
        <v>1357</v>
      </c>
      <c r="AG393" s="2062"/>
      <c r="AH393" s="2062"/>
      <c r="AI393" s="2062"/>
      <c r="AJ393" s="2062"/>
    </row>
    <row r="394" spans="1:96" ht="12.75">
      <c r="D394" s="719" t="s">
        <v>1356</v>
      </c>
      <c r="V394" s="719"/>
      <c r="AG394" s="2062"/>
      <c r="AH394" s="2062"/>
      <c r="AI394" s="2062"/>
      <c r="AJ394" s="2062"/>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6" t="s">
        <v>705</v>
      </c>
      <c r="AJ396" s="2036"/>
      <c r="AM396" s="39"/>
      <c r="AN396" s="39"/>
      <c r="AO396" s="39"/>
      <c r="AP396" s="39"/>
      <c r="AQ396" s="39"/>
      <c r="AR396" s="39"/>
      <c r="AS396" s="39"/>
      <c r="AT396" s="39"/>
      <c r="AU396" s="39"/>
      <c r="AV396" s="39"/>
      <c r="AW396" s="39"/>
      <c r="AX396" s="39"/>
      <c r="AY396" s="39"/>
      <c r="CR396" s="25"/>
    </row>
    <row r="397" spans="1:96" s="719" customFormat="1" ht="12.75">
      <c r="D397" s="58" t="s">
        <v>2023</v>
      </c>
      <c r="T397" s="2105"/>
      <c r="U397" s="2105"/>
      <c r="V397" s="2105"/>
      <c r="W397" s="2105"/>
      <c r="X397" s="2105"/>
      <c r="Y397" s="2105"/>
      <c r="Z397" s="2105"/>
      <c r="AA397" s="2105"/>
      <c r="AB397" s="2105"/>
      <c r="AC397" s="2105"/>
      <c r="AD397" s="2105"/>
      <c r="AE397" s="2105"/>
      <c r="AF397" s="2105"/>
      <c r="AG397" s="2105"/>
      <c r="AH397" s="2105"/>
      <c r="AI397" s="2105"/>
      <c r="AJ397" s="2105"/>
      <c r="AM397" s="39"/>
      <c r="AN397" s="39"/>
      <c r="AO397" s="39"/>
      <c r="AP397" s="39"/>
      <c r="AQ397" s="39"/>
      <c r="AR397" s="39"/>
      <c r="AS397" s="39"/>
      <c r="AT397" s="39"/>
      <c r="AU397" s="39"/>
      <c r="AV397" s="39"/>
      <c r="AW397" s="39"/>
      <c r="AX397" s="39"/>
      <c r="AY397" s="39"/>
      <c r="CR397" s="25"/>
    </row>
    <row r="398" spans="1:96" s="719" customFormat="1" ht="12.75">
      <c r="D398" s="58" t="s">
        <v>2022</v>
      </c>
      <c r="T398" s="2105"/>
      <c r="U398" s="2105"/>
      <c r="V398" s="2105"/>
      <c r="W398" s="2105"/>
      <c r="X398" s="2105"/>
      <c r="Y398" s="2105"/>
      <c r="Z398" s="2105"/>
      <c r="AA398" s="2105"/>
      <c r="AB398" s="2105"/>
      <c r="AC398" s="2105"/>
      <c r="AD398" s="2105"/>
      <c r="AE398" s="2105"/>
      <c r="AF398" s="2105"/>
      <c r="AG398" s="2105"/>
      <c r="AH398" s="2105"/>
      <c r="AI398" s="2105"/>
      <c r="AJ398" s="2105"/>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105" t="s">
        <v>705</v>
      </c>
      <c r="T400" s="2105"/>
      <c r="U400" s="2105"/>
      <c r="V400" s="479" t="s">
        <v>2016</v>
      </c>
      <c r="W400" s="719"/>
      <c r="X400" s="719"/>
      <c r="Y400" s="719"/>
      <c r="Z400" s="719"/>
      <c r="AA400" s="719"/>
      <c r="AB400" s="39"/>
      <c r="AC400" s="39"/>
      <c r="AD400" s="39"/>
      <c r="AE400" s="39"/>
      <c r="AF400" s="39"/>
      <c r="AG400" s="2151"/>
      <c r="AH400" s="2151"/>
      <c r="AI400" s="2151"/>
      <c r="AJ400" s="2151"/>
      <c r="AK400" s="39"/>
      <c r="AL400" s="719"/>
    </row>
    <row r="401" spans="1:96" s="719" customFormat="1" ht="12.75">
      <c r="D401" s="58" t="s">
        <v>2012</v>
      </c>
      <c r="S401" s="2105" t="s">
        <v>625</v>
      </c>
      <c r="T401" s="2105"/>
      <c r="U401" s="2105"/>
      <c r="V401" s="479" t="s">
        <v>2018</v>
      </c>
      <c r="AB401" s="39"/>
      <c r="AC401" s="39"/>
      <c r="AD401" s="39"/>
      <c r="AE401" s="2152"/>
      <c r="AF401" s="2152"/>
      <c r="AG401" s="2152"/>
      <c r="AH401" s="2152"/>
      <c r="AI401" s="2152"/>
      <c r="AJ401" s="2152"/>
      <c r="AK401" s="39"/>
      <c r="AM401" s="39"/>
      <c r="AN401" s="39"/>
      <c r="AO401" s="39"/>
      <c r="AP401" s="39"/>
      <c r="AQ401" s="39"/>
      <c r="AR401" s="39"/>
      <c r="AS401" s="39"/>
      <c r="AT401" s="39"/>
      <c r="AU401" s="39"/>
      <c r="AV401" s="39"/>
      <c r="AW401" s="39"/>
      <c r="AX401" s="39"/>
      <c r="AY401" s="39"/>
      <c r="CR401" s="25"/>
    </row>
    <row r="402" spans="1:96" s="719" customFormat="1" ht="12.75">
      <c r="D402" s="58" t="s">
        <v>2014</v>
      </c>
      <c r="K402" s="2091"/>
      <c r="L402" s="2091"/>
      <c r="M402" s="2091"/>
      <c r="N402" s="2091"/>
      <c r="O402" s="2091"/>
      <c r="P402" s="2091"/>
      <c r="Q402" s="2091"/>
      <c r="R402" s="2091"/>
      <c r="S402" s="2091"/>
      <c r="T402" s="2091"/>
      <c r="U402" s="2091"/>
      <c r="V402" s="2091"/>
      <c r="W402" s="2091"/>
      <c r="X402" s="2091"/>
      <c r="Y402" s="2091"/>
      <c r="Z402" s="2091"/>
      <c r="AA402" s="2091"/>
      <c r="AB402" s="2091"/>
      <c r="AC402" s="2091"/>
      <c r="AD402" s="2091"/>
      <c r="AE402" s="2091"/>
      <c r="AF402" s="2091"/>
      <c r="AG402" s="2091"/>
      <c r="AH402" s="2091"/>
      <c r="AI402" s="2091"/>
      <c r="AJ402" s="2091"/>
      <c r="AK402" s="39"/>
      <c r="AM402" s="39"/>
      <c r="AN402" s="39"/>
      <c r="AO402" s="39"/>
      <c r="AP402" s="39"/>
      <c r="AQ402" s="39"/>
      <c r="AR402" s="39"/>
      <c r="AS402" s="39"/>
      <c r="AT402" s="39"/>
      <c r="AU402" s="39"/>
      <c r="AV402" s="39"/>
      <c r="AW402" s="39"/>
      <c r="AX402" s="39"/>
      <c r="AY402" s="39"/>
      <c r="CR402" s="25"/>
    </row>
    <row r="403" spans="1:96" s="719" customFormat="1" ht="12.75">
      <c r="D403" s="58" t="s">
        <v>2017</v>
      </c>
      <c r="K403" s="2091"/>
      <c r="L403" s="2091"/>
      <c r="M403" s="2091"/>
      <c r="N403" s="2091"/>
      <c r="O403" s="2091"/>
      <c r="P403" s="2091"/>
      <c r="Q403" s="2091"/>
      <c r="R403" s="2091"/>
      <c r="S403" s="2091"/>
      <c r="T403" s="2091"/>
      <c r="U403" s="2091"/>
      <c r="V403" s="2091"/>
      <c r="W403" s="2091"/>
      <c r="X403" s="2091"/>
      <c r="Y403" s="2091"/>
      <c r="Z403" s="2091"/>
      <c r="AA403" s="2091"/>
      <c r="AB403" s="2091"/>
      <c r="AC403" s="2091"/>
      <c r="AD403" s="2091"/>
      <c r="AE403" s="2091"/>
      <c r="AF403" s="2091"/>
      <c r="AG403" s="2091"/>
      <c r="AH403" s="2091"/>
      <c r="AI403" s="2091"/>
      <c r="AJ403" s="2091"/>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4" t="s">
        <v>1383</v>
      </c>
      <c r="T404" s="2154"/>
      <c r="U404" s="2154"/>
      <c r="V404" s="2154"/>
      <c r="W404" s="2154"/>
      <c r="X404" s="2154"/>
      <c r="Y404" s="2154"/>
      <c r="Z404" s="2154"/>
      <c r="AA404" s="2154"/>
      <c r="AB404" s="2154"/>
      <c r="AC404" s="2154"/>
      <c r="AD404" s="2154"/>
      <c r="AE404" s="2154"/>
      <c r="AF404" s="2154"/>
      <c r="AG404" s="2154"/>
      <c r="AH404" s="2154"/>
      <c r="AI404" s="2154"/>
      <c r="AJ404" s="2154"/>
      <c r="AK404" s="39"/>
      <c r="AL404" s="39"/>
      <c r="AM404" s="39"/>
      <c r="AN404" s="39"/>
      <c r="AO404" s="39"/>
      <c r="AP404" s="39"/>
      <c r="AQ404" s="39"/>
      <c r="AR404" s="39"/>
      <c r="AS404" s="39"/>
      <c r="AT404" s="39"/>
      <c r="AU404" s="39"/>
      <c r="AV404" s="39"/>
      <c r="AW404" s="39"/>
      <c r="AX404" s="39"/>
      <c r="AY404" s="39"/>
      <c r="CR404" s="25"/>
    </row>
    <row r="405" spans="1:96" s="719" customFormat="1" ht="12.75">
      <c r="D405" s="2153" t="s">
        <v>2019</v>
      </c>
      <c r="E405" s="2153"/>
      <c r="F405" s="2153"/>
      <c r="G405" s="2153"/>
      <c r="H405" s="2153"/>
      <c r="I405" s="2153"/>
      <c r="J405" s="2153"/>
      <c r="K405" s="2153"/>
      <c r="L405" s="2153"/>
      <c r="M405" s="2153"/>
      <c r="N405" s="2153"/>
      <c r="O405" s="2153"/>
      <c r="P405" s="2153"/>
      <c r="Q405" s="2153"/>
      <c r="R405" s="2153"/>
      <c r="S405" s="2153"/>
      <c r="T405" s="2153"/>
      <c r="U405" s="2153"/>
      <c r="V405" s="2153"/>
      <c r="W405" s="2153"/>
      <c r="X405" s="2153"/>
      <c r="Y405" s="2153"/>
      <c r="Z405" s="2153"/>
      <c r="AA405" s="2153"/>
      <c r="AB405" s="2153"/>
      <c r="AC405" s="2153"/>
      <c r="AD405" s="2153"/>
      <c r="AE405" s="2153"/>
      <c r="AF405" s="2153"/>
      <c r="AG405" s="2153"/>
      <c r="AH405" s="2153"/>
      <c r="AI405" s="2153"/>
      <c r="AJ405" s="2153"/>
      <c r="AK405" s="39"/>
      <c r="AL405" s="39"/>
      <c r="AM405" s="39"/>
      <c r="AN405" s="39"/>
      <c r="AO405" s="39"/>
      <c r="AP405" s="39"/>
      <c r="AQ405" s="39"/>
      <c r="AR405" s="39"/>
      <c r="AS405" s="39"/>
      <c r="AT405" s="39"/>
      <c r="AU405" s="39"/>
      <c r="AV405" s="39"/>
      <c r="AW405" s="39"/>
      <c r="AX405" s="39"/>
      <c r="AY405" s="39"/>
      <c r="CR405" s="25"/>
    </row>
    <row r="406" spans="1:96" s="719" customFormat="1" ht="12.75">
      <c r="D406" s="2153"/>
      <c r="E406" s="2153"/>
      <c r="F406" s="2153"/>
      <c r="G406" s="2153"/>
      <c r="H406" s="2153"/>
      <c r="I406" s="2153"/>
      <c r="J406" s="2153"/>
      <c r="K406" s="2153"/>
      <c r="L406" s="2153"/>
      <c r="M406" s="2153"/>
      <c r="N406" s="2153"/>
      <c r="O406" s="2153"/>
      <c r="P406" s="2153"/>
      <c r="Q406" s="2153"/>
      <c r="R406" s="2153"/>
      <c r="S406" s="2153"/>
      <c r="T406" s="2153"/>
      <c r="U406" s="2153"/>
      <c r="V406" s="2153"/>
      <c r="W406" s="2153"/>
      <c r="X406" s="2153"/>
      <c r="Y406" s="2153"/>
      <c r="Z406" s="2153"/>
      <c r="AA406" s="2153"/>
      <c r="AB406" s="2153"/>
      <c r="AC406" s="2153"/>
      <c r="AD406" s="2153"/>
      <c r="AE406" s="2153"/>
      <c r="AF406" s="2153"/>
      <c r="AG406" s="2153"/>
      <c r="AH406" s="2153"/>
      <c r="AI406" s="2153"/>
      <c r="AJ406" s="2153"/>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37" t="s">
        <v>2585</v>
      </c>
      <c r="J409" s="2037"/>
      <c r="K409" s="2037"/>
      <c r="L409" s="2037"/>
      <c r="M409" s="2037"/>
      <c r="N409" s="2037"/>
      <c r="O409" s="2037"/>
      <c r="P409" s="2037"/>
      <c r="Q409" s="2037"/>
      <c r="R409" s="2037"/>
      <c r="S409" s="2037"/>
      <c r="T409" s="2037"/>
      <c r="U409" s="2037"/>
      <c r="V409" s="2037"/>
      <c r="W409" s="2037"/>
      <c r="X409" s="2037"/>
      <c r="Y409" s="2037"/>
      <c r="Z409" s="2037"/>
      <c r="AA409" s="2037"/>
      <c r="AB409" s="2037"/>
      <c r="AC409" s="2037"/>
      <c r="AD409" s="2037"/>
      <c r="AE409" s="2037"/>
    </row>
    <row r="410" spans="1:96" ht="12.75" customHeight="1">
      <c r="C410" s="25"/>
      <c r="D410" s="25"/>
      <c r="E410" s="12" t="s">
        <v>111</v>
      </c>
      <c r="F410" s="25"/>
      <c r="G410" s="25"/>
      <c r="H410" s="25"/>
      <c r="I410" s="25"/>
      <c r="J410" s="25"/>
      <c r="K410" s="25"/>
      <c r="L410" s="25"/>
      <c r="M410" s="25"/>
      <c r="N410" s="25"/>
      <c r="O410" s="25"/>
      <c r="P410" s="719"/>
      <c r="Q410" s="719"/>
      <c r="R410" s="2036" t="s">
        <v>577</v>
      </c>
      <c r="S410" s="2036"/>
      <c r="T410" s="12" t="s">
        <v>603</v>
      </c>
      <c r="U410" s="719"/>
      <c r="V410" s="719"/>
      <c r="W410" s="719"/>
      <c r="X410" s="719"/>
      <c r="Y410" s="719"/>
      <c r="Z410" s="719"/>
      <c r="AA410" s="719"/>
      <c r="AB410" s="719"/>
      <c r="AC410" s="719"/>
      <c r="AD410" s="2064">
        <v>4</v>
      </c>
      <c r="AE410" s="2064"/>
      <c r="AF410" s="719"/>
    </row>
    <row r="411" spans="1:96" ht="12.75">
      <c r="C411" s="25"/>
      <c r="E411" s="12" t="s">
        <v>112</v>
      </c>
      <c r="F411" s="719"/>
      <c r="G411" s="719"/>
      <c r="H411" s="719"/>
      <c r="I411" s="719"/>
      <c r="J411" s="719"/>
      <c r="K411" s="719"/>
      <c r="L411" s="719"/>
      <c r="M411" s="719"/>
      <c r="N411" s="25"/>
      <c r="O411" s="25"/>
      <c r="P411" s="719"/>
      <c r="Q411" s="719"/>
      <c r="R411" s="2036" t="s">
        <v>625</v>
      </c>
      <c r="S411" s="2036"/>
      <c r="T411" s="12" t="s">
        <v>603</v>
      </c>
      <c r="U411" s="719"/>
      <c r="V411" s="719"/>
      <c r="W411" s="719"/>
      <c r="X411" s="719"/>
      <c r="Y411" s="719"/>
      <c r="Z411" s="719"/>
      <c r="AA411" s="719"/>
      <c r="AB411" s="719"/>
      <c r="AC411" s="719"/>
      <c r="AD411" s="2064">
        <v>0</v>
      </c>
      <c r="AE411" s="2064"/>
      <c r="AF411" s="719"/>
    </row>
    <row r="412" spans="1:96" ht="12.75" customHeight="1">
      <c r="C412" s="25"/>
      <c r="E412" s="12" t="s">
        <v>113</v>
      </c>
      <c r="F412" s="719"/>
      <c r="G412" s="719"/>
      <c r="H412" s="719"/>
      <c r="I412" s="719"/>
      <c r="J412" s="719"/>
      <c r="K412" s="719"/>
      <c r="L412" s="719"/>
      <c r="M412" s="719"/>
      <c r="N412" s="25"/>
      <c r="O412" s="25"/>
      <c r="P412" s="719"/>
      <c r="Q412" s="719"/>
      <c r="R412" s="719"/>
      <c r="S412" s="2036" t="s">
        <v>625</v>
      </c>
      <c r="T412" s="2036"/>
      <c r="U412" s="719"/>
      <c r="V412" s="719"/>
      <c r="W412" s="719"/>
      <c r="X412" s="719"/>
      <c r="Y412" s="719"/>
      <c r="Z412" s="719"/>
      <c r="AA412" s="719"/>
      <c r="AB412" s="719"/>
      <c r="AC412" s="719"/>
      <c r="AD412" s="719"/>
      <c r="AE412" s="719"/>
      <c r="AF412" s="719"/>
    </row>
    <row r="413" spans="1:96" ht="12.75" customHeight="1">
      <c r="E413" s="12" t="s">
        <v>175</v>
      </c>
      <c r="F413" s="719"/>
      <c r="G413" s="719"/>
      <c r="H413" s="2199" t="s">
        <v>2586</v>
      </c>
      <c r="I413" s="2199"/>
      <c r="J413" s="2199"/>
      <c r="K413" s="2199"/>
      <c r="L413" s="2199"/>
      <c r="M413" s="2199"/>
      <c r="N413" s="2199"/>
      <c r="O413" s="2199"/>
      <c r="P413" s="2199"/>
      <c r="Q413" s="2199"/>
      <c r="R413" s="2199"/>
      <c r="S413" s="2199"/>
      <c r="T413" s="2199"/>
      <c r="U413" s="2199"/>
      <c r="V413" s="2199"/>
      <c r="W413" s="2199"/>
      <c r="X413" s="2199"/>
      <c r="Y413" s="2199"/>
      <c r="Z413" s="2199"/>
      <c r="AA413" s="2199"/>
      <c r="AB413" s="2199"/>
      <c r="AC413" s="2199"/>
      <c r="AD413" s="2199"/>
      <c r="AE413" s="2199"/>
      <c r="AF413" s="719"/>
    </row>
    <row r="414" spans="1:96" ht="12.75" customHeight="1">
      <c r="E414" s="25"/>
      <c r="F414" s="719"/>
      <c r="G414" s="719"/>
      <c r="H414" s="2200"/>
      <c r="I414" s="2200"/>
      <c r="J414" s="2200"/>
      <c r="K414" s="2200"/>
      <c r="L414" s="2200"/>
      <c r="M414" s="2200"/>
      <c r="N414" s="2200"/>
      <c r="O414" s="2200"/>
      <c r="P414" s="2200"/>
      <c r="Q414" s="2200"/>
      <c r="R414" s="2200"/>
      <c r="S414" s="2200"/>
      <c r="T414" s="2200"/>
      <c r="U414" s="2200"/>
      <c r="V414" s="2200"/>
      <c r="W414" s="2200"/>
      <c r="X414" s="2200"/>
      <c r="Y414" s="2200"/>
      <c r="Z414" s="2200"/>
      <c r="AA414" s="2200"/>
      <c r="AB414" s="2200"/>
      <c r="AC414" s="2200"/>
      <c r="AD414" s="2200"/>
      <c r="AE414" s="2200"/>
      <c r="AF414" s="719"/>
    </row>
    <row r="415" spans="1:96" ht="12.75" customHeight="1"/>
    <row r="416" spans="1:96" ht="12.75" customHeight="1">
      <c r="A416" s="50" t="s">
        <v>624</v>
      </c>
      <c r="B416" s="50"/>
      <c r="C416" s="50"/>
      <c r="D416" s="50" t="s">
        <v>119</v>
      </c>
      <c r="AF416" s="50" t="s">
        <v>1035</v>
      </c>
    </row>
    <row r="417" spans="1:96" ht="12.75" customHeight="1">
      <c r="E417" s="2087"/>
      <c r="F417" s="2087"/>
      <c r="G417" s="2087"/>
      <c r="H417" s="23" t="s">
        <v>120</v>
      </c>
      <c r="I417" s="2087"/>
      <c r="J417" s="2087"/>
      <c r="K417" s="2087"/>
      <c r="L417" s="12" t="s">
        <v>121</v>
      </c>
      <c r="N417" s="141" t="s">
        <v>609</v>
      </c>
      <c r="P417" s="2262">
        <v>4.3899999999999997</v>
      </c>
      <c r="Q417" s="2262"/>
      <c r="R417" s="2262"/>
      <c r="S417" s="12" t="s">
        <v>122</v>
      </c>
      <c r="W417" s="2076">
        <f>IF(E417&gt;0,(E417*I417),(P417*43560))</f>
        <v>191228.4</v>
      </c>
      <c r="X417" s="2076"/>
      <c r="Y417" s="2076"/>
      <c r="Z417" s="12" t="s">
        <v>123</v>
      </c>
      <c r="AF417" s="2268">
        <f>IF(P417&gt;0,(AG436/P417),(AG436/(W417/43560)))</f>
        <v>30.523917995444194</v>
      </c>
      <c r="AG417" s="2268"/>
      <c r="AH417" s="2268"/>
      <c r="AM417" s="239"/>
    </row>
    <row r="418" spans="1:96" ht="12.75">
      <c r="E418" s="12" t="s">
        <v>54</v>
      </c>
    </row>
    <row r="419" spans="1:96" ht="12.75" customHeight="1">
      <c r="E419" s="2126"/>
      <c r="F419" s="2126"/>
      <c r="G419" s="2126"/>
      <c r="H419" s="2126"/>
      <c r="I419" s="2126"/>
      <c r="J419" s="2126"/>
      <c r="K419" s="2126"/>
      <c r="L419" s="2126"/>
      <c r="M419" s="2126"/>
      <c r="N419" s="2126"/>
      <c r="O419" s="2126"/>
      <c r="P419" s="2126"/>
      <c r="Q419" s="2126"/>
      <c r="R419" s="2126"/>
      <c r="S419" s="2126"/>
      <c r="T419" s="2126"/>
      <c r="U419" s="2126"/>
      <c r="V419" s="2126"/>
      <c r="W419" s="2126"/>
      <c r="X419" s="2126"/>
      <c r="Y419" s="2126"/>
      <c r="Z419" s="2126"/>
      <c r="AA419" s="2126"/>
      <c r="AB419" s="2126"/>
      <c r="AC419" s="2126"/>
      <c r="AD419" s="2126"/>
      <c r="AE419" s="2126"/>
      <c r="AF419" s="2126"/>
      <c r="AG419" s="2126"/>
      <c r="AH419" s="2126"/>
      <c r="AI419" s="2126"/>
      <c r="AJ419" s="2126"/>
    </row>
    <row r="420" spans="1:96" s="39" customFormat="1" ht="12.75" customHeight="1">
      <c r="E420" s="254" t="s">
        <v>2231</v>
      </c>
      <c r="F420" s="1807"/>
      <c r="G420" s="1807"/>
      <c r="H420" s="1807"/>
      <c r="I420" s="2388">
        <v>4.3899999999999997</v>
      </c>
      <c r="J420" s="2388"/>
      <c r="K420" s="2388"/>
      <c r="L420" s="1807"/>
      <c r="M420" s="254"/>
      <c r="N420" s="1807"/>
      <c r="O420" s="1807"/>
      <c r="P420" s="2422">
        <f>(CS637+CS645+CS661)/I420</f>
        <v>90.205011389521644</v>
      </c>
      <c r="Q420" s="2422"/>
      <c r="R420" s="2422"/>
      <c r="S420" s="254" t="s">
        <v>2232</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6">
        <v>2</v>
      </c>
      <c r="Q423" s="2036"/>
      <c r="S423" s="12" t="s">
        <v>195</v>
      </c>
      <c r="AE423" s="2036">
        <v>2</v>
      </c>
      <c r="AF423" s="2036"/>
    </row>
    <row r="424" spans="1:96" ht="12.75">
      <c r="E424" s="12" t="s">
        <v>196</v>
      </c>
      <c r="P424" s="2036">
        <v>0</v>
      </c>
      <c r="Q424" s="2036"/>
      <c r="S424" s="12" t="s">
        <v>136</v>
      </c>
      <c r="AE424" s="2036" t="s">
        <v>625</v>
      </c>
      <c r="AF424" s="2036"/>
    </row>
    <row r="425" spans="1:96" ht="12.75">
      <c r="F425" s="67" t="s">
        <v>137</v>
      </c>
    </row>
    <row r="426" spans="1:96" ht="12.75">
      <c r="F426" s="2088"/>
      <c r="G426" s="2088"/>
      <c r="H426" s="2088"/>
      <c r="I426" s="2088"/>
      <c r="J426" s="2088"/>
      <c r="K426" s="2088"/>
      <c r="L426" s="2088"/>
      <c r="M426" s="2088"/>
      <c r="N426" s="2088"/>
      <c r="O426" s="2088"/>
      <c r="P426" s="2088"/>
      <c r="Q426" s="2088"/>
      <c r="R426" s="2088"/>
      <c r="S426" s="2088"/>
      <c r="T426" s="2088"/>
      <c r="U426" s="2088"/>
      <c r="V426" s="2088"/>
      <c r="W426" s="2088"/>
      <c r="X426" s="2088"/>
      <c r="Y426" s="2088"/>
      <c r="Z426" s="2088"/>
      <c r="AA426" s="2088"/>
      <c r="AB426" s="2088"/>
      <c r="AC426" s="2088"/>
      <c r="AD426" s="2088"/>
      <c r="AE426" s="2088"/>
      <c r="AF426" s="2088"/>
      <c r="AG426" s="2088"/>
      <c r="AH426" s="2088"/>
    </row>
    <row r="427" spans="1:96" ht="12.75" customHeight="1">
      <c r="F427" s="2089"/>
      <c r="G427" s="2089"/>
      <c r="H427" s="2089"/>
      <c r="I427" s="2089"/>
      <c r="J427" s="2089"/>
      <c r="K427" s="2089"/>
      <c r="L427" s="2089"/>
      <c r="M427" s="2089"/>
      <c r="N427" s="2089"/>
      <c r="O427" s="2089"/>
      <c r="P427" s="2089"/>
      <c r="Q427" s="2089"/>
      <c r="R427" s="2089"/>
      <c r="S427" s="2089"/>
      <c r="T427" s="2089"/>
      <c r="U427" s="2089"/>
      <c r="V427" s="2089"/>
      <c r="W427" s="2089"/>
      <c r="X427" s="2089"/>
      <c r="Y427" s="2089"/>
      <c r="Z427" s="2089"/>
      <c r="AA427" s="2089"/>
      <c r="AB427" s="2089"/>
      <c r="AC427" s="2089"/>
      <c r="AD427" s="2089"/>
      <c r="AE427" s="2089"/>
      <c r="AF427" s="2089"/>
      <c r="AG427" s="2089"/>
      <c r="AH427" s="2089"/>
    </row>
    <row r="428" spans="1:96" ht="12.75" customHeight="1">
      <c r="E428" s="12" t="s">
        <v>642</v>
      </c>
      <c r="N428" s="39"/>
      <c r="O428" s="39"/>
      <c r="P428" s="235"/>
      <c r="Q428" s="2036" t="s">
        <v>577</v>
      </c>
      <c r="R428" s="203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6" t="s">
        <v>625</v>
      </c>
      <c r="AG429" s="2107"/>
    </row>
    <row r="430" spans="1:96" ht="12.75" customHeight="1">
      <c r="S430" s="25"/>
      <c r="T430" s="25"/>
    </row>
    <row r="431" spans="1:96" ht="12.75" customHeight="1">
      <c r="A431" s="50"/>
      <c r="B431" s="50"/>
      <c r="C431" s="50"/>
      <c r="E431" s="7" t="s">
        <v>317</v>
      </c>
      <c r="Z431" s="2036" t="s">
        <v>705</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6" t="s">
        <v>625</v>
      </c>
      <c r="AA433" s="2036"/>
    </row>
    <row r="434" spans="1:110" ht="12.75" customHeight="1"/>
    <row r="435" spans="1:110" ht="12.75" customHeight="1">
      <c r="A435" s="50" t="s">
        <v>499</v>
      </c>
      <c r="B435" s="50"/>
      <c r="C435" s="50"/>
      <c r="D435" s="50" t="s">
        <v>821</v>
      </c>
      <c r="AF435" s="80"/>
    </row>
    <row r="436" spans="1:110" ht="12.75" customHeight="1">
      <c r="D436" s="2073" t="s">
        <v>46</v>
      </c>
      <c r="E436" s="2071"/>
      <c r="F436" s="2071"/>
      <c r="G436" s="2071"/>
      <c r="H436" s="2071"/>
      <c r="I436" s="2071"/>
      <c r="J436" s="2071"/>
      <c r="K436" s="2071"/>
      <c r="L436" s="2071"/>
      <c r="M436" s="2071"/>
      <c r="N436" s="2071"/>
      <c r="O436" s="2071"/>
      <c r="P436" s="2071"/>
      <c r="Q436" s="2071"/>
      <c r="R436" s="2071"/>
      <c r="S436" s="2071"/>
      <c r="T436" s="2071"/>
      <c r="U436" s="2071"/>
      <c r="V436" s="2071"/>
      <c r="W436" s="2071"/>
      <c r="X436" s="2071"/>
      <c r="Y436" s="2071"/>
      <c r="Z436" s="2071"/>
      <c r="AA436" s="2071"/>
      <c r="AB436" s="2071"/>
      <c r="AC436" s="2071"/>
      <c r="AD436" s="2071"/>
      <c r="AE436" s="2071"/>
      <c r="AF436" s="2072"/>
      <c r="AG436" s="2056">
        <v>134</v>
      </c>
      <c r="AH436" s="2056"/>
      <c r="AI436" s="2056"/>
      <c r="AJ436" s="2056"/>
    </row>
    <row r="437" spans="1:110" ht="12.75" customHeight="1">
      <c r="D437" s="2019" t="s">
        <v>1436</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83"/>
      <c r="AH437" s="2084"/>
      <c r="AI437" s="2084"/>
      <c r="AJ437" s="2084"/>
    </row>
    <row r="438" spans="1:110" ht="12.75" customHeight="1">
      <c r="D438" s="2019" t="s">
        <v>1144</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6">
        <v>133</v>
      </c>
      <c r="AH438" s="2056"/>
      <c r="AI438" s="2056"/>
      <c r="AJ438" s="2056"/>
    </row>
    <row r="439" spans="1:110" ht="12.75" customHeight="1">
      <c r="D439" s="2019" t="s">
        <v>1145</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6">
        <v>133</v>
      </c>
      <c r="AH439" s="2056"/>
      <c r="AI439" s="2056"/>
      <c r="AJ439" s="2056"/>
    </row>
    <row r="440" spans="1:110" ht="12.75" customHeight="1">
      <c r="D440" s="2019" t="s">
        <v>1147</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5">
        <f>IF(ISERROR(AG439/AG438),"",AG439/AG438)</f>
        <v>1</v>
      </c>
      <c r="AH440" s="2075"/>
      <c r="AI440" s="2075"/>
      <c r="AJ440" s="2075"/>
    </row>
    <row r="441" spans="1:110" ht="12.75" customHeight="1">
      <c r="D441" s="2019" t="s">
        <v>1146</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4">
        <f>20454+117806-914</f>
        <v>137346</v>
      </c>
      <c r="AH441" s="2074"/>
      <c r="AI441" s="2074"/>
      <c r="AJ441" s="2074"/>
    </row>
    <row r="442" spans="1:110" ht="12.75" customHeight="1">
      <c r="D442" s="2019" t="s">
        <v>1148</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4">
        <f>138260-914</f>
        <v>137346</v>
      </c>
      <c r="AH442" s="2074"/>
      <c r="AI442" s="2074"/>
      <c r="AJ442" s="2074"/>
    </row>
    <row r="443" spans="1:110" ht="12.75" customHeight="1">
      <c r="D443" s="2019" t="s">
        <v>1149</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5">
        <f>IF(ISERROR(AG442/AG441),"",AG442/AG441)</f>
        <v>1</v>
      </c>
      <c r="AH443" s="2075"/>
      <c r="AI443" s="2075"/>
      <c r="AJ443" s="2075"/>
    </row>
    <row r="444" spans="1:110" ht="12.75" customHeight="1">
      <c r="D444" s="2019" t="s">
        <v>1150</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5">
        <f>MIN(IF(AG440&gt;AG443,AG443,AG440),1)</f>
        <v>1</v>
      </c>
      <c r="AH444" s="2075"/>
      <c r="AI444" s="2075"/>
      <c r="AJ444" s="2075"/>
    </row>
    <row r="445" spans="1:110" ht="12.75" customHeight="1">
      <c r="D445" s="2019" t="s">
        <v>1411</v>
      </c>
      <c r="E445" s="2071"/>
      <c r="F445" s="2071"/>
      <c r="G445" s="2071"/>
      <c r="H445" s="2071"/>
      <c r="I445" s="2071"/>
      <c r="J445" s="2071"/>
      <c r="K445" s="2071"/>
      <c r="L445" s="2071"/>
      <c r="M445" s="2071"/>
      <c r="N445" s="2071"/>
      <c r="O445" s="2071"/>
      <c r="P445" s="2071"/>
      <c r="Q445" s="2071"/>
      <c r="R445" s="2071"/>
      <c r="S445" s="2071"/>
      <c r="T445" s="2071"/>
      <c r="U445" s="2071"/>
      <c r="V445" s="2071"/>
      <c r="W445" s="2071"/>
      <c r="X445" s="2071"/>
      <c r="Y445" s="2071"/>
      <c r="Z445" s="2071"/>
      <c r="AA445" s="2071"/>
      <c r="AB445" s="2071"/>
      <c r="AC445" s="2071"/>
      <c r="AD445" s="2071"/>
      <c r="AE445" s="2071"/>
      <c r="AF445" s="2072"/>
      <c r="AG445" s="2074">
        <f>859+2036</f>
        <v>2895</v>
      </c>
      <c r="AH445" s="2074"/>
      <c r="AI445" s="2074"/>
      <c r="AJ445" s="2074"/>
    </row>
    <row r="446" spans="1:110" ht="12.75" customHeight="1">
      <c r="D446" s="2073" t="s">
        <v>601</v>
      </c>
      <c r="E446" s="2071"/>
      <c r="F446" s="2071"/>
      <c r="G446" s="2071"/>
      <c r="H446" s="2071"/>
      <c r="I446" s="2071"/>
      <c r="J446" s="2071"/>
      <c r="K446" s="2071"/>
      <c r="L446" s="2071"/>
      <c r="M446" s="2071"/>
      <c r="N446" s="2071"/>
      <c r="O446" s="2071"/>
      <c r="P446" s="2071"/>
      <c r="Q446" s="2071"/>
      <c r="R446" s="2071"/>
      <c r="S446" s="2071"/>
      <c r="T446" s="2071"/>
      <c r="U446" s="2071"/>
      <c r="V446" s="2071"/>
      <c r="W446" s="2071"/>
      <c r="X446" s="2071"/>
      <c r="Y446" s="2071"/>
      <c r="Z446" s="2071"/>
      <c r="AA446" s="2071"/>
      <c r="AB446" s="2071"/>
      <c r="AC446" s="2071"/>
      <c r="AD446" s="2071"/>
      <c r="AE446" s="2071"/>
      <c r="AF446" s="2072"/>
      <c r="AG446" s="2074">
        <v>0</v>
      </c>
      <c r="AH446" s="2074"/>
      <c r="AI446" s="2074"/>
      <c r="AJ446" s="207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19" t="s">
        <v>1412</v>
      </c>
      <c r="E447" s="2071"/>
      <c r="F447" s="2071"/>
      <c r="G447" s="2071"/>
      <c r="H447" s="2071"/>
      <c r="I447" s="2071"/>
      <c r="J447" s="2071"/>
      <c r="K447" s="2071"/>
      <c r="L447" s="2071"/>
      <c r="M447" s="2071"/>
      <c r="N447" s="2071"/>
      <c r="O447" s="2071"/>
      <c r="P447" s="2071"/>
      <c r="Q447" s="2071"/>
      <c r="R447" s="2071"/>
      <c r="S447" s="2071"/>
      <c r="T447" s="2071"/>
      <c r="U447" s="2071"/>
      <c r="V447" s="2071"/>
      <c r="W447" s="2071"/>
      <c r="X447" s="2071"/>
      <c r="Y447" s="2071"/>
      <c r="Z447" s="2071"/>
      <c r="AA447" s="2071"/>
      <c r="AB447" s="2071"/>
      <c r="AC447" s="2071"/>
      <c r="AD447" s="2071"/>
      <c r="AE447" s="2071"/>
      <c r="AF447" s="2072"/>
      <c r="AG447" s="2074">
        <f>167727-140241</f>
        <v>27486</v>
      </c>
      <c r="AH447" s="2074"/>
      <c r="AI447" s="2074"/>
      <c r="AJ447" s="207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19" t="s">
        <v>1151</v>
      </c>
      <c r="E448" s="2071"/>
      <c r="F448" s="2071"/>
      <c r="G448" s="2071"/>
      <c r="H448" s="2071"/>
      <c r="I448" s="2071"/>
      <c r="J448" s="2071"/>
      <c r="K448" s="2071"/>
      <c r="L448" s="2071"/>
      <c r="M448" s="2071"/>
      <c r="N448" s="2071"/>
      <c r="O448" s="2071"/>
      <c r="P448" s="2071"/>
      <c r="Q448" s="2071"/>
      <c r="R448" s="2071"/>
      <c r="S448" s="2071"/>
      <c r="T448" s="2071"/>
      <c r="U448" s="2071"/>
      <c r="V448" s="2071"/>
      <c r="W448" s="2071"/>
      <c r="X448" s="2071"/>
      <c r="Y448" s="2071"/>
      <c r="Z448" s="2071"/>
      <c r="AA448" s="2071"/>
      <c r="AB448" s="2071"/>
      <c r="AC448" s="2071"/>
      <c r="AD448" s="2071"/>
      <c r="AE448" s="2071"/>
      <c r="AF448" s="2072"/>
      <c r="AG448" s="2074">
        <v>0</v>
      </c>
      <c r="AH448" s="2074"/>
      <c r="AI448" s="2074"/>
      <c r="AJ448" s="207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4" t="s">
        <v>1152</v>
      </c>
      <c r="E449" s="2215"/>
      <c r="F449" s="2215"/>
      <c r="G449" s="2215"/>
      <c r="H449" s="2215"/>
      <c r="I449" s="2215"/>
      <c r="J449" s="2215"/>
      <c r="K449" s="2215"/>
      <c r="L449" s="2215"/>
      <c r="M449" s="2215"/>
      <c r="N449" s="2215"/>
      <c r="O449" s="2215"/>
      <c r="P449" s="2215"/>
      <c r="Q449" s="2215"/>
      <c r="R449" s="2215"/>
      <c r="S449" s="2215"/>
      <c r="T449" s="2215"/>
      <c r="U449" s="2215"/>
      <c r="V449" s="2215"/>
      <c r="W449" s="2215"/>
      <c r="X449" s="2215"/>
      <c r="Y449" s="2215"/>
      <c r="Z449" s="2215"/>
      <c r="AA449" s="2215"/>
      <c r="AB449" s="2215"/>
      <c r="AC449" s="2215"/>
      <c r="AD449" s="2215"/>
      <c r="AE449" s="2215"/>
      <c r="AF449" s="2216"/>
      <c r="AG449" s="2103">
        <f>AG441+AG445+AG447+AG448</f>
        <v>167727</v>
      </c>
      <c r="AH449" s="2103"/>
      <c r="AI449" s="2103"/>
      <c r="AJ449" s="210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7" t="s">
        <v>1413</v>
      </c>
      <c r="E450" s="2217"/>
      <c r="F450" s="2217"/>
      <c r="G450" s="2217"/>
      <c r="H450" s="2217"/>
      <c r="I450" s="2217"/>
      <c r="J450" s="2217"/>
      <c r="K450" s="2217"/>
      <c r="L450" s="2217"/>
      <c r="M450" s="2217"/>
      <c r="N450" s="2217"/>
      <c r="O450" s="2217"/>
      <c r="P450" s="2217"/>
      <c r="Q450" s="2217"/>
      <c r="R450" s="2217"/>
      <c r="S450" s="2217"/>
      <c r="T450" s="2217"/>
      <c r="U450" s="2217"/>
      <c r="V450" s="2217"/>
      <c r="W450" s="2217"/>
      <c r="X450" s="2217"/>
      <c r="Y450" s="2217"/>
      <c r="Z450" s="2217"/>
      <c r="AA450" s="2217"/>
      <c r="AB450" s="2217"/>
      <c r="AC450" s="2217"/>
      <c r="AD450" s="2217"/>
      <c r="AE450" s="2217"/>
      <c r="AF450" s="2217"/>
      <c r="AG450" s="2217"/>
      <c r="AH450" s="2217"/>
      <c r="AI450" s="2217"/>
      <c r="AJ450" s="221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8"/>
      <c r="E451" s="2218"/>
      <c r="F451" s="2218"/>
      <c r="G451" s="2218"/>
      <c r="H451" s="2218"/>
      <c r="I451" s="2218"/>
      <c r="J451" s="2218"/>
      <c r="K451" s="2218"/>
      <c r="L451" s="2218"/>
      <c r="M451" s="2218"/>
      <c r="N451" s="2218"/>
      <c r="O451" s="2218"/>
      <c r="P451" s="2218"/>
      <c r="Q451" s="2218"/>
      <c r="R451" s="2218"/>
      <c r="S451" s="2218"/>
      <c r="T451" s="2218"/>
      <c r="U451" s="2218"/>
      <c r="V451" s="2218"/>
      <c r="W451" s="2218"/>
      <c r="X451" s="2218"/>
      <c r="Y451" s="2218"/>
      <c r="Z451" s="2218"/>
      <c r="AA451" s="2218"/>
      <c r="AB451" s="2218"/>
      <c r="AC451" s="2218"/>
      <c r="AD451" s="2218"/>
      <c r="AE451" s="2218"/>
      <c r="AF451" s="2218"/>
      <c r="AG451" s="2218"/>
      <c r="AH451" s="2218"/>
      <c r="AI451" s="2218"/>
      <c r="AJ451" s="221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4">
        <f>'Sources and Uses Budget'!B105/Application!AG436</f>
        <v>602180.02238805965</v>
      </c>
      <c r="AD453" s="2104"/>
      <c r="AE453" s="2104"/>
      <c r="AF453" s="21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4">
        <f>'Sources and Uses Budget'!C105/Application!AG436</f>
        <v>602180.02238805965</v>
      </c>
      <c r="AD454" s="2104"/>
      <c r="AE454" s="2104"/>
      <c r="AF454" s="21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4">
        <f>('Sources and Uses Budget'!$S$107+'Sources and Uses Budget'!$T$107)/Application!AG436</f>
        <v>550815.69402985077</v>
      </c>
      <c r="AD455" s="2104"/>
      <c r="AE455" s="2104"/>
      <c r="AF455" s="21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2" t="s">
        <v>730</v>
      </c>
      <c r="E464" s="2100"/>
      <c r="F464" s="2100"/>
      <c r="G464" s="2100"/>
      <c r="H464" s="2100"/>
      <c r="I464" s="2100"/>
      <c r="J464" s="2100"/>
      <c r="K464" s="2100"/>
      <c r="L464" s="2100"/>
      <c r="M464" s="2100"/>
      <c r="N464" s="2100"/>
      <c r="O464" s="2100"/>
      <c r="P464" s="2100"/>
      <c r="Q464" s="2100"/>
      <c r="R464" s="2100"/>
      <c r="S464" s="2100"/>
      <c r="T464" s="2100"/>
      <c r="U464" s="2100"/>
      <c r="V464" s="2101"/>
      <c r="W464" s="2096">
        <v>0</v>
      </c>
      <c r="X464" s="2097"/>
      <c r="Y464" s="209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2" t="s">
        <v>731</v>
      </c>
      <c r="E465" s="2100"/>
      <c r="F465" s="2100"/>
      <c r="G465" s="2100"/>
      <c r="H465" s="2100"/>
      <c r="I465" s="2100"/>
      <c r="J465" s="2100"/>
      <c r="K465" s="2100"/>
      <c r="L465" s="2100"/>
      <c r="M465" s="2100"/>
      <c r="N465" s="2100"/>
      <c r="O465" s="2100"/>
      <c r="P465" s="2100"/>
      <c r="Q465" s="2100"/>
      <c r="R465" s="2100"/>
      <c r="S465" s="2100"/>
      <c r="T465" s="2100"/>
      <c r="U465" s="2100"/>
      <c r="V465" s="2101"/>
      <c r="W465" s="2096">
        <v>0</v>
      </c>
      <c r="X465" s="2097"/>
      <c r="Y465" s="209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2" t="s">
        <v>732</v>
      </c>
      <c r="E466" s="2100"/>
      <c r="F466" s="2100"/>
      <c r="G466" s="2100"/>
      <c r="H466" s="2100"/>
      <c r="I466" s="2100"/>
      <c r="J466" s="2100"/>
      <c r="K466" s="2100"/>
      <c r="L466" s="2100"/>
      <c r="M466" s="2100"/>
      <c r="N466" s="2100"/>
      <c r="O466" s="2100"/>
      <c r="P466" s="2100"/>
      <c r="Q466" s="2100"/>
      <c r="R466" s="2100"/>
      <c r="S466" s="2100"/>
      <c r="T466" s="2100"/>
      <c r="U466" s="2100"/>
      <c r="V466" s="2101"/>
      <c r="W466" s="2096">
        <v>0</v>
      </c>
      <c r="X466" s="2097"/>
      <c r="Y466" s="209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2" t="s">
        <v>733</v>
      </c>
      <c r="E467" s="2100"/>
      <c r="F467" s="2100"/>
      <c r="G467" s="2100"/>
      <c r="H467" s="2100"/>
      <c r="I467" s="2100"/>
      <c r="J467" s="2100"/>
      <c r="K467" s="2100"/>
      <c r="L467" s="2100"/>
      <c r="M467" s="2100"/>
      <c r="N467" s="2100"/>
      <c r="O467" s="2100"/>
      <c r="P467" s="2100"/>
      <c r="Q467" s="2100"/>
      <c r="R467" s="2100"/>
      <c r="S467" s="2100"/>
      <c r="T467" s="2100"/>
      <c r="U467" s="2100"/>
      <c r="V467" s="2101"/>
      <c r="W467" s="2096">
        <v>0</v>
      </c>
      <c r="X467" s="2097"/>
      <c r="Y467" s="209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2" t="s">
        <v>945</v>
      </c>
      <c r="E468" s="2100"/>
      <c r="F468" s="2100"/>
      <c r="G468" s="2100"/>
      <c r="H468" s="2100"/>
      <c r="I468" s="2100"/>
      <c r="J468" s="2100"/>
      <c r="K468" s="2100"/>
      <c r="L468" s="2100"/>
      <c r="M468" s="2100"/>
      <c r="N468" s="2100"/>
      <c r="O468" s="2100"/>
      <c r="P468" s="2100"/>
      <c r="Q468" s="2100"/>
      <c r="R468" s="2100"/>
      <c r="S468" s="2100"/>
      <c r="T468" s="2100"/>
      <c r="U468" s="2100"/>
      <c r="V468" s="2101"/>
      <c r="W468" s="2096">
        <v>0</v>
      </c>
      <c r="X468" s="2097"/>
      <c r="Y468" s="209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2" t="s">
        <v>734</v>
      </c>
      <c r="E469" s="2100"/>
      <c r="F469" s="2100"/>
      <c r="G469" s="2100"/>
      <c r="H469" s="2100"/>
      <c r="I469" s="2100"/>
      <c r="J469" s="2100"/>
      <c r="K469" s="2100"/>
      <c r="L469" s="2100"/>
      <c r="M469" s="2100"/>
      <c r="N469" s="2100"/>
      <c r="O469" s="2100"/>
      <c r="P469" s="2100"/>
      <c r="Q469" s="2100"/>
      <c r="R469" s="2100"/>
      <c r="S469" s="2100"/>
      <c r="T469" s="2100"/>
      <c r="U469" s="2100"/>
      <c r="V469" s="2101"/>
      <c r="W469" s="2096">
        <v>0</v>
      </c>
      <c r="X469" s="2097"/>
      <c r="Y469" s="209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2" t="s">
        <v>1118</v>
      </c>
      <c r="E470" s="2100"/>
      <c r="F470" s="2100"/>
      <c r="G470" s="2100"/>
      <c r="H470" s="2100"/>
      <c r="I470" s="2100"/>
      <c r="J470" s="2100"/>
      <c r="K470" s="2100"/>
      <c r="L470" s="2100"/>
      <c r="M470" s="2100"/>
      <c r="N470" s="2100"/>
      <c r="O470" s="2100"/>
      <c r="P470" s="2100"/>
      <c r="Q470" s="2100"/>
      <c r="R470" s="2100"/>
      <c r="S470" s="2100"/>
      <c r="T470" s="2100"/>
      <c r="U470" s="2100"/>
      <c r="V470" s="2101"/>
      <c r="W470" s="2096">
        <v>0</v>
      </c>
      <c r="X470" s="2097"/>
      <c r="Y470" s="209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9" t="s">
        <v>2007</v>
      </c>
      <c r="E471" s="2100"/>
      <c r="F471" s="2100"/>
      <c r="G471" s="2100"/>
      <c r="H471" s="2100"/>
      <c r="I471" s="2100"/>
      <c r="J471" s="2100"/>
      <c r="K471" s="2100"/>
      <c r="L471" s="2100"/>
      <c r="M471" s="2100"/>
      <c r="N471" s="2100"/>
      <c r="O471" s="2100"/>
      <c r="P471" s="2100"/>
      <c r="Q471" s="2100"/>
      <c r="R471" s="2100"/>
      <c r="S471" s="2100"/>
      <c r="T471" s="2100"/>
      <c r="U471" s="2100"/>
      <c r="V471" s="2101"/>
      <c r="W471" s="2096">
        <v>14</v>
      </c>
      <c r="X471" s="2097"/>
      <c r="Y471" s="209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3" t="s">
        <v>1154</v>
      </c>
      <c r="H472" s="2094"/>
      <c r="I472" s="2094"/>
      <c r="J472" s="2094"/>
      <c r="K472" s="2094"/>
      <c r="L472" s="2094"/>
      <c r="M472" s="2094"/>
      <c r="N472" s="2094"/>
      <c r="O472" s="2094"/>
      <c r="P472" s="2094"/>
      <c r="Q472" s="2094"/>
      <c r="R472" s="2094"/>
      <c r="S472" s="2094"/>
      <c r="T472" s="2094"/>
      <c r="U472" s="2094"/>
      <c r="V472" s="2095"/>
      <c r="W472" s="2096">
        <v>134</v>
      </c>
      <c r="X472" s="2097"/>
      <c r="Y472" s="209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5" t="s">
        <v>868</v>
      </c>
      <c r="B478" s="2085"/>
      <c r="C478" s="2085"/>
      <c r="D478" s="2085"/>
      <c r="E478" s="2085"/>
      <c r="F478" s="2085"/>
      <c r="G478" s="2085"/>
      <c r="H478" s="2085"/>
      <c r="I478" s="2085"/>
      <c r="J478" s="2085"/>
      <c r="K478" s="2085"/>
      <c r="L478" s="2085"/>
      <c r="M478" s="2085"/>
      <c r="N478" s="2085"/>
      <c r="O478" s="2085"/>
      <c r="P478" s="2085"/>
      <c r="Q478" s="2085"/>
      <c r="R478" s="2085"/>
      <c r="S478" s="2085"/>
      <c r="T478" s="2085"/>
      <c r="U478" s="2085"/>
      <c r="V478" s="2085"/>
      <c r="W478" s="2085"/>
      <c r="X478" s="2085"/>
      <c r="Y478" s="2085"/>
      <c r="Z478" s="2085"/>
      <c r="AA478" s="2085"/>
      <c r="AB478" s="2085"/>
      <c r="AC478" s="2085"/>
      <c r="AD478" s="2085"/>
      <c r="AE478" s="2085"/>
      <c r="AF478" s="2085"/>
      <c r="AG478" s="2085"/>
      <c r="AH478" s="2085"/>
      <c r="AI478" s="2085"/>
      <c r="AJ478" s="2085"/>
      <c r="AK478" s="2085"/>
      <c r="AL478" s="20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6"/>
      <c r="B479" s="2086"/>
      <c r="C479" s="2086"/>
      <c r="D479" s="2086"/>
      <c r="E479" s="2086"/>
      <c r="F479" s="2086"/>
      <c r="G479" s="2086"/>
      <c r="H479" s="2086"/>
      <c r="I479" s="2086"/>
      <c r="J479" s="2086"/>
      <c r="K479" s="2086"/>
      <c r="L479" s="2086"/>
      <c r="M479" s="2086"/>
      <c r="N479" s="2086"/>
      <c r="O479" s="2086"/>
      <c r="P479" s="2086"/>
      <c r="Q479" s="2086"/>
      <c r="R479" s="2086"/>
      <c r="S479" s="2086"/>
      <c r="T479" s="2086"/>
      <c r="U479" s="2086"/>
      <c r="V479" s="2086"/>
      <c r="W479" s="2086"/>
      <c r="X479" s="2086"/>
      <c r="Y479" s="2086"/>
      <c r="Z479" s="2086"/>
      <c r="AA479" s="2086"/>
      <c r="AB479" s="2086"/>
      <c r="AC479" s="2086"/>
      <c r="AD479" s="2086"/>
      <c r="AE479" s="2086"/>
      <c r="AF479" s="2086"/>
      <c r="AG479" s="2086"/>
      <c r="AH479" s="2086"/>
      <c r="AI479" s="2086"/>
      <c r="AJ479" s="2086"/>
      <c r="AK479" s="2086"/>
      <c r="AL479" s="20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2" t="s">
        <v>869</v>
      </c>
      <c r="U483" s="2113"/>
      <c r="V483" s="2113"/>
      <c r="W483" s="2113"/>
      <c r="X483" s="2113"/>
      <c r="Y483" s="2113"/>
      <c r="Z483" s="2113"/>
      <c r="AA483" s="2113"/>
      <c r="AB483" s="2113"/>
      <c r="AC483" s="2113"/>
      <c r="AD483" s="2113"/>
      <c r="AE483" s="2113"/>
      <c r="AF483" s="2113"/>
      <c r="AG483" s="2113"/>
      <c r="AH483" s="211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202" t="s">
        <v>36</v>
      </c>
      <c r="U484" s="2202"/>
      <c r="V484" s="2202"/>
      <c r="W484" s="2202"/>
      <c r="X484" s="2202"/>
      <c r="Y484" s="2202" t="s">
        <v>37</v>
      </c>
      <c r="Z484" s="2202"/>
      <c r="AA484" s="2202"/>
      <c r="AB484" s="2202"/>
      <c r="AC484" s="2202"/>
      <c r="AD484" s="2202" t="s">
        <v>348</v>
      </c>
      <c r="AE484" s="2202"/>
      <c r="AF484" s="2202"/>
      <c r="AG484" s="2202"/>
      <c r="AH484" s="220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202"/>
      <c r="U485" s="2202"/>
      <c r="V485" s="2202"/>
      <c r="W485" s="2202"/>
      <c r="X485" s="2202"/>
      <c r="Y485" s="2202"/>
      <c r="Z485" s="2202"/>
      <c r="AA485" s="2202"/>
      <c r="AB485" s="2202"/>
      <c r="AC485" s="2202"/>
      <c r="AD485" s="2202"/>
      <c r="AE485" s="2202"/>
      <c r="AF485" s="2202"/>
      <c r="AG485" s="2202"/>
      <c r="AH485" s="220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109">
        <v>44362</v>
      </c>
      <c r="U486" s="2110"/>
      <c r="V486" s="2110"/>
      <c r="W486" s="2110"/>
      <c r="X486" s="2111"/>
      <c r="Y486" s="2109">
        <v>44392</v>
      </c>
      <c r="Z486" s="2110"/>
      <c r="AA486" s="2110"/>
      <c r="AB486" s="2110"/>
      <c r="AC486" s="2111"/>
      <c r="AD486" s="2109" t="s">
        <v>2587</v>
      </c>
      <c r="AE486" s="2110"/>
      <c r="AF486" s="2110"/>
      <c r="AG486" s="2110"/>
      <c r="AH486" s="211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9" t="s">
        <v>625</v>
      </c>
      <c r="U487" s="2029"/>
      <c r="V487" s="2029"/>
      <c r="W487" s="2029"/>
      <c r="X487" s="2029"/>
      <c r="Y487" s="2029" t="s">
        <v>625</v>
      </c>
      <c r="Z487" s="2029"/>
      <c r="AA487" s="2029"/>
      <c r="AB487" s="2029"/>
      <c r="AC487" s="2029"/>
      <c r="AD487" s="2029" t="s">
        <v>625</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109" t="s">
        <v>625</v>
      </c>
      <c r="U488" s="2110"/>
      <c r="V488" s="2110"/>
      <c r="W488" s="2110"/>
      <c r="X488" s="2111"/>
      <c r="Y488" s="2109" t="s">
        <v>625</v>
      </c>
      <c r="Z488" s="2110"/>
      <c r="AA488" s="2110"/>
      <c r="AB488" s="2110"/>
      <c r="AC488" s="2111"/>
      <c r="AD488" s="2109" t="s">
        <v>2587</v>
      </c>
      <c r="AE488" s="2110"/>
      <c r="AF488" s="2110"/>
      <c r="AG488" s="2110"/>
      <c r="AH488" s="211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109">
        <v>44362</v>
      </c>
      <c r="U489" s="2110"/>
      <c r="V489" s="2110"/>
      <c r="W489" s="2110"/>
      <c r="X489" s="2111"/>
      <c r="Y489" s="2109">
        <v>44392</v>
      </c>
      <c r="Z489" s="2110"/>
      <c r="AA489" s="2110"/>
      <c r="AB489" s="2110"/>
      <c r="AC489" s="2111"/>
      <c r="AD489" s="2109" t="s">
        <v>2587</v>
      </c>
      <c r="AE489" s="2110"/>
      <c r="AF489" s="2110"/>
      <c r="AG489" s="2110"/>
      <c r="AH489" s="211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9" t="s">
        <v>625</v>
      </c>
      <c r="U490" s="2029"/>
      <c r="V490" s="2029"/>
      <c r="W490" s="2029"/>
      <c r="X490" s="2029"/>
      <c r="Y490" s="2029" t="s">
        <v>625</v>
      </c>
      <c r="Z490" s="2029"/>
      <c r="AA490" s="2029"/>
      <c r="AB490" s="2029"/>
      <c r="AC490" s="2029"/>
      <c r="AD490" s="2029" t="s">
        <v>625</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9" t="s">
        <v>625</v>
      </c>
      <c r="U491" s="2029"/>
      <c r="V491" s="2029"/>
      <c r="W491" s="2029"/>
      <c r="X491" s="2029"/>
      <c r="Y491" s="2029" t="s">
        <v>625</v>
      </c>
      <c r="Z491" s="2029"/>
      <c r="AA491" s="2029"/>
      <c r="AB491" s="2029"/>
      <c r="AC491" s="2029"/>
      <c r="AD491" s="2029" t="s">
        <v>625</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109">
        <v>44392</v>
      </c>
      <c r="U492" s="2110"/>
      <c r="V492" s="2110"/>
      <c r="W492" s="2110"/>
      <c r="X492" s="2111"/>
      <c r="Y492" s="2109">
        <v>44454</v>
      </c>
      <c r="Z492" s="2110"/>
      <c r="AA492" s="2110"/>
      <c r="AB492" s="2110"/>
      <c r="AC492" s="2111"/>
      <c r="AD492" s="2109" t="s">
        <v>2587</v>
      </c>
      <c r="AE492" s="2110"/>
      <c r="AF492" s="2110"/>
      <c r="AG492" s="2110"/>
      <c r="AH492" s="211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29" t="s">
        <v>625</v>
      </c>
      <c r="U493" s="2029"/>
      <c r="V493" s="2029"/>
      <c r="W493" s="2029"/>
      <c r="X493" s="2029"/>
      <c r="Y493" s="2029" t="s">
        <v>625</v>
      </c>
      <c r="Z493" s="2029"/>
      <c r="AA493" s="2029"/>
      <c r="AB493" s="2029"/>
      <c r="AC493" s="2029"/>
      <c r="AD493" s="2029" t="s">
        <v>625</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29" t="s">
        <v>625</v>
      </c>
      <c r="U494" s="2029"/>
      <c r="V494" s="2029"/>
      <c r="W494" s="2029"/>
      <c r="X494" s="2029"/>
      <c r="Y494" s="2029" t="s">
        <v>625</v>
      </c>
      <c r="Z494" s="2029"/>
      <c r="AA494" s="2029"/>
      <c r="AB494" s="2029"/>
      <c r="AC494" s="2029"/>
      <c r="AD494" s="2029" t="s">
        <v>625</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29" t="s">
        <v>625</v>
      </c>
      <c r="U495" s="2029"/>
      <c r="V495" s="2029"/>
      <c r="W495" s="2029"/>
      <c r="X495" s="2029"/>
      <c r="Y495" s="2029" t="s">
        <v>625</v>
      </c>
      <c r="Z495" s="2029"/>
      <c r="AA495" s="2029"/>
      <c r="AB495" s="2029"/>
      <c r="AC495" s="2029"/>
      <c r="AD495" s="2029" t="s">
        <v>625</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5" t="s">
        <v>413</v>
      </c>
      <c r="R497" s="2156"/>
      <c r="S497" s="2156"/>
      <c r="T497" s="2156"/>
      <c r="U497" s="2156"/>
      <c r="V497" s="2156"/>
      <c r="W497" s="2156"/>
      <c r="X497" s="2156"/>
      <c r="Y497" s="2156"/>
      <c r="Z497" s="2156"/>
      <c r="AA497" s="2156"/>
      <c r="AB497" s="2156"/>
      <c r="AC497" s="2156"/>
      <c r="AD497" s="2156"/>
      <c r="AE497" s="2156"/>
      <c r="AF497" s="2156"/>
      <c r="AG497" s="2156"/>
      <c r="AH497" s="2156"/>
      <c r="AI497" s="2156"/>
      <c r="AJ497" s="2156"/>
      <c r="AK497" s="215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61" t="s">
        <v>2588</v>
      </c>
      <c r="R498" s="2041"/>
      <c r="S498" s="2041"/>
      <c r="T498" s="2041"/>
      <c r="U498" s="2041"/>
      <c r="V498" s="2041"/>
      <c r="W498" s="2041"/>
      <c r="X498" s="2041"/>
      <c r="Y498" s="2041"/>
      <c r="Z498" s="2041"/>
      <c r="AA498" s="2041"/>
      <c r="AB498" s="2041"/>
      <c r="AC498" s="2041"/>
      <c r="AD498" s="2041"/>
      <c r="AE498" s="2041"/>
      <c r="AF498" s="2041"/>
      <c r="AG498" s="2041"/>
      <c r="AH498" s="2041"/>
      <c r="AI498" s="2041"/>
      <c r="AJ498" s="2041"/>
      <c r="AK498" s="211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61" t="s">
        <v>2589</v>
      </c>
      <c r="R499" s="2041"/>
      <c r="S499" s="2041"/>
      <c r="T499" s="2041"/>
      <c r="U499" s="2041"/>
      <c r="V499" s="2041"/>
      <c r="W499" s="2041"/>
      <c r="X499" s="2041"/>
      <c r="Y499" s="2041"/>
      <c r="Z499" s="2041"/>
      <c r="AA499" s="2041"/>
      <c r="AB499" s="2041"/>
      <c r="AC499" s="2041"/>
      <c r="AD499" s="2041"/>
      <c r="AE499" s="2041"/>
      <c r="AF499" s="2041"/>
      <c r="AG499" s="2041"/>
      <c r="AH499" s="2041"/>
      <c r="AI499" s="2041"/>
      <c r="AJ499" s="2041"/>
      <c r="AK499" s="211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83" t="s">
        <v>2590</v>
      </c>
      <c r="R500" s="2041"/>
      <c r="S500" s="2041"/>
      <c r="T500" s="2041"/>
      <c r="U500" s="2041"/>
      <c r="V500" s="2041"/>
      <c r="W500" s="2041"/>
      <c r="X500" s="2041"/>
      <c r="Y500" s="2041"/>
      <c r="Z500" s="2041"/>
      <c r="AA500" s="2041"/>
      <c r="AB500" s="2041"/>
      <c r="AC500" s="2041"/>
      <c r="AD500" s="2041"/>
      <c r="AE500" s="2041"/>
      <c r="AF500" s="2041"/>
      <c r="AG500" s="2041"/>
      <c r="AH500" s="2041"/>
      <c r="AI500" s="2041"/>
      <c r="AJ500" s="2041"/>
      <c r="AK500" s="211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3" t="s">
        <v>417</v>
      </c>
      <c r="C501" s="2204"/>
      <c r="D501" s="2204"/>
      <c r="E501" s="2204"/>
      <c r="F501" s="2204"/>
      <c r="G501" s="2204"/>
      <c r="H501" s="2204"/>
      <c r="I501" s="2204"/>
      <c r="J501" s="2204"/>
      <c r="K501" s="2204"/>
      <c r="L501" s="2204"/>
      <c r="M501" s="2204"/>
      <c r="N501" s="2204"/>
      <c r="O501" s="2204"/>
      <c r="P501" s="2205"/>
      <c r="Q501" s="2179" t="s">
        <v>705</v>
      </c>
      <c r="R501" s="2180"/>
      <c r="S501" s="2406" t="s">
        <v>171</v>
      </c>
      <c r="T501" s="2407"/>
      <c r="U501" s="2407"/>
      <c r="V501" s="2407"/>
      <c r="W501" s="2407"/>
      <c r="X501" s="2407"/>
      <c r="Y501" s="2407"/>
      <c r="Z501" s="2407"/>
      <c r="AA501" s="2407"/>
      <c r="AB501" s="2407"/>
      <c r="AC501" s="2407"/>
      <c r="AD501" s="2407"/>
      <c r="AE501" s="2407"/>
      <c r="AF501" s="2407"/>
      <c r="AG501" s="2407"/>
      <c r="AH501" s="2407"/>
      <c r="AI501" s="2407"/>
      <c r="AJ501" s="2407"/>
      <c r="AK501" s="24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06"/>
      <c r="C502" s="2207"/>
      <c r="D502" s="2207"/>
      <c r="E502" s="2207"/>
      <c r="F502" s="2207"/>
      <c r="G502" s="2207"/>
      <c r="H502" s="2207"/>
      <c r="I502" s="2207"/>
      <c r="J502" s="2207"/>
      <c r="K502" s="2207"/>
      <c r="L502" s="2207"/>
      <c r="M502" s="2207"/>
      <c r="N502" s="2207"/>
      <c r="O502" s="2207"/>
      <c r="P502" s="2208"/>
      <c r="Q502" s="2181"/>
      <c r="R502" s="2182"/>
      <c r="S502" s="2409"/>
      <c r="T502" s="2410"/>
      <c r="U502" s="2410"/>
      <c r="V502" s="2410"/>
      <c r="W502" s="2410"/>
      <c r="X502" s="2410"/>
      <c r="Y502" s="2410"/>
      <c r="Z502" s="2410"/>
      <c r="AA502" s="2410"/>
      <c r="AB502" s="2410"/>
      <c r="AC502" s="2410"/>
      <c r="AD502" s="2410"/>
      <c r="AE502" s="2410"/>
      <c r="AF502" s="2410"/>
      <c r="AG502" s="2410"/>
      <c r="AH502" s="2410"/>
      <c r="AI502" s="2410"/>
      <c r="AJ502" s="2410"/>
      <c r="AK502" s="24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080" t="s">
        <v>2591</v>
      </c>
      <c r="R503" s="2081"/>
      <c r="S503" s="2081"/>
      <c r="T503" s="2081"/>
      <c r="U503" s="2081"/>
      <c r="V503" s="2081"/>
      <c r="W503" s="2081"/>
      <c r="X503" s="2081"/>
      <c r="Y503" s="2081"/>
      <c r="Z503" s="2081"/>
      <c r="AA503" s="2081"/>
      <c r="AB503" s="2081"/>
      <c r="AC503" s="2081"/>
      <c r="AD503" s="2081"/>
      <c r="AE503" s="2081"/>
      <c r="AF503" s="2081"/>
      <c r="AG503" s="2081"/>
      <c r="AH503" s="2081"/>
      <c r="AI503" s="2081"/>
      <c r="AJ503" s="2081"/>
      <c r="AK503" s="208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418</v>
      </c>
      <c r="C504" s="77"/>
      <c r="D504" s="77"/>
      <c r="E504" s="77"/>
      <c r="F504" s="77"/>
      <c r="G504" s="77"/>
      <c r="H504" s="77"/>
      <c r="I504" s="77"/>
      <c r="J504" s="77"/>
      <c r="K504" s="77"/>
      <c r="L504" s="77"/>
      <c r="M504" s="77"/>
      <c r="N504" s="77"/>
      <c r="O504" s="77"/>
      <c r="P504" s="77"/>
      <c r="Q504" s="2183" t="s">
        <v>2592</v>
      </c>
      <c r="R504" s="2041"/>
      <c r="S504" s="2041"/>
      <c r="T504" s="2041"/>
      <c r="U504" s="2041"/>
      <c r="V504" s="2041"/>
      <c r="W504" s="2041"/>
      <c r="X504" s="2041"/>
      <c r="Y504" s="2041"/>
      <c r="Z504" s="2041"/>
      <c r="AA504" s="2041"/>
      <c r="AB504" s="2041"/>
      <c r="AC504" s="2041"/>
      <c r="AD504" s="2041"/>
      <c r="AE504" s="2041"/>
      <c r="AF504" s="2041"/>
      <c r="AG504" s="2041"/>
      <c r="AH504" s="2041"/>
      <c r="AI504" s="2041"/>
      <c r="AJ504" s="2041"/>
      <c r="AK504" s="211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61" t="s">
        <v>2647</v>
      </c>
      <c r="R505" s="2041"/>
      <c r="S505" s="2041"/>
      <c r="T505" s="2041"/>
      <c r="U505" s="2041"/>
      <c r="V505" s="2041"/>
      <c r="W505" s="2041"/>
      <c r="X505" s="2041"/>
      <c r="Y505" s="2041"/>
      <c r="Z505" s="2041"/>
      <c r="AA505" s="2041"/>
      <c r="AB505" s="2041"/>
      <c r="AC505" s="2041"/>
      <c r="AD505" s="2041"/>
      <c r="AE505" s="2041"/>
      <c r="AF505" s="2041"/>
      <c r="AG505" s="2041"/>
      <c r="AH505" s="2041"/>
      <c r="AI505" s="2041"/>
      <c r="AJ505" s="2041"/>
      <c r="AK505" s="211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5">
        <v>145</v>
      </c>
      <c r="R506" s="2041"/>
      <c r="S506" s="2041"/>
      <c r="T506" s="2041"/>
      <c r="U506" s="2041"/>
      <c r="V506" s="2041"/>
      <c r="W506" s="2041"/>
      <c r="X506" s="2041"/>
      <c r="Y506" s="2041"/>
      <c r="Z506" s="2041"/>
      <c r="AA506" s="2041"/>
      <c r="AB506" s="2041"/>
      <c r="AC506" s="2041"/>
      <c r="AD506" s="2041"/>
      <c r="AE506" s="2041"/>
      <c r="AF506" s="2041"/>
      <c r="AG506" s="2041"/>
      <c r="AH506" s="2041"/>
      <c r="AI506" s="2041"/>
      <c r="AJ506" s="2041"/>
      <c r="AK506" s="211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36"/>
      <c r="N507" s="2137"/>
      <c r="O507" s="2137"/>
      <c r="P507" s="2138"/>
      <c r="Q507" s="1521" t="s">
        <v>2026</v>
      </c>
      <c r="R507" s="1522"/>
      <c r="S507" s="1522"/>
      <c r="T507" s="1522"/>
      <c r="U507" s="1522"/>
      <c r="V507" s="1522"/>
      <c r="W507" s="1522"/>
      <c r="X507" s="1522"/>
      <c r="Y507" s="1522"/>
      <c r="Z507" s="1522"/>
      <c r="AA507" s="1522"/>
      <c r="AB507" s="1522"/>
      <c r="AC507" s="1522"/>
      <c r="AD507" s="1522"/>
      <c r="AE507" s="1522"/>
      <c r="AF507" s="1522"/>
      <c r="AG507" s="1522"/>
      <c r="AH507" s="2136">
        <v>145</v>
      </c>
      <c r="AI507" s="2137"/>
      <c r="AJ507" s="2137"/>
      <c r="AK507" s="21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5" t="s">
        <v>421</v>
      </c>
      <c r="AD511" s="2156"/>
      <c r="AE511" s="2156"/>
      <c r="AF511" s="2156"/>
      <c r="AG511" s="2156"/>
      <c r="AH511" s="2156"/>
      <c r="AI511" s="2156"/>
      <c r="AJ511" s="2156"/>
      <c r="AK511" s="215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2" t="s">
        <v>422</v>
      </c>
      <c r="AD512" s="2113"/>
      <c r="AE512" s="2113"/>
      <c r="AF512" s="2113"/>
      <c r="AG512" s="82" t="s">
        <v>423</v>
      </c>
      <c r="AH512" s="2113" t="s">
        <v>424</v>
      </c>
      <c r="AI512" s="2113"/>
      <c r="AJ512" s="2113"/>
      <c r="AK512" s="211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2" t="s">
        <v>425</v>
      </c>
      <c r="C513" s="2023"/>
      <c r="D513" s="2023"/>
      <c r="E513" s="2023"/>
      <c r="F513" s="2023"/>
      <c r="G513" s="2023"/>
      <c r="H513" s="2024"/>
      <c r="I513" s="72" t="s">
        <v>426</v>
      </c>
      <c r="J513" s="72"/>
      <c r="K513" s="72"/>
      <c r="L513" s="72"/>
      <c r="M513" s="72"/>
      <c r="N513" s="72"/>
      <c r="O513" s="72"/>
      <c r="P513" s="72"/>
      <c r="Q513" s="72"/>
      <c r="R513" s="72"/>
      <c r="S513" s="72"/>
      <c r="T513" s="72"/>
      <c r="U513" s="72"/>
      <c r="V513" s="72"/>
      <c r="W513" s="72"/>
      <c r="X513" s="25"/>
      <c r="Y513" s="25"/>
      <c r="AC513" s="2170">
        <v>7</v>
      </c>
      <c r="AD513" s="2064"/>
      <c r="AE513" s="2064"/>
      <c r="AF513" s="2064"/>
      <c r="AG513" s="75" t="s">
        <v>423</v>
      </c>
      <c r="AH513" s="2060">
        <v>2021</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5"/>
      <c r="C514" s="2026"/>
      <c r="D514" s="2026"/>
      <c r="E514" s="2026"/>
      <c r="F514" s="2026"/>
      <c r="G514" s="2026"/>
      <c r="H514" s="2027"/>
      <c r="I514" s="80" t="s">
        <v>427</v>
      </c>
      <c r="J514" s="80"/>
      <c r="K514" s="80"/>
      <c r="L514" s="80"/>
      <c r="M514" s="80"/>
      <c r="N514" s="80"/>
      <c r="O514" s="80"/>
      <c r="P514" s="80"/>
      <c r="Q514" s="80"/>
      <c r="R514" s="80"/>
      <c r="S514" s="80"/>
      <c r="T514" s="80"/>
      <c r="U514" s="80"/>
      <c r="V514" s="80"/>
      <c r="W514" s="80"/>
      <c r="X514" s="80"/>
      <c r="Y514" s="80"/>
      <c r="Z514" s="80"/>
      <c r="AA514" s="80"/>
      <c r="AB514" s="80"/>
      <c r="AC514" s="2170">
        <v>2</v>
      </c>
      <c r="AD514" s="2064"/>
      <c r="AE514" s="2064"/>
      <c r="AF514" s="2064"/>
      <c r="AG514" s="65" t="s">
        <v>423</v>
      </c>
      <c r="AH514" s="2060">
        <v>2022</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2" t="s">
        <v>428</v>
      </c>
      <c r="C515" s="2023"/>
      <c r="D515" s="2023"/>
      <c r="E515" s="2023"/>
      <c r="F515" s="2023"/>
      <c r="G515" s="2023"/>
      <c r="H515" s="2024"/>
      <c r="I515" s="72" t="s">
        <v>429</v>
      </c>
      <c r="J515" s="72"/>
      <c r="K515" s="72"/>
      <c r="L515" s="72"/>
      <c r="M515" s="72"/>
      <c r="N515" s="72"/>
      <c r="O515" s="72"/>
      <c r="P515" s="72"/>
      <c r="Q515" s="72"/>
      <c r="R515" s="72"/>
      <c r="S515" s="72"/>
      <c r="T515" s="72"/>
      <c r="U515" s="72"/>
      <c r="V515" s="72"/>
      <c r="W515" s="72"/>
      <c r="X515" s="25"/>
      <c r="Y515" s="25"/>
      <c r="AC515" s="2170" t="s">
        <v>625</v>
      </c>
      <c r="AD515" s="2064"/>
      <c r="AE515" s="2064"/>
      <c r="AF515" s="2064"/>
      <c r="AG515" s="75" t="s">
        <v>423</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5"/>
      <c r="C516" s="2026"/>
      <c r="D516" s="2026"/>
      <c r="E516" s="2026"/>
      <c r="F516" s="2026"/>
      <c r="G516" s="2026"/>
      <c r="H516" s="2027"/>
      <c r="I516" s="25" t="s">
        <v>430</v>
      </c>
      <c r="J516" s="25"/>
      <c r="K516" s="25"/>
      <c r="L516" s="25"/>
      <c r="M516" s="25"/>
      <c r="N516" s="25"/>
      <c r="O516" s="25"/>
      <c r="P516" s="25"/>
      <c r="Q516" s="25"/>
      <c r="R516" s="25"/>
      <c r="S516" s="25"/>
      <c r="T516" s="25"/>
      <c r="U516" s="25"/>
      <c r="V516" s="25"/>
      <c r="W516" s="25"/>
      <c r="X516" s="25"/>
      <c r="Y516" s="25"/>
      <c r="AC516" s="2170" t="s">
        <v>625</v>
      </c>
      <c r="AD516" s="2064"/>
      <c r="AE516" s="2064"/>
      <c r="AF516" s="2064"/>
      <c r="AG516" s="75" t="s">
        <v>423</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5"/>
      <c r="C517" s="2026"/>
      <c r="D517" s="2026"/>
      <c r="E517" s="2026"/>
      <c r="F517" s="2026"/>
      <c r="G517" s="2026"/>
      <c r="H517" s="2027"/>
      <c r="I517" s="25" t="s">
        <v>431</v>
      </c>
      <c r="J517" s="25"/>
      <c r="K517" s="25"/>
      <c r="L517" s="25"/>
      <c r="M517" s="25"/>
      <c r="N517" s="25"/>
      <c r="O517" s="25"/>
      <c r="P517" s="25"/>
      <c r="Q517" s="25"/>
      <c r="R517" s="25"/>
      <c r="S517" s="25"/>
      <c r="T517" s="25"/>
      <c r="U517" s="25"/>
      <c r="V517" s="25"/>
      <c r="W517" s="25"/>
      <c r="X517" s="25"/>
      <c r="Y517" s="25"/>
      <c r="AC517" s="2170">
        <v>9</v>
      </c>
      <c r="AD517" s="2064"/>
      <c r="AE517" s="2064"/>
      <c r="AF517" s="2064"/>
      <c r="AG517" s="75" t="s">
        <v>423</v>
      </c>
      <c r="AH517" s="2060">
        <v>2021</v>
      </c>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5"/>
      <c r="C518" s="2026"/>
      <c r="D518" s="2026"/>
      <c r="E518" s="2026"/>
      <c r="F518" s="2026"/>
      <c r="G518" s="2026"/>
      <c r="H518" s="2027"/>
      <c r="I518" s="25" t="s">
        <v>432</v>
      </c>
      <c r="J518" s="25"/>
      <c r="K518" s="25"/>
      <c r="L518" s="25"/>
      <c r="M518" s="25"/>
      <c r="N518" s="25"/>
      <c r="O518" s="25"/>
      <c r="P518" s="25"/>
      <c r="Q518" s="25"/>
      <c r="R518" s="25"/>
      <c r="S518" s="25"/>
      <c r="T518" s="25"/>
      <c r="U518" s="25"/>
      <c r="V518" s="25"/>
      <c r="W518" s="25"/>
      <c r="X518" s="25"/>
      <c r="Y518" s="25"/>
      <c r="AC518" s="2170">
        <v>10</v>
      </c>
      <c r="AD518" s="2064"/>
      <c r="AE518" s="2064"/>
      <c r="AF518" s="2064"/>
      <c r="AG518" s="75" t="s">
        <v>423</v>
      </c>
      <c r="AH518" s="2060">
        <v>2021</v>
      </c>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5"/>
      <c r="C519" s="2026"/>
      <c r="D519" s="2026"/>
      <c r="E519" s="2026"/>
      <c r="F519" s="2026"/>
      <c r="G519" s="2026"/>
      <c r="H519" s="2027"/>
      <c r="I519" s="177" t="s">
        <v>433</v>
      </c>
      <c r="J519" s="25"/>
      <c r="K519" s="25"/>
      <c r="L519" s="25"/>
      <c r="M519" s="25"/>
      <c r="N519" s="25"/>
      <c r="O519" s="25"/>
      <c r="P519" s="25"/>
      <c r="Q519" s="25"/>
      <c r="R519" s="25"/>
      <c r="S519" s="25"/>
      <c r="T519" s="25"/>
      <c r="U519" s="25"/>
      <c r="V519" s="25"/>
      <c r="W519" s="25"/>
      <c r="X519" s="25"/>
      <c r="Y519" s="25"/>
      <c r="AC519" s="2045">
        <v>10</v>
      </c>
      <c r="AD519" s="2046"/>
      <c r="AE519" s="2046"/>
      <c r="AF519" s="2046"/>
      <c r="AG519" s="75" t="s">
        <v>423</v>
      </c>
      <c r="AH519" s="2060">
        <v>2021</v>
      </c>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5"/>
      <c r="C520" s="2026"/>
      <c r="D520" s="2026"/>
      <c r="E520" s="2026"/>
      <c r="F520" s="2026"/>
      <c r="G520" s="2026"/>
      <c r="H520" s="2027"/>
      <c r="I520" s="1524" t="s">
        <v>175</v>
      </c>
      <c r="J520" s="80"/>
      <c r="K520" s="80"/>
      <c r="L520" s="2168" t="s">
        <v>343</v>
      </c>
      <c r="M520" s="2105"/>
      <c r="N520" s="2105"/>
      <c r="O520" s="2105"/>
      <c r="P520" s="2105"/>
      <c r="Q520" s="2105"/>
      <c r="R520" s="2105"/>
      <c r="S520" s="2105"/>
      <c r="T520" s="2105"/>
      <c r="U520" s="2105"/>
      <c r="V520" s="2105"/>
      <c r="W520" s="2105"/>
      <c r="X520" s="2105"/>
      <c r="Y520" s="2105"/>
      <c r="Z520" s="2105"/>
      <c r="AA520" s="2105"/>
      <c r="AB520" s="2169"/>
      <c r="AC520" s="2170" t="s">
        <v>625</v>
      </c>
      <c r="AD520" s="2064"/>
      <c r="AE520" s="2064"/>
      <c r="AF520" s="2064"/>
      <c r="AG520" s="1495" t="s">
        <v>423</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6" t="s">
        <v>1383</v>
      </c>
      <c r="AD521" s="2056"/>
      <c r="AE521" s="2056"/>
      <c r="AF521" s="2056"/>
      <c r="AG521" s="1787"/>
      <c r="AH521" s="2043"/>
      <c r="AI521" s="2043"/>
      <c r="AJ521" s="2043"/>
      <c r="AK521" s="204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5"/>
      <c r="AD522" s="2046"/>
      <c r="AE522" s="2046"/>
      <c r="AF522" s="2047"/>
      <c r="AG522" s="1787"/>
      <c r="AH522" s="2043"/>
      <c r="AI522" s="2043"/>
      <c r="AJ522" s="2043"/>
      <c r="AK522" s="204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8"/>
      <c r="AD524" s="2049"/>
      <c r="AE524" s="2049"/>
      <c r="AF524" s="2050"/>
      <c r="AG524" s="1788"/>
      <c r="AH524" s="2051"/>
      <c r="AI524" s="2051"/>
      <c r="AJ524" s="2051"/>
      <c r="AK524" s="205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8" t="s">
        <v>422</v>
      </c>
      <c r="AD525" s="2159"/>
      <c r="AE525" s="2159"/>
      <c r="AF525" s="2159"/>
      <c r="AG525" s="1788" t="s">
        <v>423</v>
      </c>
      <c r="AH525" s="2159" t="s">
        <v>424</v>
      </c>
      <c r="AI525" s="2159"/>
      <c r="AJ525" s="2159"/>
      <c r="AK525" s="216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2" t="s">
        <v>434</v>
      </c>
      <c r="C526" s="2023"/>
      <c r="D526" s="2023"/>
      <c r="E526" s="2023"/>
      <c r="F526" s="2023"/>
      <c r="G526" s="2023"/>
      <c r="H526" s="2024"/>
      <c r="I526" s="72" t="s">
        <v>435</v>
      </c>
      <c r="J526" s="72"/>
      <c r="K526" s="72"/>
      <c r="L526" s="72"/>
      <c r="M526" s="72"/>
      <c r="N526" s="72"/>
      <c r="O526" s="72"/>
      <c r="P526" s="72"/>
      <c r="Q526" s="72"/>
      <c r="R526" s="72"/>
      <c r="S526" s="72"/>
      <c r="T526" s="72"/>
      <c r="U526" s="72"/>
      <c r="V526" s="72"/>
      <c r="W526" s="72"/>
      <c r="X526" s="25"/>
      <c r="Y526" s="25"/>
      <c r="AC526" s="2170">
        <v>5</v>
      </c>
      <c r="AD526" s="2064"/>
      <c r="AE526" s="2064"/>
      <c r="AF526" s="2064"/>
      <c r="AG526" s="75" t="s">
        <v>423</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436</v>
      </c>
      <c r="J527" s="25"/>
      <c r="K527" s="25"/>
      <c r="L527" s="25"/>
      <c r="M527" s="25"/>
      <c r="N527" s="25"/>
      <c r="O527" s="25"/>
      <c r="P527" s="25"/>
      <c r="Q527" s="25"/>
      <c r="R527" s="25"/>
      <c r="S527" s="25"/>
      <c r="T527" s="25"/>
      <c r="U527" s="25"/>
      <c r="V527" s="25"/>
      <c r="W527" s="25"/>
      <c r="X527" s="25"/>
      <c r="Y527" s="25"/>
      <c r="AC527" s="2170">
        <v>8</v>
      </c>
      <c r="AD527" s="2064"/>
      <c r="AE527" s="2064"/>
      <c r="AF527" s="2064"/>
      <c r="AG527" s="75" t="s">
        <v>423</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5"/>
      <c r="C528" s="2026"/>
      <c r="D528" s="2026"/>
      <c r="E528" s="2026"/>
      <c r="F528" s="2026"/>
      <c r="G528" s="2026"/>
      <c r="H528" s="2027"/>
      <c r="I528" s="80" t="s">
        <v>437</v>
      </c>
      <c r="J528" s="80"/>
      <c r="K528" s="80"/>
      <c r="L528" s="80"/>
      <c r="M528" s="80"/>
      <c r="N528" s="80"/>
      <c r="O528" s="80"/>
      <c r="P528" s="80"/>
      <c r="Q528" s="80"/>
      <c r="R528" s="80"/>
      <c r="S528" s="80"/>
      <c r="T528" s="80"/>
      <c r="U528" s="80"/>
      <c r="V528" s="80"/>
      <c r="W528" s="80"/>
      <c r="X528" s="80"/>
      <c r="Y528" s="80"/>
      <c r="Z528" s="80"/>
      <c r="AA528" s="80"/>
      <c r="AB528" s="80"/>
      <c r="AC528" s="2170">
        <v>2</v>
      </c>
      <c r="AD528" s="2064"/>
      <c r="AE528" s="2064"/>
      <c r="AF528" s="2064"/>
      <c r="AG528" s="65" t="s">
        <v>423</v>
      </c>
      <c r="AH528" s="2060">
        <v>2022</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2" t="s">
        <v>438</v>
      </c>
      <c r="C529" s="2023"/>
      <c r="D529" s="2023"/>
      <c r="E529" s="2023"/>
      <c r="F529" s="2023"/>
      <c r="G529" s="2023"/>
      <c r="H529" s="2024"/>
      <c r="I529" s="72" t="s">
        <v>435</v>
      </c>
      <c r="J529" s="72"/>
      <c r="K529" s="72"/>
      <c r="L529" s="72"/>
      <c r="M529" s="72"/>
      <c r="N529" s="72"/>
      <c r="O529" s="72"/>
      <c r="P529" s="72"/>
      <c r="Q529" s="72"/>
      <c r="R529" s="72"/>
      <c r="S529" s="72"/>
      <c r="T529" s="72"/>
      <c r="U529" s="72"/>
      <c r="V529" s="72"/>
      <c r="W529" s="72"/>
      <c r="X529" s="72"/>
      <c r="Y529" s="72"/>
      <c r="Z529" s="72"/>
      <c r="AA529" s="72"/>
      <c r="AB529" s="72"/>
      <c r="AC529" s="2045">
        <v>5</v>
      </c>
      <c r="AD529" s="2046"/>
      <c r="AE529" s="2046"/>
      <c r="AF529" s="2046"/>
      <c r="AG529" s="196" t="s">
        <v>423</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5"/>
      <c r="C530" s="2026"/>
      <c r="D530" s="2026"/>
      <c r="E530" s="2026"/>
      <c r="F530" s="2026"/>
      <c r="G530" s="2026"/>
      <c r="H530" s="2027"/>
      <c r="I530" s="25" t="s">
        <v>436</v>
      </c>
      <c r="J530" s="25"/>
      <c r="K530" s="25"/>
      <c r="L530" s="25"/>
      <c r="M530" s="25"/>
      <c r="N530" s="25"/>
      <c r="O530" s="25"/>
      <c r="P530" s="25"/>
      <c r="Q530" s="25"/>
      <c r="R530" s="25"/>
      <c r="S530" s="25"/>
      <c r="T530" s="25"/>
      <c r="U530" s="25"/>
      <c r="V530" s="25"/>
      <c r="W530" s="25"/>
      <c r="X530" s="25"/>
      <c r="Y530" s="25"/>
      <c r="Z530" s="25"/>
      <c r="AA530" s="25"/>
      <c r="AB530" s="25"/>
      <c r="AC530" s="2170">
        <v>8</v>
      </c>
      <c r="AD530" s="2064"/>
      <c r="AE530" s="2064"/>
      <c r="AF530" s="2064"/>
      <c r="AG530" s="75" t="s">
        <v>423</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6"/>
      <c r="C531" s="2187"/>
      <c r="D531" s="2187"/>
      <c r="E531" s="2187"/>
      <c r="F531" s="2187"/>
      <c r="G531" s="2187"/>
      <c r="H531" s="2188"/>
      <c r="I531" s="80" t="s">
        <v>437</v>
      </c>
      <c r="J531" s="80"/>
      <c r="K531" s="80"/>
      <c r="L531" s="80"/>
      <c r="M531" s="80"/>
      <c r="N531" s="80"/>
      <c r="O531" s="80"/>
      <c r="P531" s="80"/>
      <c r="Q531" s="80"/>
      <c r="R531" s="80"/>
      <c r="S531" s="80"/>
      <c r="T531" s="80"/>
      <c r="U531" s="80"/>
      <c r="V531" s="80"/>
      <c r="W531" s="80"/>
      <c r="X531" s="80"/>
      <c r="Y531" s="80"/>
      <c r="Z531" s="80"/>
      <c r="AA531" s="80"/>
      <c r="AB531" s="80"/>
      <c r="AC531" s="2170">
        <v>8</v>
      </c>
      <c r="AD531" s="2064"/>
      <c r="AE531" s="2064"/>
      <c r="AF531" s="2064"/>
      <c r="AG531" s="65" t="s">
        <v>423</v>
      </c>
      <c r="AH531" s="2060">
        <v>2023</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2" t="s">
        <v>439</v>
      </c>
      <c r="C532" s="2023"/>
      <c r="D532" s="2023"/>
      <c r="E532" s="2023"/>
      <c r="F532" s="2023"/>
      <c r="G532" s="2023"/>
      <c r="H532" s="2024"/>
      <c r="I532" s="71" t="s">
        <v>440</v>
      </c>
      <c r="J532" s="72"/>
      <c r="K532" s="72"/>
      <c r="L532" s="72"/>
      <c r="M532" s="72"/>
      <c r="N532" s="72"/>
      <c r="O532" s="2040" t="s">
        <v>2602</v>
      </c>
      <c r="P532" s="2041"/>
      <c r="Q532" s="2041"/>
      <c r="R532" s="2041"/>
      <c r="S532" s="2041"/>
      <c r="T532" s="2041"/>
      <c r="U532" s="2041"/>
      <c r="V532" s="2041"/>
      <c r="W532" s="2041"/>
      <c r="X532" s="2041"/>
      <c r="Y532" s="2041"/>
      <c r="Z532" s="2041"/>
      <c r="AA532" s="2041"/>
      <c r="AB532" s="94"/>
      <c r="AC532" s="2045" t="s">
        <v>625</v>
      </c>
      <c r="AD532" s="2046"/>
      <c r="AE532" s="2046"/>
      <c r="AF532" s="2046"/>
      <c r="AG532" s="196" t="s">
        <v>423</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5"/>
      <c r="C533" s="2026"/>
      <c r="D533" s="2026"/>
      <c r="E533" s="2026"/>
      <c r="F533" s="2026"/>
      <c r="G533" s="2026"/>
      <c r="H533" s="2027"/>
      <c r="I533" s="171" t="s">
        <v>441</v>
      </c>
      <c r="J533" s="25"/>
      <c r="K533" s="25"/>
      <c r="L533" s="25"/>
      <c r="M533" s="25"/>
      <c r="N533" s="25"/>
      <c r="O533" s="25"/>
      <c r="P533" s="25"/>
      <c r="Q533" s="25"/>
      <c r="R533" s="25"/>
      <c r="S533" s="25"/>
      <c r="T533" s="25"/>
      <c r="U533" s="25"/>
      <c r="V533" s="25"/>
      <c r="W533" s="25"/>
      <c r="X533" s="25"/>
      <c r="Y533" s="25"/>
      <c r="Z533" s="25"/>
      <c r="AA533" s="25"/>
      <c r="AB533" s="101"/>
      <c r="AC533" s="2170">
        <v>3</v>
      </c>
      <c r="AD533" s="2064"/>
      <c r="AE533" s="2064"/>
      <c r="AF533" s="2064"/>
      <c r="AG533" s="75" t="s">
        <v>423</v>
      </c>
      <c r="AH533" s="2060">
        <v>2021</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5"/>
      <c r="C534" s="2026"/>
      <c r="D534" s="2026"/>
      <c r="E534" s="2026"/>
      <c r="F534" s="2026"/>
      <c r="G534" s="2026"/>
      <c r="H534" s="2027"/>
      <c r="I534" s="79" t="s">
        <v>442</v>
      </c>
      <c r="J534" s="80"/>
      <c r="K534" s="80"/>
      <c r="L534" s="80"/>
      <c r="M534" s="80"/>
      <c r="N534" s="80"/>
      <c r="O534" s="80"/>
      <c r="P534" s="80"/>
      <c r="Q534" s="80"/>
      <c r="R534" s="80"/>
      <c r="S534" s="80"/>
      <c r="T534" s="80"/>
      <c r="U534" s="80"/>
      <c r="V534" s="80"/>
      <c r="W534" s="80"/>
      <c r="X534" s="80"/>
      <c r="Y534" s="80"/>
      <c r="Z534" s="80"/>
      <c r="AA534" s="80"/>
      <c r="AB534" s="81"/>
      <c r="AC534" s="2170">
        <v>4</v>
      </c>
      <c r="AD534" s="2064"/>
      <c r="AE534" s="2064"/>
      <c r="AF534" s="2064"/>
      <c r="AG534" s="65" t="s">
        <v>423</v>
      </c>
      <c r="AH534" s="2060">
        <v>2021</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5"/>
      <c r="C535" s="2026"/>
      <c r="D535" s="2026"/>
      <c r="E535" s="2026"/>
      <c r="F535" s="2026"/>
      <c r="G535" s="2026"/>
      <c r="H535" s="2027"/>
      <c r="I535" s="72" t="s">
        <v>443</v>
      </c>
      <c r="J535" s="72"/>
      <c r="K535" s="72"/>
      <c r="L535" s="72"/>
      <c r="M535" s="72"/>
      <c r="N535" s="72"/>
      <c r="O535" s="2038" t="s">
        <v>343</v>
      </c>
      <c r="P535" s="2038"/>
      <c r="Q535" s="2038"/>
      <c r="R535" s="2038"/>
      <c r="S535" s="2038"/>
      <c r="T535" s="2038"/>
      <c r="U535" s="2038"/>
      <c r="V535" s="2038"/>
      <c r="W535" s="2038"/>
      <c r="X535" s="2038"/>
      <c r="Y535" s="2038"/>
      <c r="Z535" s="2038"/>
      <c r="AA535" s="2038"/>
      <c r="AC535" s="2170" t="s">
        <v>625</v>
      </c>
      <c r="AD535" s="2064"/>
      <c r="AE535" s="2064"/>
      <c r="AF535" s="2064"/>
      <c r="AG535" s="75" t="s">
        <v>423</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5"/>
      <c r="C536" s="2026"/>
      <c r="D536" s="2026"/>
      <c r="E536" s="2026"/>
      <c r="F536" s="2026"/>
      <c r="G536" s="2026"/>
      <c r="H536" s="2027"/>
      <c r="I536" s="25" t="s">
        <v>441</v>
      </c>
      <c r="J536" s="25"/>
      <c r="K536" s="25"/>
      <c r="L536" s="25"/>
      <c r="M536" s="25"/>
      <c r="N536" s="25"/>
      <c r="O536" s="25"/>
      <c r="P536" s="25"/>
      <c r="Q536" s="25"/>
      <c r="R536" s="25"/>
      <c r="S536" s="25"/>
      <c r="T536" s="25"/>
      <c r="U536" s="25"/>
      <c r="V536" s="25"/>
      <c r="W536" s="25"/>
      <c r="X536" s="25"/>
      <c r="Y536" s="25"/>
      <c r="AC536" s="2170" t="s">
        <v>625</v>
      </c>
      <c r="AD536" s="2064"/>
      <c r="AE536" s="2064"/>
      <c r="AF536" s="2064"/>
      <c r="AG536" s="75" t="s">
        <v>423</v>
      </c>
      <c r="AH536" s="2060"/>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5"/>
      <c r="C537" s="2026"/>
      <c r="D537" s="2026"/>
      <c r="E537" s="2026"/>
      <c r="F537" s="2026"/>
      <c r="G537" s="2026"/>
      <c r="H537" s="2027"/>
      <c r="I537" s="80" t="s">
        <v>442</v>
      </c>
      <c r="J537" s="80"/>
      <c r="K537" s="80"/>
      <c r="L537" s="80"/>
      <c r="M537" s="80"/>
      <c r="N537" s="80"/>
      <c r="O537" s="80"/>
      <c r="P537" s="80"/>
      <c r="Q537" s="80"/>
      <c r="R537" s="80"/>
      <c r="S537" s="80"/>
      <c r="T537" s="80"/>
      <c r="U537" s="80"/>
      <c r="V537" s="80"/>
      <c r="W537" s="80"/>
      <c r="X537" s="80"/>
      <c r="Y537" s="80"/>
      <c r="Z537" s="80"/>
      <c r="AA537" s="80"/>
      <c r="AB537" s="80"/>
      <c r="AC537" s="2170" t="s">
        <v>625</v>
      </c>
      <c r="AD537" s="2064"/>
      <c r="AE537" s="2064"/>
      <c r="AF537" s="2064"/>
      <c r="AG537" s="65" t="s">
        <v>423</v>
      </c>
      <c r="AH537" s="2060"/>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5"/>
      <c r="C538" s="2026"/>
      <c r="D538" s="2026"/>
      <c r="E538" s="2026"/>
      <c r="F538" s="2026"/>
      <c r="G538" s="2026"/>
      <c r="H538" s="2027"/>
      <c r="I538" s="72" t="s">
        <v>443</v>
      </c>
      <c r="J538" s="72"/>
      <c r="K538" s="72"/>
      <c r="L538" s="72"/>
      <c r="M538" s="72"/>
      <c r="N538" s="72"/>
      <c r="O538" s="2038" t="s">
        <v>343</v>
      </c>
      <c r="P538" s="2038"/>
      <c r="Q538" s="2038"/>
      <c r="R538" s="2038"/>
      <c r="S538" s="2038"/>
      <c r="T538" s="2038"/>
      <c r="U538" s="2038"/>
      <c r="V538" s="2038"/>
      <c r="W538" s="2038"/>
      <c r="X538" s="2038"/>
      <c r="Y538" s="2038"/>
      <c r="Z538" s="2038"/>
      <c r="AA538" s="2038"/>
      <c r="AC538" s="2170" t="s">
        <v>625</v>
      </c>
      <c r="AD538" s="2064"/>
      <c r="AE538" s="2064"/>
      <c r="AF538" s="2064"/>
      <c r="AG538" s="75" t="s">
        <v>423</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5"/>
      <c r="C539" s="2026"/>
      <c r="D539" s="2026"/>
      <c r="E539" s="2026"/>
      <c r="F539" s="2026"/>
      <c r="G539" s="2026"/>
      <c r="H539" s="2027"/>
      <c r="I539" s="25" t="s">
        <v>441</v>
      </c>
      <c r="J539" s="25"/>
      <c r="K539" s="25"/>
      <c r="L539" s="25"/>
      <c r="M539" s="25"/>
      <c r="N539" s="25"/>
      <c r="O539" s="25"/>
      <c r="P539" s="25"/>
      <c r="Q539" s="25"/>
      <c r="R539" s="25"/>
      <c r="S539" s="25"/>
      <c r="T539" s="25"/>
      <c r="U539" s="25"/>
      <c r="V539" s="25"/>
      <c r="W539" s="25"/>
      <c r="X539" s="25"/>
      <c r="Y539" s="25"/>
      <c r="AC539" s="2170" t="s">
        <v>625</v>
      </c>
      <c r="AD539" s="2064"/>
      <c r="AE539" s="2064"/>
      <c r="AF539" s="2064"/>
      <c r="AG539" s="75" t="s">
        <v>423</v>
      </c>
      <c r="AH539" s="2060"/>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5"/>
      <c r="C540" s="2026"/>
      <c r="D540" s="2026"/>
      <c r="E540" s="2026"/>
      <c r="F540" s="2026"/>
      <c r="G540" s="2026"/>
      <c r="H540" s="2027"/>
      <c r="I540" s="80" t="s">
        <v>442</v>
      </c>
      <c r="J540" s="80"/>
      <c r="K540" s="80"/>
      <c r="L540" s="80"/>
      <c r="M540" s="80"/>
      <c r="N540" s="80"/>
      <c r="O540" s="80"/>
      <c r="P540" s="80"/>
      <c r="Q540" s="80"/>
      <c r="R540" s="80"/>
      <c r="S540" s="80"/>
      <c r="T540" s="80"/>
      <c r="U540" s="80"/>
      <c r="V540" s="80"/>
      <c r="W540" s="80"/>
      <c r="X540" s="80"/>
      <c r="Y540" s="80"/>
      <c r="Z540" s="80"/>
      <c r="AA540" s="80"/>
      <c r="AB540" s="80"/>
      <c r="AC540" s="2170" t="s">
        <v>625</v>
      </c>
      <c r="AD540" s="2064"/>
      <c r="AE540" s="2064"/>
      <c r="AF540" s="2064"/>
      <c r="AG540" s="65" t="s">
        <v>423</v>
      </c>
      <c r="AH540" s="2060"/>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5"/>
      <c r="C541" s="2026"/>
      <c r="D541" s="2026"/>
      <c r="E541" s="2026"/>
      <c r="F541" s="2026"/>
      <c r="G541" s="2026"/>
      <c r="H541" s="2027"/>
      <c r="I541" s="72" t="s">
        <v>443</v>
      </c>
      <c r="J541" s="72"/>
      <c r="K541" s="72"/>
      <c r="L541" s="72"/>
      <c r="M541" s="72"/>
      <c r="N541" s="72"/>
      <c r="O541" s="2038" t="s">
        <v>343</v>
      </c>
      <c r="P541" s="2038"/>
      <c r="Q541" s="2038"/>
      <c r="R541" s="2038"/>
      <c r="S541" s="2038"/>
      <c r="T541" s="2038"/>
      <c r="U541" s="2038"/>
      <c r="V541" s="2038"/>
      <c r="W541" s="2038"/>
      <c r="X541" s="2038"/>
      <c r="Y541" s="2038"/>
      <c r="Z541" s="2038"/>
      <c r="AA541" s="2038"/>
      <c r="AC541" s="2170" t="s">
        <v>625</v>
      </c>
      <c r="AD541" s="2064"/>
      <c r="AE541" s="2064"/>
      <c r="AF541" s="2064"/>
      <c r="AG541" s="75" t="s">
        <v>423</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5"/>
      <c r="C542" s="2026"/>
      <c r="D542" s="2026"/>
      <c r="E542" s="2026"/>
      <c r="F542" s="2026"/>
      <c r="G542" s="2026"/>
      <c r="H542" s="2027"/>
      <c r="I542" s="25" t="s">
        <v>441</v>
      </c>
      <c r="J542" s="25"/>
      <c r="K542" s="25"/>
      <c r="L542" s="25"/>
      <c r="M542" s="25"/>
      <c r="N542" s="25"/>
      <c r="O542" s="25"/>
      <c r="P542" s="25"/>
      <c r="Q542" s="25"/>
      <c r="R542" s="25"/>
      <c r="S542" s="25"/>
      <c r="T542" s="25"/>
      <c r="U542" s="25"/>
      <c r="V542" s="25"/>
      <c r="W542" s="25"/>
      <c r="X542" s="25"/>
      <c r="Y542" s="25"/>
      <c r="AC542" s="2170" t="s">
        <v>625</v>
      </c>
      <c r="AD542" s="2064"/>
      <c r="AE542" s="2064"/>
      <c r="AF542" s="2064"/>
      <c r="AG542" s="75" t="s">
        <v>423</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5"/>
      <c r="C543" s="2026"/>
      <c r="D543" s="2026"/>
      <c r="E543" s="2026"/>
      <c r="F543" s="2026"/>
      <c r="G543" s="2026"/>
      <c r="H543" s="2027"/>
      <c r="I543" s="80" t="s">
        <v>442</v>
      </c>
      <c r="J543" s="80"/>
      <c r="K543" s="80"/>
      <c r="L543" s="80"/>
      <c r="M543" s="80"/>
      <c r="N543" s="80"/>
      <c r="O543" s="80"/>
      <c r="P543" s="80"/>
      <c r="Q543" s="80"/>
      <c r="R543" s="80"/>
      <c r="S543" s="80"/>
      <c r="T543" s="80"/>
      <c r="U543" s="80"/>
      <c r="V543" s="80"/>
      <c r="W543" s="80"/>
      <c r="X543" s="80"/>
      <c r="Y543" s="80"/>
      <c r="Z543" s="80"/>
      <c r="AA543" s="80"/>
      <c r="AB543" s="80"/>
      <c r="AC543" s="2170" t="s">
        <v>625</v>
      </c>
      <c r="AD543" s="2064"/>
      <c r="AE543" s="2064"/>
      <c r="AF543" s="2064"/>
      <c r="AG543" s="65" t="s">
        <v>423</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5"/>
      <c r="C544" s="2026"/>
      <c r="D544" s="2026"/>
      <c r="E544" s="2026"/>
      <c r="F544" s="2026"/>
      <c r="G544" s="2026"/>
      <c r="H544" s="2027"/>
      <c r="I544" s="72" t="s">
        <v>443</v>
      </c>
      <c r="J544" s="72"/>
      <c r="K544" s="72"/>
      <c r="L544" s="72"/>
      <c r="M544" s="72"/>
      <c r="N544" s="72"/>
      <c r="O544" s="2038" t="s">
        <v>343</v>
      </c>
      <c r="P544" s="2038"/>
      <c r="Q544" s="2038"/>
      <c r="R544" s="2038"/>
      <c r="S544" s="2038"/>
      <c r="T544" s="2038"/>
      <c r="U544" s="2038"/>
      <c r="V544" s="2038"/>
      <c r="W544" s="2038"/>
      <c r="X544" s="2038"/>
      <c r="Y544" s="2038"/>
      <c r="Z544" s="2038"/>
      <c r="AA544" s="2038"/>
      <c r="AC544" s="2170" t="s">
        <v>625</v>
      </c>
      <c r="AD544" s="2064"/>
      <c r="AE544" s="2064"/>
      <c r="AF544" s="2064"/>
      <c r="AG544" s="75" t="s">
        <v>423</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5"/>
      <c r="C545" s="2026"/>
      <c r="D545" s="2026"/>
      <c r="E545" s="2026"/>
      <c r="F545" s="2026"/>
      <c r="G545" s="2026"/>
      <c r="H545" s="2027"/>
      <c r="I545" s="25" t="s">
        <v>441</v>
      </c>
      <c r="J545" s="25"/>
      <c r="K545" s="25"/>
      <c r="L545" s="25"/>
      <c r="M545" s="25"/>
      <c r="N545" s="25"/>
      <c r="O545" s="25"/>
      <c r="P545" s="25"/>
      <c r="Q545" s="25"/>
      <c r="R545" s="25"/>
      <c r="S545" s="25"/>
      <c r="T545" s="25"/>
      <c r="U545" s="25"/>
      <c r="V545" s="25"/>
      <c r="W545" s="25"/>
      <c r="X545" s="25"/>
      <c r="Y545" s="25"/>
      <c r="AC545" s="2170" t="s">
        <v>625</v>
      </c>
      <c r="AD545" s="2064"/>
      <c r="AE545" s="2064"/>
      <c r="AF545" s="2064"/>
      <c r="AG545" s="65" t="s">
        <v>423</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5"/>
      <c r="C546" s="2026"/>
      <c r="D546" s="2026"/>
      <c r="E546" s="2026"/>
      <c r="F546" s="2026"/>
      <c r="G546" s="2026"/>
      <c r="H546" s="2027"/>
      <c r="I546" s="80" t="s">
        <v>442</v>
      </c>
      <c r="J546" s="80"/>
      <c r="K546" s="80"/>
      <c r="L546" s="80"/>
      <c r="M546" s="80"/>
      <c r="N546" s="80"/>
      <c r="O546" s="80"/>
      <c r="P546" s="80"/>
      <c r="Q546" s="80"/>
      <c r="R546" s="80"/>
      <c r="S546" s="80"/>
      <c r="T546" s="80"/>
      <c r="U546" s="80"/>
      <c r="V546" s="80"/>
      <c r="W546" s="80"/>
      <c r="X546" s="80"/>
      <c r="Y546" s="80"/>
      <c r="Z546" s="80"/>
      <c r="AA546" s="80"/>
      <c r="AB546" s="80"/>
      <c r="AC546" s="2170" t="s">
        <v>625</v>
      </c>
      <c r="AD546" s="2064"/>
      <c r="AE546" s="2064"/>
      <c r="AF546" s="2064"/>
      <c r="AG546" s="75" t="s">
        <v>423</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5"/>
      <c r="C547" s="2026"/>
      <c r="D547" s="2026"/>
      <c r="E547" s="2026"/>
      <c r="F547" s="2026"/>
      <c r="G547" s="2026"/>
      <c r="H547" s="2027"/>
      <c r="I547" s="72" t="s">
        <v>443</v>
      </c>
      <c r="J547" s="72"/>
      <c r="K547" s="72"/>
      <c r="L547" s="72"/>
      <c r="M547" s="72"/>
      <c r="N547" s="72"/>
      <c r="O547" s="2038" t="s">
        <v>343</v>
      </c>
      <c r="P547" s="2038"/>
      <c r="Q547" s="2038"/>
      <c r="R547" s="2038"/>
      <c r="S547" s="2038"/>
      <c r="T547" s="2038"/>
      <c r="U547" s="2038"/>
      <c r="V547" s="2038"/>
      <c r="W547" s="2038"/>
      <c r="X547" s="2038"/>
      <c r="Y547" s="2038"/>
      <c r="Z547" s="2038"/>
      <c r="AA547" s="2038"/>
      <c r="AC547" s="2170" t="s">
        <v>625</v>
      </c>
      <c r="AD547" s="2064"/>
      <c r="AE547" s="2064"/>
      <c r="AF547" s="2064"/>
      <c r="AG547" s="65" t="s">
        <v>423</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5"/>
      <c r="C548" s="2026"/>
      <c r="D548" s="2026"/>
      <c r="E548" s="2026"/>
      <c r="F548" s="2026"/>
      <c r="G548" s="2026"/>
      <c r="H548" s="2027"/>
      <c r="I548" s="25" t="s">
        <v>441</v>
      </c>
      <c r="J548" s="25"/>
      <c r="K548" s="25"/>
      <c r="L548" s="25"/>
      <c r="M548" s="25"/>
      <c r="N548" s="25"/>
      <c r="O548" s="25"/>
      <c r="P548" s="25"/>
      <c r="Q548" s="25"/>
      <c r="R548" s="25"/>
      <c r="S548" s="25"/>
      <c r="T548" s="25"/>
      <c r="U548" s="25"/>
      <c r="V548" s="25"/>
      <c r="W548" s="25"/>
      <c r="X548" s="25"/>
      <c r="Y548" s="25"/>
      <c r="AC548" s="2170" t="s">
        <v>625</v>
      </c>
      <c r="AD548" s="2064"/>
      <c r="AE548" s="2064"/>
      <c r="AF548" s="2064"/>
      <c r="AG548" s="75" t="s">
        <v>423</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5"/>
      <c r="C549" s="2026"/>
      <c r="D549" s="2026"/>
      <c r="E549" s="2026"/>
      <c r="F549" s="2026"/>
      <c r="G549" s="2026"/>
      <c r="H549" s="2027"/>
      <c r="I549" s="80" t="s">
        <v>442</v>
      </c>
      <c r="J549" s="80"/>
      <c r="K549" s="80"/>
      <c r="L549" s="80"/>
      <c r="M549" s="80"/>
      <c r="N549" s="80"/>
      <c r="O549" s="80"/>
      <c r="P549" s="80"/>
      <c r="Q549" s="80"/>
      <c r="R549" s="80"/>
      <c r="S549" s="80"/>
      <c r="T549" s="80"/>
      <c r="U549" s="80"/>
      <c r="V549" s="80"/>
      <c r="W549" s="80"/>
      <c r="X549" s="80"/>
      <c r="Y549" s="80"/>
      <c r="Z549" s="80"/>
      <c r="AA549" s="80"/>
      <c r="AB549" s="80"/>
      <c r="AC549" s="2170" t="s">
        <v>625</v>
      </c>
      <c r="AD549" s="2064"/>
      <c r="AE549" s="2064"/>
      <c r="AF549" s="2064"/>
      <c r="AG549" s="65" t="s">
        <v>423</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5"/>
      <c r="C550" s="2026"/>
      <c r="D550" s="2026"/>
      <c r="E550" s="2026"/>
      <c r="F550" s="2026"/>
      <c r="G550" s="2026"/>
      <c r="H550" s="2027"/>
      <c r="I550" s="72" t="s">
        <v>594</v>
      </c>
      <c r="J550" s="72"/>
      <c r="K550" s="72"/>
      <c r="L550" s="72"/>
      <c r="M550" s="72"/>
      <c r="N550" s="72"/>
      <c r="O550" s="72"/>
      <c r="P550" s="72"/>
      <c r="Q550" s="72"/>
      <c r="R550" s="72"/>
      <c r="S550" s="72"/>
      <c r="T550" s="72"/>
      <c r="U550" s="72"/>
      <c r="V550" s="72"/>
      <c r="W550" s="72"/>
      <c r="X550" s="25"/>
      <c r="Y550" s="25"/>
      <c r="AC550" s="2170"/>
      <c r="AD550" s="2064"/>
      <c r="AE550" s="2064"/>
      <c r="AF550" s="2064"/>
      <c r="AG550" s="65" t="s">
        <v>423</v>
      </c>
      <c r="AH550" s="2060"/>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5"/>
      <c r="C551" s="2026"/>
      <c r="D551" s="2026"/>
      <c r="E551" s="2026"/>
      <c r="F551" s="2026"/>
      <c r="G551" s="2026"/>
      <c r="H551" s="2027"/>
      <c r="I551" s="25" t="s">
        <v>595</v>
      </c>
      <c r="J551" s="25"/>
      <c r="K551" s="25"/>
      <c r="L551" s="25"/>
      <c r="M551" s="25"/>
      <c r="N551" s="25"/>
      <c r="O551" s="25"/>
      <c r="P551" s="25"/>
      <c r="Q551" s="25"/>
      <c r="R551" s="25"/>
      <c r="S551" s="25"/>
      <c r="T551" s="25"/>
      <c r="U551" s="25"/>
      <c r="V551" s="25"/>
      <c r="W551" s="25"/>
      <c r="X551" s="25"/>
      <c r="Y551" s="25"/>
      <c r="AC551" s="2170">
        <v>2</v>
      </c>
      <c r="AD551" s="2064"/>
      <c r="AE551" s="2064"/>
      <c r="AF551" s="2064"/>
      <c r="AG551" s="75" t="s">
        <v>423</v>
      </c>
      <c r="AH551" s="2060">
        <v>2022</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5"/>
      <c r="C552" s="2026"/>
      <c r="D552" s="2026"/>
      <c r="E552" s="2026"/>
      <c r="F552" s="2026"/>
      <c r="G552" s="2026"/>
      <c r="H552" s="2027"/>
      <c r="I552" s="25" t="s">
        <v>596</v>
      </c>
      <c r="J552" s="25"/>
      <c r="K552" s="25"/>
      <c r="L552" s="25"/>
      <c r="M552" s="25"/>
      <c r="N552" s="25"/>
      <c r="O552" s="25"/>
      <c r="P552" s="25"/>
      <c r="Q552" s="25"/>
      <c r="R552" s="25"/>
      <c r="S552" s="25"/>
      <c r="T552" s="25"/>
      <c r="U552" s="25"/>
      <c r="V552" s="25"/>
      <c r="W552" s="25"/>
      <c r="X552" s="25"/>
      <c r="Y552" s="25"/>
      <c r="AC552" s="2170">
        <v>8</v>
      </c>
      <c r="AD552" s="2064"/>
      <c r="AE552" s="2064"/>
      <c r="AF552" s="2064"/>
      <c r="AG552" s="65" t="s">
        <v>423</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5"/>
      <c r="C553" s="2026"/>
      <c r="D553" s="2026"/>
      <c r="E553" s="2026"/>
      <c r="F553" s="2026"/>
      <c r="G553" s="2026"/>
      <c r="H553" s="2027"/>
      <c r="I553" s="25" t="s">
        <v>597</v>
      </c>
      <c r="J553" s="25"/>
      <c r="K553" s="25"/>
      <c r="L553" s="25"/>
      <c r="M553" s="25"/>
      <c r="N553" s="25"/>
      <c r="O553" s="25"/>
      <c r="P553" s="25"/>
      <c r="Q553" s="25"/>
      <c r="R553" s="25"/>
      <c r="S553" s="25"/>
      <c r="T553" s="25"/>
      <c r="U553" s="25"/>
      <c r="V553" s="25"/>
      <c r="W553" s="25"/>
      <c r="X553" s="25"/>
      <c r="Y553" s="25"/>
      <c r="AC553" s="2170">
        <v>8</v>
      </c>
      <c r="AD553" s="2064"/>
      <c r="AE553" s="2064"/>
      <c r="AF553" s="2064"/>
      <c r="AG553" s="65" t="s">
        <v>423</v>
      </c>
      <c r="AH553" s="2060">
        <v>2023</v>
      </c>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6"/>
      <c r="C554" s="2187"/>
      <c r="D554" s="2187"/>
      <c r="E554" s="2187"/>
      <c r="F554" s="2187"/>
      <c r="G554" s="2187"/>
      <c r="H554" s="2188"/>
      <c r="I554" s="80" t="s">
        <v>481</v>
      </c>
      <c r="J554" s="80"/>
      <c r="K554" s="80"/>
      <c r="L554" s="80"/>
      <c r="M554" s="80"/>
      <c r="N554" s="80"/>
      <c r="O554" s="80"/>
      <c r="P554" s="80"/>
      <c r="Q554" s="80"/>
      <c r="R554" s="80"/>
      <c r="S554" s="80"/>
      <c r="T554" s="80"/>
      <c r="U554" s="80"/>
      <c r="V554" s="80"/>
      <c r="W554" s="80"/>
      <c r="X554" s="80"/>
      <c r="Y554" s="80"/>
      <c r="Z554" s="80"/>
      <c r="AA554" s="80"/>
      <c r="AB554" s="80"/>
      <c r="AC554" s="2170">
        <v>11</v>
      </c>
      <c r="AD554" s="2064"/>
      <c r="AE554" s="2064"/>
      <c r="AF554" s="2064"/>
      <c r="AG554" s="65" t="s">
        <v>423</v>
      </c>
      <c r="AH554" s="2060">
        <v>2023</v>
      </c>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3" t="s">
        <v>483</v>
      </c>
      <c r="C563" s="2174"/>
      <c r="D563" s="2174"/>
      <c r="E563" s="2174"/>
      <c r="F563" s="2174"/>
      <c r="G563" s="2174"/>
      <c r="H563" s="2174"/>
      <c r="I563" s="2174"/>
      <c r="J563" s="2174"/>
      <c r="K563" s="2174"/>
      <c r="L563" s="2174"/>
      <c r="M563" s="2174"/>
      <c r="N563" s="2174"/>
      <c r="O563" s="2174"/>
      <c r="P563" s="2175"/>
      <c r="Q563" s="2173" t="s">
        <v>2375</v>
      </c>
      <c r="R563" s="2184"/>
      <c r="S563" s="2185"/>
      <c r="T563" s="2173" t="s">
        <v>2373</v>
      </c>
      <c r="U563" s="2184"/>
      <c r="V563" s="2185"/>
      <c r="W563" s="2173" t="s">
        <v>484</v>
      </c>
      <c r="X563" s="2184"/>
      <c r="Y563" s="2185"/>
      <c r="Z563" s="2173" t="s">
        <v>2374</v>
      </c>
      <c r="AA563" s="2184"/>
      <c r="AB563" s="2184"/>
      <c r="AC563" s="2184"/>
      <c r="AD563" s="2184"/>
      <c r="AE563" s="2173" t="s">
        <v>2147</v>
      </c>
      <c r="AF563" s="2184"/>
      <c r="AG563" s="2184"/>
      <c r="AH563" s="2185"/>
      <c r="AI563" s="2173" t="s">
        <v>2148</v>
      </c>
      <c r="AJ563" s="2184"/>
      <c r="AK563" s="2184"/>
      <c r="AL563" s="2185"/>
      <c r="AM563" s="2173" t="s">
        <v>485</v>
      </c>
      <c r="AN563" s="2184"/>
      <c r="AO563" s="2184"/>
      <c r="AP563" s="2184"/>
      <c r="AQ563" s="2184"/>
      <c r="AR563" s="2184"/>
      <c r="AS563" s="218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0" t="s">
        <v>2649</v>
      </c>
      <c r="D564" s="2040"/>
      <c r="E564" s="2040"/>
      <c r="F564" s="2040"/>
      <c r="G564" s="2040"/>
      <c r="H564" s="2040"/>
      <c r="I564" s="2040"/>
      <c r="J564" s="2040"/>
      <c r="K564" s="2040"/>
      <c r="L564" s="2040"/>
      <c r="M564" s="2040"/>
      <c r="N564" s="2040"/>
      <c r="O564" s="2040"/>
      <c r="P564" s="2172"/>
      <c r="Q564" s="2166">
        <v>24</v>
      </c>
      <c r="R564" s="2166"/>
      <c r="S564" s="2167"/>
      <c r="T564" s="2162" t="s">
        <v>2645</v>
      </c>
      <c r="U564" s="2166"/>
      <c r="V564" s="2167"/>
      <c r="W564" s="2176">
        <v>0.03</v>
      </c>
      <c r="X564" s="2177"/>
      <c r="Y564" s="2178"/>
      <c r="Z564" s="2053" t="s">
        <v>2646</v>
      </c>
      <c r="AA564" s="2053"/>
      <c r="AB564" s="2053"/>
      <c r="AC564" s="2053"/>
      <c r="AD564" s="2053"/>
      <c r="AE564" s="2033">
        <v>1</v>
      </c>
      <c r="AF564" s="2034"/>
      <c r="AG564" s="2034"/>
      <c r="AH564" s="2035"/>
      <c r="AI564" s="2057"/>
      <c r="AJ564" s="2058"/>
      <c r="AK564" s="2058"/>
      <c r="AL564" s="2059"/>
      <c r="AM564" s="2030">
        <v>42808977</v>
      </c>
      <c r="AN564" s="2031"/>
      <c r="AO564" s="2031"/>
      <c r="AP564" s="2031"/>
      <c r="AQ564" s="2031"/>
      <c r="AR564" s="2031"/>
      <c r="AS564" s="2032"/>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0" t="s">
        <v>2650</v>
      </c>
      <c r="D565" s="2040"/>
      <c r="E565" s="2040"/>
      <c r="F565" s="2040"/>
      <c r="G565" s="2040"/>
      <c r="H565" s="2040"/>
      <c r="I565" s="2040"/>
      <c r="J565" s="2040"/>
      <c r="K565" s="2040"/>
      <c r="L565" s="2040"/>
      <c r="M565" s="2040"/>
      <c r="N565" s="2040"/>
      <c r="O565" s="2040"/>
      <c r="P565" s="2172"/>
      <c r="Q565" s="2165">
        <v>24</v>
      </c>
      <c r="R565" s="2166"/>
      <c r="S565" s="2167"/>
      <c r="T565" s="2162" t="s">
        <v>2645</v>
      </c>
      <c r="U565" s="2163"/>
      <c r="V565" s="2164"/>
      <c r="W565" s="2176">
        <v>0.03</v>
      </c>
      <c r="X565" s="2177"/>
      <c r="Y565" s="2178"/>
      <c r="Z565" s="2054" t="s">
        <v>2646</v>
      </c>
      <c r="AA565" s="2053"/>
      <c r="AB565" s="2053"/>
      <c r="AC565" s="2053"/>
      <c r="AD565" s="2055"/>
      <c r="AE565" s="2033">
        <v>1</v>
      </c>
      <c r="AF565" s="2034"/>
      <c r="AG565" s="2034"/>
      <c r="AH565" s="2035"/>
      <c r="AI565" s="2057"/>
      <c r="AJ565" s="2058"/>
      <c r="AK565" s="2058"/>
      <c r="AL565" s="2059"/>
      <c r="AM565" s="2030">
        <f>22800000</f>
        <v>22800000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0" t="s">
        <v>2593</v>
      </c>
      <c r="D566" s="2040"/>
      <c r="E566" s="2040"/>
      <c r="F566" s="2040"/>
      <c r="G566" s="2040"/>
      <c r="H566" s="2040"/>
      <c r="I566" s="2040"/>
      <c r="J566" s="2040"/>
      <c r="K566" s="2040"/>
      <c r="L566" s="2040"/>
      <c r="M566" s="2040"/>
      <c r="N566" s="2040"/>
      <c r="O566" s="2040"/>
      <c r="P566" s="2172"/>
      <c r="Q566" s="2165" t="s">
        <v>625</v>
      </c>
      <c r="R566" s="2166"/>
      <c r="S566" s="2167"/>
      <c r="T566" s="2165"/>
      <c r="U566" s="2166"/>
      <c r="V566" s="2167"/>
      <c r="W566" s="2176"/>
      <c r="X566" s="2177"/>
      <c r="Y566" s="2178"/>
      <c r="Z566" s="2054" t="s">
        <v>1383</v>
      </c>
      <c r="AA566" s="2053"/>
      <c r="AB566" s="2053"/>
      <c r="AC566" s="2053"/>
      <c r="AD566" s="2055"/>
      <c r="AE566" s="2033"/>
      <c r="AF566" s="2034"/>
      <c r="AG566" s="2034"/>
      <c r="AH566" s="2035"/>
      <c r="AI566" s="2057"/>
      <c r="AJ566" s="2058"/>
      <c r="AK566" s="2058"/>
      <c r="AL566" s="2059"/>
      <c r="AM566" s="2030">
        <v>4340439</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40" t="s">
        <v>2594</v>
      </c>
      <c r="D567" s="2040"/>
      <c r="E567" s="2040"/>
      <c r="F567" s="2040"/>
      <c r="G567" s="2040"/>
      <c r="H567" s="2040"/>
      <c r="I567" s="2040"/>
      <c r="J567" s="2040"/>
      <c r="K567" s="2040"/>
      <c r="L567" s="2040"/>
      <c r="M567" s="2040"/>
      <c r="N567" s="2040"/>
      <c r="O567" s="2040"/>
      <c r="P567" s="2172"/>
      <c r="Q567" s="2165" t="s">
        <v>625</v>
      </c>
      <c r="R567" s="2166"/>
      <c r="S567" s="2167"/>
      <c r="T567" s="2165"/>
      <c r="U567" s="2166"/>
      <c r="V567" s="2167"/>
      <c r="W567" s="2176"/>
      <c r="X567" s="2177"/>
      <c r="Y567" s="2178"/>
      <c r="Z567" s="2054" t="s">
        <v>1383</v>
      </c>
      <c r="AA567" s="2053"/>
      <c r="AB567" s="2053"/>
      <c r="AC567" s="2053"/>
      <c r="AD567" s="2055"/>
      <c r="AE567" s="2033"/>
      <c r="AF567" s="2034"/>
      <c r="AG567" s="2034"/>
      <c r="AH567" s="2035"/>
      <c r="AI567" s="2057"/>
      <c r="AJ567" s="2058"/>
      <c r="AK567" s="2058"/>
      <c r="AL567" s="2059"/>
      <c r="AM567" s="2030">
        <v>1083608</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40" t="s">
        <v>2595</v>
      </c>
      <c r="D568" s="2040"/>
      <c r="E568" s="2040"/>
      <c r="F568" s="2040"/>
      <c r="G568" s="2040"/>
      <c r="H568" s="2040"/>
      <c r="I568" s="2040"/>
      <c r="J568" s="2040"/>
      <c r="K568" s="2040"/>
      <c r="L568" s="2040"/>
      <c r="M568" s="2040"/>
      <c r="N568" s="2040"/>
      <c r="O568" s="2040"/>
      <c r="P568" s="2172"/>
      <c r="Q568" s="2165" t="s">
        <v>625</v>
      </c>
      <c r="R568" s="2166"/>
      <c r="S568" s="2167"/>
      <c r="T568" s="2165"/>
      <c r="U568" s="2166"/>
      <c r="V568" s="2167"/>
      <c r="W568" s="2176"/>
      <c r="X568" s="2177"/>
      <c r="Y568" s="2178"/>
      <c r="Z568" s="2053" t="s">
        <v>1383</v>
      </c>
      <c r="AA568" s="2053"/>
      <c r="AB568" s="2053"/>
      <c r="AC568" s="2053"/>
      <c r="AD568" s="2053"/>
      <c r="AE568" s="2033"/>
      <c r="AF568" s="2034"/>
      <c r="AG568" s="2034"/>
      <c r="AH568" s="2035"/>
      <c r="AI568" s="2057"/>
      <c r="AJ568" s="2058"/>
      <c r="AK568" s="2058"/>
      <c r="AL568" s="2059"/>
      <c r="AM568" s="2030">
        <f>AO651-SUM(AM563:AS567)</f>
        <v>9659099</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40"/>
      <c r="D569" s="2040"/>
      <c r="E569" s="2040"/>
      <c r="F569" s="2040"/>
      <c r="G569" s="2040"/>
      <c r="H569" s="2040"/>
      <c r="I569" s="2040"/>
      <c r="J569" s="2040"/>
      <c r="K569" s="2040"/>
      <c r="L569" s="2040"/>
      <c r="M569" s="2040"/>
      <c r="N569" s="2040"/>
      <c r="O569" s="2040"/>
      <c r="P569" s="2172"/>
      <c r="Q569" s="2165"/>
      <c r="R569" s="2166"/>
      <c r="S569" s="2167"/>
      <c r="T569" s="2165"/>
      <c r="U569" s="2166"/>
      <c r="V569" s="2167"/>
      <c r="W569" s="2176"/>
      <c r="X569" s="2177"/>
      <c r="Y569" s="2178"/>
      <c r="Z569" s="2053" t="s">
        <v>1383</v>
      </c>
      <c r="AA569" s="2053"/>
      <c r="AB569" s="2053"/>
      <c r="AC569" s="2053"/>
      <c r="AD569" s="2053"/>
      <c r="AE569" s="2033"/>
      <c r="AF569" s="2034"/>
      <c r="AG569" s="2034"/>
      <c r="AH569" s="2035"/>
      <c r="AI569" s="2057"/>
      <c r="AJ569" s="2058"/>
      <c r="AK569" s="2058"/>
      <c r="AL569" s="2059"/>
      <c r="AM569" s="2030"/>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40"/>
      <c r="D570" s="2040"/>
      <c r="E570" s="2040"/>
      <c r="F570" s="2040"/>
      <c r="G570" s="2040"/>
      <c r="H570" s="2040"/>
      <c r="I570" s="2040"/>
      <c r="J570" s="2040"/>
      <c r="K570" s="2040"/>
      <c r="L570" s="2040"/>
      <c r="M570" s="2040"/>
      <c r="N570" s="2040"/>
      <c r="O570" s="2040"/>
      <c r="P570" s="2172"/>
      <c r="Q570" s="2165"/>
      <c r="R570" s="2166"/>
      <c r="S570" s="2167"/>
      <c r="T570" s="2165"/>
      <c r="U570" s="2166"/>
      <c r="V570" s="2167"/>
      <c r="W570" s="2176"/>
      <c r="X570" s="2177"/>
      <c r="Y570" s="2178"/>
      <c r="Z570" s="2053" t="s">
        <v>1383</v>
      </c>
      <c r="AA570" s="2053"/>
      <c r="AB570" s="2053"/>
      <c r="AC570" s="2053"/>
      <c r="AD570" s="2053"/>
      <c r="AE570" s="2033"/>
      <c r="AF570" s="2034"/>
      <c r="AG570" s="2034"/>
      <c r="AH570" s="2035"/>
      <c r="AI570" s="2057"/>
      <c r="AJ570" s="2058"/>
      <c r="AK570" s="2058"/>
      <c r="AL570" s="2059"/>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40"/>
      <c r="D571" s="2040"/>
      <c r="E571" s="2040"/>
      <c r="F571" s="2040"/>
      <c r="G571" s="2040"/>
      <c r="H571" s="2040"/>
      <c r="I571" s="2040"/>
      <c r="J571" s="2040"/>
      <c r="K571" s="2040"/>
      <c r="L571" s="2040"/>
      <c r="M571" s="2040"/>
      <c r="N571" s="2040"/>
      <c r="O571" s="2040"/>
      <c r="P571" s="2172"/>
      <c r="Q571" s="2165"/>
      <c r="R571" s="2166"/>
      <c r="S571" s="2167"/>
      <c r="T571" s="2165"/>
      <c r="U571" s="2166"/>
      <c r="V571" s="2167"/>
      <c r="W571" s="2176"/>
      <c r="X571" s="2177"/>
      <c r="Y571" s="2178"/>
      <c r="Z571" s="2053" t="s">
        <v>1383</v>
      </c>
      <c r="AA571" s="2053"/>
      <c r="AB571" s="2053"/>
      <c r="AC571" s="2053"/>
      <c r="AD571" s="2053"/>
      <c r="AE571" s="2033"/>
      <c r="AF571" s="2034"/>
      <c r="AG571" s="2034"/>
      <c r="AH571" s="2035"/>
      <c r="AI571" s="2057"/>
      <c r="AJ571" s="2058"/>
      <c r="AK571" s="2058"/>
      <c r="AL571" s="2059"/>
      <c r="AM571" s="2030"/>
      <c r="AN571" s="2031"/>
      <c r="AO571" s="2031"/>
      <c r="AP571" s="2031"/>
      <c r="AQ571" s="2031"/>
      <c r="AR571" s="2031"/>
      <c r="AS571" s="2032"/>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40"/>
      <c r="D572" s="2040"/>
      <c r="E572" s="2040"/>
      <c r="F572" s="2040"/>
      <c r="G572" s="2040"/>
      <c r="H572" s="2040"/>
      <c r="I572" s="2040"/>
      <c r="J572" s="2040"/>
      <c r="K572" s="2040"/>
      <c r="L572" s="2040"/>
      <c r="M572" s="2040"/>
      <c r="N572" s="2040"/>
      <c r="O572" s="2040"/>
      <c r="P572" s="2172"/>
      <c r="Q572" s="2165"/>
      <c r="R572" s="2166"/>
      <c r="S572" s="2167"/>
      <c r="T572" s="2165"/>
      <c r="U572" s="2166"/>
      <c r="V572" s="2167"/>
      <c r="W572" s="2176"/>
      <c r="X572" s="2177"/>
      <c r="Y572" s="2178"/>
      <c r="Z572" s="2053" t="s">
        <v>1383</v>
      </c>
      <c r="AA572" s="2053"/>
      <c r="AB572" s="2053"/>
      <c r="AC572" s="2053"/>
      <c r="AD572" s="2053"/>
      <c r="AE572" s="2033"/>
      <c r="AF572" s="2034"/>
      <c r="AG572" s="2034"/>
      <c r="AH572" s="2035"/>
      <c r="AI572" s="2057"/>
      <c r="AJ572" s="2058"/>
      <c r="AK572" s="2058"/>
      <c r="AL572" s="2059"/>
      <c r="AM572" s="2030"/>
      <c r="AN572" s="2031"/>
      <c r="AO572" s="2031"/>
      <c r="AP572" s="2031"/>
      <c r="AQ572" s="2031"/>
      <c r="AR572" s="2031"/>
      <c r="AS572" s="2032"/>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0"/>
      <c r="D573" s="2040"/>
      <c r="E573" s="2040"/>
      <c r="F573" s="2040"/>
      <c r="G573" s="2040"/>
      <c r="H573" s="2040"/>
      <c r="I573" s="2040"/>
      <c r="J573" s="2040"/>
      <c r="K573" s="2040"/>
      <c r="L573" s="2040"/>
      <c r="M573" s="2040"/>
      <c r="N573" s="2040"/>
      <c r="O573" s="2040"/>
      <c r="P573" s="2172"/>
      <c r="Q573" s="2165"/>
      <c r="R573" s="2166"/>
      <c r="S573" s="2167"/>
      <c r="T573" s="2165"/>
      <c r="U573" s="2166"/>
      <c r="V573" s="2167"/>
      <c r="W573" s="2176"/>
      <c r="X573" s="2177"/>
      <c r="Y573" s="2178"/>
      <c r="Z573" s="2053" t="s">
        <v>1383</v>
      </c>
      <c r="AA573" s="2053"/>
      <c r="AB573" s="2053"/>
      <c r="AC573" s="2053"/>
      <c r="AD573" s="2053"/>
      <c r="AE573" s="2033"/>
      <c r="AF573" s="2034"/>
      <c r="AG573" s="2034"/>
      <c r="AH573" s="2035"/>
      <c r="AI573" s="2057"/>
      <c r="AJ573" s="2058"/>
      <c r="AK573" s="2058"/>
      <c r="AL573" s="2059"/>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0"/>
      <c r="D574" s="2040"/>
      <c r="E574" s="2040"/>
      <c r="F574" s="2040"/>
      <c r="G574" s="2040"/>
      <c r="H574" s="2040"/>
      <c r="I574" s="2040"/>
      <c r="J574" s="2040"/>
      <c r="K574" s="2040"/>
      <c r="L574" s="2040"/>
      <c r="M574" s="2040"/>
      <c r="N574" s="2040"/>
      <c r="O574" s="2040"/>
      <c r="P574" s="2172"/>
      <c r="Q574" s="2165"/>
      <c r="R574" s="2166"/>
      <c r="S574" s="2167"/>
      <c r="T574" s="2165"/>
      <c r="U574" s="2166"/>
      <c r="V574" s="2167"/>
      <c r="W574" s="2176"/>
      <c r="X574" s="2177"/>
      <c r="Y574" s="2178"/>
      <c r="Z574" s="2053" t="s">
        <v>1383</v>
      </c>
      <c r="AA574" s="2053"/>
      <c r="AB574" s="2053"/>
      <c r="AC574" s="2053"/>
      <c r="AD574" s="2053"/>
      <c r="AE574" s="2033"/>
      <c r="AF574" s="2034"/>
      <c r="AG574" s="2034"/>
      <c r="AH574" s="2035"/>
      <c r="AI574" s="2057"/>
      <c r="AJ574" s="2058"/>
      <c r="AK574" s="2058"/>
      <c r="AL574" s="2059"/>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0"/>
      <c r="D575" s="2040"/>
      <c r="E575" s="2040"/>
      <c r="F575" s="2040"/>
      <c r="G575" s="2040"/>
      <c r="H575" s="2040"/>
      <c r="I575" s="2040"/>
      <c r="J575" s="2040"/>
      <c r="K575" s="2040"/>
      <c r="L575" s="2040"/>
      <c r="M575" s="2040"/>
      <c r="N575" s="2040"/>
      <c r="O575" s="2040"/>
      <c r="P575" s="2172"/>
      <c r="Q575" s="2165"/>
      <c r="R575" s="2166"/>
      <c r="S575" s="2167"/>
      <c r="T575" s="2165"/>
      <c r="U575" s="2166"/>
      <c r="V575" s="2167"/>
      <c r="W575" s="2176"/>
      <c r="X575" s="2177"/>
      <c r="Y575" s="2178"/>
      <c r="Z575" s="2053" t="s">
        <v>1383</v>
      </c>
      <c r="AA575" s="2053"/>
      <c r="AB575" s="2053"/>
      <c r="AC575" s="2053"/>
      <c r="AD575" s="2053"/>
      <c r="AE575" s="2033"/>
      <c r="AF575" s="2034"/>
      <c r="AG575" s="2034"/>
      <c r="AH575" s="2035"/>
      <c r="AI575" s="2057"/>
      <c r="AJ575" s="2058"/>
      <c r="AK575" s="2058"/>
      <c r="AL575" s="2059"/>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3" t="s">
        <v>132</v>
      </c>
      <c r="C576" s="2194"/>
      <c r="D576" s="2194"/>
      <c r="E576" s="2194"/>
      <c r="F576" s="2194"/>
      <c r="G576" s="2194"/>
      <c r="H576" s="2194"/>
      <c r="I576" s="2194"/>
      <c r="J576" s="2194"/>
      <c r="K576" s="2194"/>
      <c r="L576" s="2194"/>
      <c r="M576" s="2194"/>
      <c r="N576" s="2194"/>
      <c r="O576" s="2194"/>
      <c r="P576" s="2194"/>
      <c r="Q576" s="2194"/>
      <c r="R576" s="2194"/>
      <c r="S576" s="2194"/>
      <c r="T576" s="2194"/>
      <c r="U576" s="2195"/>
      <c r="V576" s="2194"/>
      <c r="W576" s="2194"/>
      <c r="X576" s="2194"/>
      <c r="Y576" s="2194"/>
      <c r="Z576" s="2194"/>
      <c r="AA576" s="2194"/>
      <c r="AB576" s="2194"/>
      <c r="AC576" s="2194"/>
      <c r="AD576" s="2194"/>
      <c r="AE576" s="2194"/>
      <c r="AF576" s="2194"/>
      <c r="AG576" s="2194"/>
      <c r="AH576" s="2194"/>
      <c r="AI576" s="2194"/>
      <c r="AJ576" s="2194"/>
      <c r="AK576" s="2194"/>
      <c r="AL576" s="2196"/>
      <c r="AM576" s="2141">
        <f>SUM(AM564:AS575)</f>
        <v>80692123</v>
      </c>
      <c r="AN576" s="2142"/>
      <c r="AO576" s="2142"/>
      <c r="AP576" s="2142"/>
      <c r="AQ576" s="2142"/>
      <c r="AR576" s="2142"/>
      <c r="AS576" s="214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39" t="str">
        <f>C564</f>
        <v>Citi Construction Loan (Tax Exempt)</v>
      </c>
      <c r="H578" s="2039"/>
      <c r="I578" s="2039"/>
      <c r="J578" s="2039"/>
      <c r="K578" s="2039"/>
      <c r="L578" s="2039"/>
      <c r="M578" s="2039"/>
      <c r="N578" s="2039"/>
      <c r="O578" s="2039"/>
      <c r="P578" s="2039"/>
      <c r="Q578" s="2039"/>
      <c r="R578" s="2039"/>
      <c r="S578" s="14"/>
      <c r="T578" s="87" t="s">
        <v>118</v>
      </c>
      <c r="U578" s="12" t="s">
        <v>495</v>
      </c>
      <c r="Z578" s="2039" t="str">
        <f>C565</f>
        <v>Citi Construction Loan (Taxable)</v>
      </c>
      <c r="AA578" s="2039"/>
      <c r="AB578" s="2039"/>
      <c r="AC578" s="2039"/>
      <c r="AD578" s="2039"/>
      <c r="AE578" s="2039"/>
      <c r="AF578" s="2039"/>
      <c r="AG578" s="2039"/>
      <c r="AH578" s="2039"/>
      <c r="AI578" s="2039"/>
      <c r="AJ578" s="2039"/>
      <c r="AK578" s="203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8" t="s">
        <v>2596</v>
      </c>
      <c r="H579" s="2038"/>
      <c r="I579" s="2038"/>
      <c r="J579" s="2038"/>
      <c r="K579" s="2038"/>
      <c r="L579" s="2038"/>
      <c r="M579" s="2038"/>
      <c r="N579" s="2038"/>
      <c r="O579" s="2038"/>
      <c r="P579" s="2038"/>
      <c r="Q579" s="2038"/>
      <c r="R579" s="2038"/>
      <c r="S579" s="14"/>
      <c r="T579" s="35"/>
      <c r="U579" s="12" t="s">
        <v>90</v>
      </c>
      <c r="Z579" s="2038" t="s">
        <v>2596</v>
      </c>
      <c r="AA579" s="2038"/>
      <c r="AB579" s="2038"/>
      <c r="AC579" s="2038"/>
      <c r="AD579" s="2038"/>
      <c r="AE579" s="2038"/>
      <c r="AF579" s="2038"/>
      <c r="AG579" s="2038"/>
      <c r="AH579" s="2038"/>
      <c r="AI579" s="2038"/>
      <c r="AJ579" s="2038"/>
      <c r="AK579" s="203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38" t="s">
        <v>526</v>
      </c>
      <c r="H580" s="2038"/>
      <c r="I580" s="2038"/>
      <c r="J580" s="2038"/>
      <c r="K580" s="2038"/>
      <c r="L580" s="2038"/>
      <c r="M580" s="2038"/>
      <c r="N580" s="2038"/>
      <c r="O580" s="2038"/>
      <c r="P580" s="2038"/>
      <c r="Q580" s="2038"/>
      <c r="R580" s="2038"/>
      <c r="S580" s="88"/>
      <c r="T580" s="35"/>
      <c r="U580" s="12" t="s">
        <v>614</v>
      </c>
      <c r="Z580" s="2038" t="s">
        <v>526</v>
      </c>
      <c r="AA580" s="2038"/>
      <c r="AB580" s="2038"/>
      <c r="AC580" s="2038"/>
      <c r="AD580" s="2038"/>
      <c r="AE580" s="2038"/>
      <c r="AF580" s="2038"/>
      <c r="AG580" s="2038"/>
      <c r="AH580" s="2038"/>
      <c r="AI580" s="2038"/>
      <c r="AJ580" s="2038"/>
      <c r="AK580" s="2038"/>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2597</v>
      </c>
      <c r="H581" s="2038"/>
      <c r="I581" s="2038"/>
      <c r="J581" s="2038"/>
      <c r="K581" s="2038"/>
      <c r="L581" s="2038"/>
      <c r="M581" s="2038"/>
      <c r="N581" s="2038"/>
      <c r="O581" s="2038"/>
      <c r="P581" s="2038"/>
      <c r="Q581" s="2038"/>
      <c r="R581" s="2038"/>
      <c r="S581" s="14"/>
      <c r="T581" s="35"/>
      <c r="U581" s="12" t="s">
        <v>17</v>
      </c>
      <c r="Z581" s="2038" t="s">
        <v>2597</v>
      </c>
      <c r="AA581" s="2038"/>
      <c r="AB581" s="2038"/>
      <c r="AC581" s="2038"/>
      <c r="AD581" s="2038"/>
      <c r="AE581" s="2038"/>
      <c r="AF581" s="2038"/>
      <c r="AG581" s="2038"/>
      <c r="AH581" s="2038"/>
      <c r="AI581" s="2038"/>
      <c r="AJ581" s="2038"/>
      <c r="AK581" s="203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1" t="s">
        <v>2598</v>
      </c>
      <c r="H582" s="2065"/>
      <c r="I582" s="2065"/>
      <c r="J582" s="2065"/>
      <c r="K582" s="2065"/>
      <c r="L582" s="2065"/>
      <c r="O582" s="137" t="s">
        <v>212</v>
      </c>
      <c r="P582" s="2028"/>
      <c r="Q582" s="2028"/>
      <c r="R582" s="2028"/>
      <c r="S582" s="16"/>
      <c r="T582" s="35"/>
      <c r="U582" s="12" t="s">
        <v>325</v>
      </c>
      <c r="Z582" s="2192" t="s">
        <v>2599</v>
      </c>
      <c r="AA582" s="2192"/>
      <c r="AB582" s="2192"/>
      <c r="AC582" s="2192"/>
      <c r="AD582" s="2192"/>
      <c r="AE582" s="2192"/>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7" t="s">
        <v>2600</v>
      </c>
      <c r="I583" s="2038"/>
      <c r="J583" s="2038"/>
      <c r="K583" s="2038"/>
      <c r="L583" s="2038"/>
      <c r="M583" s="2038"/>
      <c r="N583" s="2038"/>
      <c r="O583" s="2038"/>
      <c r="P583" s="2038"/>
      <c r="Q583" s="2038"/>
      <c r="R583" s="2038"/>
      <c r="S583" s="14"/>
      <c r="T583" s="35"/>
      <c r="U583" s="12" t="s">
        <v>18</v>
      </c>
      <c r="AA583" s="2037" t="s">
        <v>2651</v>
      </c>
      <c r="AB583" s="2038"/>
      <c r="AC583" s="2038"/>
      <c r="AD583" s="2038"/>
      <c r="AE583" s="2038"/>
      <c r="AF583" s="2038"/>
      <c r="AG583" s="2038"/>
      <c r="AH583" s="2038"/>
      <c r="AI583" s="2038"/>
      <c r="AJ583" s="2038"/>
      <c r="AK583" s="203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7"/>
      <c r="N584" s="2197"/>
      <c r="O584" s="2197"/>
      <c r="P584" s="2197"/>
      <c r="Q584" s="2197"/>
      <c r="R584" s="2197"/>
      <c r="S584" s="14"/>
      <c r="T584" s="35"/>
      <c r="U584" s="509" t="s">
        <v>1384</v>
      </c>
      <c r="V584" s="719"/>
      <c r="W584" s="719"/>
      <c r="X584" s="719"/>
      <c r="Y584" s="719"/>
      <c r="Z584" s="719"/>
      <c r="AA584" s="14"/>
      <c r="AB584" s="14"/>
      <c r="AC584" s="14"/>
      <c r="AD584" s="14"/>
      <c r="AE584" s="14"/>
      <c r="AF584" s="2197"/>
      <c r="AG584" s="2197"/>
      <c r="AH584" s="2197"/>
      <c r="AI584" s="2197"/>
      <c r="AJ584" s="2197"/>
      <c r="AK584" s="219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577</v>
      </c>
      <c r="O585" s="2036"/>
      <c r="T585" s="35"/>
      <c r="U585" s="12" t="s">
        <v>20</v>
      </c>
      <c r="AG585" s="2036" t="s">
        <v>577</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39" t="str">
        <f>C566</f>
        <v>Federal LIHTC Equity</v>
      </c>
      <c r="H587" s="2039"/>
      <c r="I587" s="2039"/>
      <c r="J587" s="2039"/>
      <c r="K587" s="2039"/>
      <c r="L587" s="2039"/>
      <c r="M587" s="2039"/>
      <c r="N587" s="2039"/>
      <c r="O587" s="2039"/>
      <c r="P587" s="2039"/>
      <c r="Q587" s="2039"/>
      <c r="R587" s="2039"/>
      <c r="T587" s="87" t="s">
        <v>615</v>
      </c>
      <c r="U587" s="12" t="s">
        <v>495</v>
      </c>
      <c r="Z587" s="2039" t="str">
        <f>C567</f>
        <v>State LIHTC Equity</v>
      </c>
      <c r="AA587" s="2039"/>
      <c r="AB587" s="2039"/>
      <c r="AC587" s="2039"/>
      <c r="AD587" s="2039"/>
      <c r="AE587" s="2039"/>
      <c r="AF587" s="2039"/>
      <c r="AG587" s="2039"/>
      <c r="AH587" s="2039"/>
      <c r="AI587" s="2039"/>
      <c r="AJ587" s="2039"/>
      <c r="AK587" s="203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7" t="s">
        <v>2664</v>
      </c>
      <c r="H588" s="2038"/>
      <c r="I588" s="2038"/>
      <c r="J588" s="2038"/>
      <c r="K588" s="2038"/>
      <c r="L588" s="2038"/>
      <c r="M588" s="2038"/>
      <c r="N588" s="2038"/>
      <c r="O588" s="2038"/>
      <c r="P588" s="2038"/>
      <c r="Q588" s="2038"/>
      <c r="R588" s="2038"/>
      <c r="T588" s="35"/>
      <c r="U588" s="12" t="s">
        <v>90</v>
      </c>
      <c r="Z588" s="2037" t="s">
        <v>2664</v>
      </c>
      <c r="AA588" s="2038"/>
      <c r="AB588" s="2038"/>
      <c r="AC588" s="2038"/>
      <c r="AD588" s="2038"/>
      <c r="AE588" s="2038"/>
      <c r="AF588" s="2038"/>
      <c r="AG588" s="2038"/>
      <c r="AH588" s="2038"/>
      <c r="AI588" s="2038"/>
      <c r="AJ588" s="2038"/>
      <c r="AK588" s="203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0" t="s">
        <v>2665</v>
      </c>
      <c r="H589" s="2041"/>
      <c r="I589" s="2041"/>
      <c r="J589" s="2041"/>
      <c r="K589" s="2041"/>
      <c r="L589" s="2041"/>
      <c r="M589" s="2041"/>
      <c r="N589" s="2041"/>
      <c r="O589" s="2041"/>
      <c r="P589" s="2041"/>
      <c r="Q589" s="2041"/>
      <c r="R589" s="2041"/>
      <c r="T589" s="35"/>
      <c r="U589" s="12" t="s">
        <v>614</v>
      </c>
      <c r="Z589" s="2040" t="s">
        <v>2665</v>
      </c>
      <c r="AA589" s="2041"/>
      <c r="AB589" s="2041"/>
      <c r="AC589" s="2041"/>
      <c r="AD589" s="2041"/>
      <c r="AE589" s="2041"/>
      <c r="AF589" s="2041"/>
      <c r="AG589" s="2041"/>
      <c r="AH589" s="2041"/>
      <c r="AI589" s="2041"/>
      <c r="AJ589" s="2041"/>
      <c r="AK589" s="204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7" t="s">
        <v>2666</v>
      </c>
      <c r="H590" s="2038"/>
      <c r="I590" s="2038"/>
      <c r="J590" s="2038"/>
      <c r="K590" s="2038"/>
      <c r="L590" s="2038"/>
      <c r="M590" s="2038"/>
      <c r="N590" s="2038"/>
      <c r="O590" s="2038"/>
      <c r="P590" s="2038"/>
      <c r="Q590" s="2038"/>
      <c r="R590" s="2038"/>
      <c r="T590" s="35"/>
      <c r="U590" s="12" t="s">
        <v>17</v>
      </c>
      <c r="Z590" s="2037" t="s">
        <v>2666</v>
      </c>
      <c r="AA590" s="2038"/>
      <c r="AB590" s="2038"/>
      <c r="AC590" s="2038"/>
      <c r="AD590" s="2038"/>
      <c r="AE590" s="2038"/>
      <c r="AF590" s="2038"/>
      <c r="AG590" s="2038"/>
      <c r="AH590" s="2038"/>
      <c r="AI590" s="2038"/>
      <c r="AJ590" s="2038"/>
      <c r="AK590" s="203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1" t="s">
        <v>2667</v>
      </c>
      <c r="H591" s="2171"/>
      <c r="I591" s="2171"/>
      <c r="J591" s="2171"/>
      <c r="K591" s="2171"/>
      <c r="L591" s="2171"/>
      <c r="O591" s="137" t="s">
        <v>212</v>
      </c>
      <c r="P591" s="2028"/>
      <c r="Q591" s="2028"/>
      <c r="R591" s="2028"/>
      <c r="T591" s="35"/>
      <c r="U591" s="12" t="s">
        <v>325</v>
      </c>
      <c r="Z591" s="2171" t="s">
        <v>2667</v>
      </c>
      <c r="AA591" s="2171"/>
      <c r="AB591" s="2171"/>
      <c r="AC591" s="2171"/>
      <c r="AD591" s="2171"/>
      <c r="AE591" s="2171"/>
      <c r="AH591" s="137" t="s">
        <v>212</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2601</v>
      </c>
      <c r="I592" s="2038"/>
      <c r="J592" s="2038"/>
      <c r="K592" s="2038"/>
      <c r="L592" s="2038"/>
      <c r="M592" s="2038"/>
      <c r="N592" s="2038"/>
      <c r="O592" s="2038"/>
      <c r="P592" s="2038"/>
      <c r="Q592" s="2038"/>
      <c r="R592" s="2038"/>
      <c r="T592" s="35"/>
      <c r="U592" s="12" t="s">
        <v>18</v>
      </c>
      <c r="AA592" s="2038" t="s">
        <v>2601</v>
      </c>
      <c r="AB592" s="2038"/>
      <c r="AC592" s="2038"/>
      <c r="AD592" s="2038"/>
      <c r="AE592" s="2038"/>
      <c r="AF592" s="2038"/>
      <c r="AG592" s="2038"/>
      <c r="AH592" s="2038"/>
      <c r="AI592" s="2038"/>
      <c r="AJ592" s="2038"/>
      <c r="AK592" s="203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577</v>
      </c>
      <c r="O593" s="2036"/>
      <c r="T593" s="35"/>
      <c r="U593" s="12" t="s">
        <v>20</v>
      </c>
      <c r="AG593" s="2036" t="s">
        <v>577</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39" t="str">
        <f>C568</f>
        <v>Deferred Costs</v>
      </c>
      <c r="H595" s="2039"/>
      <c r="I595" s="2039"/>
      <c r="J595" s="2039"/>
      <c r="K595" s="2039"/>
      <c r="L595" s="2039"/>
      <c r="M595" s="2039"/>
      <c r="N595" s="2039"/>
      <c r="O595" s="2039"/>
      <c r="P595" s="2039"/>
      <c r="Q595" s="2039"/>
      <c r="R595" s="2039"/>
      <c r="T595" s="87" t="s">
        <v>618</v>
      </c>
      <c r="U595" s="12" t="s">
        <v>495</v>
      </c>
      <c r="Z595" s="2039">
        <f>C569</f>
        <v>0</v>
      </c>
      <c r="AA595" s="2039"/>
      <c r="AB595" s="2039"/>
      <c r="AC595" s="2039"/>
      <c r="AD595" s="2039"/>
      <c r="AE595" s="2039"/>
      <c r="AF595" s="2039"/>
      <c r="AG595" s="2039"/>
      <c r="AH595" s="2039"/>
      <c r="AI595" s="2039"/>
      <c r="AJ595" s="2039"/>
      <c r="AK595" s="203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7"/>
      <c r="H596" s="2038"/>
      <c r="I596" s="2038"/>
      <c r="J596" s="2038"/>
      <c r="K596" s="2038"/>
      <c r="L596" s="2038"/>
      <c r="M596" s="2038"/>
      <c r="N596" s="2038"/>
      <c r="O596" s="2038"/>
      <c r="P596" s="2038"/>
      <c r="Q596" s="2038"/>
      <c r="R596" s="2038"/>
      <c r="T596" s="35"/>
      <c r="U596" s="12" t="s">
        <v>90</v>
      </c>
      <c r="Z596" s="2038"/>
      <c r="AA596" s="2038"/>
      <c r="AB596" s="2038"/>
      <c r="AC596" s="2038"/>
      <c r="AD596" s="2038"/>
      <c r="AE596" s="2038"/>
      <c r="AF596" s="2038"/>
      <c r="AG596" s="2038"/>
      <c r="AH596" s="2038"/>
      <c r="AI596" s="2038"/>
      <c r="AJ596" s="2038"/>
      <c r="AK596" s="203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0"/>
      <c r="H597" s="2041"/>
      <c r="I597" s="2041"/>
      <c r="J597" s="2041"/>
      <c r="K597" s="2041"/>
      <c r="L597" s="2041"/>
      <c r="M597" s="2041"/>
      <c r="N597" s="2041"/>
      <c r="O597" s="2041"/>
      <c r="P597" s="2041"/>
      <c r="Q597" s="2041"/>
      <c r="R597" s="2041"/>
      <c r="T597" s="35"/>
      <c r="U597" s="12" t="s">
        <v>614</v>
      </c>
      <c r="Z597" s="2041"/>
      <c r="AA597" s="2041"/>
      <c r="AB597" s="2041"/>
      <c r="AC597" s="2041"/>
      <c r="AD597" s="2041"/>
      <c r="AE597" s="2041"/>
      <c r="AF597" s="2041"/>
      <c r="AG597" s="2041"/>
      <c r="AH597" s="2041"/>
      <c r="AI597" s="2041"/>
      <c r="AJ597" s="2041"/>
      <c r="AK597" s="204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7"/>
      <c r="H598" s="2038"/>
      <c r="I598" s="2038"/>
      <c r="J598" s="2038"/>
      <c r="K598" s="2038"/>
      <c r="L598" s="2038"/>
      <c r="M598" s="2038"/>
      <c r="N598" s="2038"/>
      <c r="O598" s="2038"/>
      <c r="P598" s="2038"/>
      <c r="Q598" s="2038"/>
      <c r="R598" s="2038"/>
      <c r="T598" s="35"/>
      <c r="U598" s="12" t="s">
        <v>17</v>
      </c>
      <c r="Z598" s="2041"/>
      <c r="AA598" s="2041"/>
      <c r="AB598" s="2041"/>
      <c r="AC598" s="2041"/>
      <c r="AD598" s="2041"/>
      <c r="AE598" s="2041"/>
      <c r="AF598" s="2041"/>
      <c r="AG598" s="2041"/>
      <c r="AH598" s="2041"/>
      <c r="AI598" s="2041"/>
      <c r="AJ598" s="2041"/>
      <c r="AK598" s="204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71"/>
      <c r="H599" s="2171"/>
      <c r="I599" s="2171"/>
      <c r="J599" s="2171"/>
      <c r="K599" s="2171"/>
      <c r="L599" s="2171"/>
      <c r="O599" s="137" t="s">
        <v>212</v>
      </c>
      <c r="P599" s="2028"/>
      <c r="Q599" s="2028"/>
      <c r="R599" s="2028"/>
      <c r="T599" s="35"/>
      <c r="U599" s="12" t="s">
        <v>325</v>
      </c>
      <c r="Z599" s="2171"/>
      <c r="AA599" s="2065"/>
      <c r="AB599" s="2065"/>
      <c r="AC599" s="2065"/>
      <c r="AD599" s="2065"/>
      <c r="AE599" s="2065"/>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8"/>
      <c r="I600" s="2038"/>
      <c r="J600" s="2038"/>
      <c r="K600" s="2038"/>
      <c r="L600" s="2038"/>
      <c r="M600" s="2038"/>
      <c r="N600" s="2038"/>
      <c r="O600" s="2038"/>
      <c r="P600" s="2038"/>
      <c r="Q600" s="2038"/>
      <c r="R600" s="2038"/>
      <c r="T600" s="35"/>
      <c r="U600" s="12" t="s">
        <v>18</v>
      </c>
      <c r="AA600" s="2038"/>
      <c r="AB600" s="2038"/>
      <c r="AC600" s="2038"/>
      <c r="AD600" s="2038"/>
      <c r="AE600" s="2038"/>
      <c r="AF600" s="2038"/>
      <c r="AG600" s="2038"/>
      <c r="AH600" s="2038"/>
      <c r="AI600" s="2038"/>
      <c r="AJ600" s="2038"/>
      <c r="AK600" s="203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6" t="s">
        <v>577</v>
      </c>
      <c r="O601" s="2036"/>
      <c r="T601" s="35"/>
      <c r="U601" s="12" t="s">
        <v>20</v>
      </c>
      <c r="AG601" s="2036" t="s">
        <v>705</v>
      </c>
      <c r="AH601" s="203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39">
        <f>C570</f>
        <v>0</v>
      </c>
      <c r="H603" s="2039"/>
      <c r="I603" s="2039"/>
      <c r="J603" s="2039"/>
      <c r="K603" s="2039"/>
      <c r="L603" s="2039"/>
      <c r="M603" s="2039"/>
      <c r="N603" s="2039"/>
      <c r="O603" s="2039"/>
      <c r="P603" s="2039"/>
      <c r="Q603" s="2039"/>
      <c r="R603" s="2039"/>
      <c r="T603" s="87" t="s">
        <v>487</v>
      </c>
      <c r="U603" s="12" t="s">
        <v>495</v>
      </c>
      <c r="Z603" s="2039">
        <f>C571</f>
        <v>0</v>
      </c>
      <c r="AA603" s="2039"/>
      <c r="AB603" s="2039"/>
      <c r="AC603" s="2039"/>
      <c r="AD603" s="2039"/>
      <c r="AE603" s="2039"/>
      <c r="AF603" s="2039"/>
      <c r="AG603" s="2039"/>
      <c r="AH603" s="2039"/>
      <c r="AI603" s="2039"/>
      <c r="AJ603" s="2039"/>
      <c r="AK603" s="203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8"/>
      <c r="H604" s="2038"/>
      <c r="I604" s="2038"/>
      <c r="J604" s="2038"/>
      <c r="K604" s="2038"/>
      <c r="L604" s="2038"/>
      <c r="M604" s="2038"/>
      <c r="N604" s="2038"/>
      <c r="O604" s="2038"/>
      <c r="P604" s="2038"/>
      <c r="Q604" s="2038"/>
      <c r="R604" s="2038"/>
      <c r="T604" s="35"/>
      <c r="U604" s="12" t="s">
        <v>90</v>
      </c>
      <c r="Z604" s="2038"/>
      <c r="AA604" s="2038"/>
      <c r="AB604" s="2038"/>
      <c r="AC604" s="2038"/>
      <c r="AD604" s="2038"/>
      <c r="AE604" s="2038"/>
      <c r="AF604" s="2038"/>
      <c r="AG604" s="2038"/>
      <c r="AH604" s="2038"/>
      <c r="AI604" s="2038"/>
      <c r="AJ604" s="2038"/>
      <c r="AK604" s="203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8"/>
      <c r="H605" s="2038"/>
      <c r="I605" s="2038"/>
      <c r="J605" s="2038"/>
      <c r="K605" s="2038"/>
      <c r="L605" s="2038"/>
      <c r="M605" s="2038"/>
      <c r="N605" s="2038"/>
      <c r="O605" s="2038"/>
      <c r="P605" s="2038"/>
      <c r="Q605" s="2038"/>
      <c r="R605" s="2038"/>
      <c r="T605" s="35"/>
      <c r="U605" s="12" t="s">
        <v>614</v>
      </c>
      <c r="Z605" s="2041"/>
      <c r="AA605" s="2041"/>
      <c r="AB605" s="2041"/>
      <c r="AC605" s="2041"/>
      <c r="AD605" s="2041"/>
      <c r="AE605" s="2041"/>
      <c r="AF605" s="2041"/>
      <c r="AG605" s="2041"/>
      <c r="AH605" s="2041"/>
      <c r="AI605" s="2041"/>
      <c r="AJ605" s="2041"/>
      <c r="AK605" s="204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8"/>
      <c r="H606" s="2038"/>
      <c r="I606" s="2038"/>
      <c r="J606" s="2038"/>
      <c r="K606" s="2038"/>
      <c r="L606" s="2038"/>
      <c r="M606" s="2038"/>
      <c r="N606" s="2038"/>
      <c r="O606" s="2038"/>
      <c r="P606" s="2038"/>
      <c r="Q606" s="2038"/>
      <c r="R606" s="2038"/>
      <c r="T606" s="35"/>
      <c r="U606" s="12" t="s">
        <v>17</v>
      </c>
      <c r="Z606" s="2041"/>
      <c r="AA606" s="2041"/>
      <c r="AB606" s="2041"/>
      <c r="AC606" s="2041"/>
      <c r="AD606" s="2041"/>
      <c r="AE606" s="2041"/>
      <c r="AF606" s="2041"/>
      <c r="AG606" s="2041"/>
      <c r="AH606" s="2041"/>
      <c r="AI606" s="2041"/>
      <c r="AJ606" s="2041"/>
      <c r="AK606" s="204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5"/>
      <c r="H607" s="2065"/>
      <c r="I607" s="2065"/>
      <c r="J607" s="2065"/>
      <c r="K607" s="2065"/>
      <c r="L607" s="2065"/>
      <c r="M607" s="12"/>
      <c r="N607" s="12"/>
      <c r="O607" s="137" t="s">
        <v>212</v>
      </c>
      <c r="P607" s="2028"/>
      <c r="Q607" s="2028"/>
      <c r="R607" s="2028"/>
      <c r="S607" s="12"/>
      <c r="T607" s="35"/>
      <c r="U607" s="12" t="s">
        <v>325</v>
      </c>
      <c r="V607" s="12"/>
      <c r="W607" s="12"/>
      <c r="X607" s="12"/>
      <c r="Y607" s="12"/>
      <c r="Z607" s="2065"/>
      <c r="AA607" s="2065"/>
      <c r="AB607" s="2065"/>
      <c r="AC607" s="2065"/>
      <c r="AD607" s="2065"/>
      <c r="AE607" s="2065"/>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8"/>
      <c r="I608" s="2038"/>
      <c r="J608" s="2038"/>
      <c r="K608" s="2038"/>
      <c r="L608" s="2038"/>
      <c r="M608" s="2038"/>
      <c r="N608" s="2038"/>
      <c r="O608" s="2038"/>
      <c r="P608" s="2038"/>
      <c r="Q608" s="2038"/>
      <c r="R608" s="2038"/>
      <c r="S608" s="12"/>
      <c r="T608" s="35"/>
      <c r="U608" s="12" t="s">
        <v>18</v>
      </c>
      <c r="V608" s="12"/>
      <c r="W608" s="12"/>
      <c r="X608" s="12"/>
      <c r="Y608" s="12"/>
      <c r="Z608" s="12"/>
      <c r="AA608" s="2038"/>
      <c r="AB608" s="2038"/>
      <c r="AC608" s="2038"/>
      <c r="AD608" s="2038"/>
      <c r="AE608" s="2038"/>
      <c r="AF608" s="2038"/>
      <c r="AG608" s="2038"/>
      <c r="AH608" s="2038"/>
      <c r="AI608" s="2038"/>
      <c r="AJ608" s="2038"/>
      <c r="AK608" s="203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6" t="s">
        <v>705</v>
      </c>
      <c r="O609" s="2036"/>
      <c r="P609" s="12"/>
      <c r="Q609" s="12"/>
      <c r="R609" s="12"/>
      <c r="S609" s="12"/>
      <c r="T609" s="35"/>
      <c r="U609" s="12" t="s">
        <v>20</v>
      </c>
      <c r="V609" s="12"/>
      <c r="W609" s="12"/>
      <c r="X609" s="12"/>
      <c r="Y609" s="12"/>
      <c r="Z609" s="12"/>
      <c r="AA609" s="12"/>
      <c r="AB609" s="12"/>
      <c r="AC609" s="12"/>
      <c r="AD609" s="12"/>
      <c r="AE609" s="12"/>
      <c r="AF609" s="12"/>
      <c r="AG609" s="2036" t="s">
        <v>705</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4"/>
      <c r="BH609" s="2016"/>
      <c r="BI609" s="185" t="s">
        <v>507</v>
      </c>
      <c r="BJ609" s="186"/>
      <c r="BK609" s="2014"/>
      <c r="BL609" s="2016"/>
      <c r="BM609" s="58"/>
      <c r="BN609" s="2385" t="s">
        <v>667</v>
      </c>
      <c r="BO609" s="2386"/>
      <c r="BP609" s="2386"/>
      <c r="BQ609" s="2386"/>
      <c r="BR609" s="2387"/>
      <c r="BS609" s="2191" t="s">
        <v>334</v>
      </c>
      <c r="BT609" s="2191"/>
      <c r="BU609" s="2191"/>
      <c r="BV609" s="2191"/>
      <c r="BW609" s="2191"/>
      <c r="BX609" s="2191" t="s">
        <v>168</v>
      </c>
      <c r="BY609" s="2191"/>
      <c r="BZ609" s="2191"/>
      <c r="CA609" s="2191"/>
      <c r="CB609" s="2191"/>
      <c r="CC609" s="2191" t="s">
        <v>169</v>
      </c>
      <c r="CD609" s="2191"/>
      <c r="CE609" s="2191"/>
      <c r="CF609" s="2191"/>
      <c r="CG609" s="2191"/>
      <c r="CH609" s="2191" t="s">
        <v>492</v>
      </c>
      <c r="CI609" s="2191"/>
      <c r="CJ609" s="2191"/>
      <c r="CK609" s="2191"/>
      <c r="CL609" s="2191"/>
      <c r="CM609" s="2191" t="s">
        <v>31</v>
      </c>
      <c r="CN609" s="2191"/>
      <c r="CO609" s="2191"/>
      <c r="CP609" s="2191"/>
      <c r="CQ609" s="2191"/>
      <c r="CR609" s="1804"/>
      <c r="CS609" s="2191" t="s">
        <v>667</v>
      </c>
      <c r="CT609" s="2191"/>
      <c r="CU609" s="2191"/>
      <c r="CV609" s="2191"/>
      <c r="CW609" s="2191"/>
      <c r="CX609" s="2191" t="s">
        <v>334</v>
      </c>
      <c r="CY609" s="2191"/>
      <c r="CZ609" s="2191"/>
      <c r="DA609" s="2191"/>
      <c r="DB609" s="2191"/>
      <c r="DC609" s="2191" t="s">
        <v>168</v>
      </c>
      <c r="DD609" s="2191"/>
      <c r="DE609" s="2191"/>
      <c r="DF609" s="2191"/>
      <c r="DG609" s="2191"/>
      <c r="DH609" s="2191" t="s">
        <v>169</v>
      </c>
      <c r="DI609" s="2191"/>
      <c r="DJ609" s="2191"/>
      <c r="DK609" s="2191"/>
      <c r="DL609" s="2191"/>
      <c r="DM609" s="2191" t="s">
        <v>492</v>
      </c>
      <c r="DN609" s="2191"/>
      <c r="DO609" s="2191"/>
      <c r="DP609" s="2191"/>
      <c r="DQ609" s="2191"/>
      <c r="DR609" s="2191" t="s">
        <v>31</v>
      </c>
      <c r="DS609" s="2191"/>
      <c r="DT609" s="2191"/>
      <c r="DU609" s="2191"/>
      <c r="DV609" s="2191"/>
      <c r="DX609" s="2191" t="s">
        <v>667</v>
      </c>
      <c r="DY609" s="2191"/>
      <c r="DZ609" s="2191"/>
      <c r="EA609" s="2191"/>
      <c r="EB609" s="2191"/>
      <c r="EC609" s="2191" t="s">
        <v>334</v>
      </c>
      <c r="ED609" s="2191"/>
      <c r="EE609" s="2191"/>
      <c r="EF609" s="2191"/>
      <c r="EG609" s="2191"/>
      <c r="EH609" s="2191" t="s">
        <v>168</v>
      </c>
      <c r="EI609" s="2191"/>
      <c r="EJ609" s="2191"/>
      <c r="EK609" s="2191"/>
      <c r="EL609" s="2191"/>
      <c r="EM609" s="2191" t="s">
        <v>169</v>
      </c>
      <c r="EN609" s="2191"/>
      <c r="EO609" s="2191"/>
      <c r="EP609" s="2191"/>
      <c r="EQ609" s="2191"/>
      <c r="ER609" s="2191" t="s">
        <v>492</v>
      </c>
      <c r="ES609" s="2191"/>
      <c r="ET609" s="2191"/>
      <c r="EU609" s="2191"/>
      <c r="EV609" s="2191"/>
      <c r="EW609" s="2191" t="s">
        <v>31</v>
      </c>
      <c r="EX609" s="2191"/>
      <c r="EY609" s="2191"/>
      <c r="EZ609" s="2191"/>
      <c r="FA609" s="219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0</v>
      </c>
      <c r="BJ610" s="2018"/>
      <c r="BK610" s="2014">
        <f t="shared" ref="BK610:BK634" si="3">IF(BI610=1,G728,0)</f>
        <v>0</v>
      </c>
      <c r="BL610" s="2016"/>
      <c r="BM610" s="58"/>
      <c r="BN610" s="2011">
        <f t="shared" ref="BN610:BN634" si="4">IF(B728="SRO/Studio",G728,0)</f>
        <v>0</v>
      </c>
      <c r="BO610" s="2012"/>
      <c r="BP610" s="2012"/>
      <c r="BQ610" s="2012"/>
      <c r="BR610" s="2013"/>
      <c r="BS610" s="2010">
        <f t="shared" ref="BS610:BS634" si="5">IF(B728="1 Bedroom",G728,0)</f>
        <v>0</v>
      </c>
      <c r="BT610" s="2010"/>
      <c r="BU610" s="2010"/>
      <c r="BV610" s="2010"/>
      <c r="BW610" s="2010"/>
      <c r="BX610" s="2010">
        <f t="shared" ref="BX610:BX634" si="6">IF(B728="2 Bedrooms",G728,0)</f>
        <v>4</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76">
        <f t="shared" ref="CS610:CS634" si="10">IF(AND(B728="SRO/Studio",AH728&lt;=0.3),G728,0)</f>
        <v>0</v>
      </c>
      <c r="CT610" s="2376"/>
      <c r="CU610" s="2376"/>
      <c r="CV610" s="2376"/>
      <c r="CW610" s="2376"/>
      <c r="CX610" s="2376">
        <f t="shared" ref="CX610:CX634" si="11">IF(AND(B728="1 Bedroom",AH728&lt;=0.3),G728,0)</f>
        <v>0</v>
      </c>
      <c r="CY610" s="2376"/>
      <c r="CZ610" s="2376"/>
      <c r="DA610" s="2376"/>
      <c r="DB610" s="2376"/>
      <c r="DC610" s="2376">
        <f t="shared" ref="DC610:DC634" si="12">IF(AND(B728="2 Bedrooms",AH728&lt;=0.3),G728,0)</f>
        <v>0</v>
      </c>
      <c r="DD610" s="2376"/>
      <c r="DE610" s="2376"/>
      <c r="DF610" s="2376"/>
      <c r="DG610" s="2376"/>
      <c r="DH610" s="2376">
        <f t="shared" ref="DH610:DH634" si="13">IF(AND(B728="3 Bedrooms",AH728&lt;=0.3),G728,0)</f>
        <v>0</v>
      </c>
      <c r="DI610" s="2376"/>
      <c r="DJ610" s="2376"/>
      <c r="DK610" s="2376"/>
      <c r="DL610" s="2376"/>
      <c r="DM610" s="2376">
        <f t="shared" ref="DM610:DM634" si="14">IF(AND(B728="4 Bedrooms",AH728&lt;=0.3),G728,0)</f>
        <v>0</v>
      </c>
      <c r="DN610" s="2376"/>
      <c r="DO610" s="2376"/>
      <c r="DP610" s="2376"/>
      <c r="DQ610" s="2376"/>
      <c r="DR610" s="2376">
        <f t="shared" ref="DR610:DR634" si="15">IF(AND(B728="5 Bedrooms",AH728&lt;=0.3),G728,0)</f>
        <v>0</v>
      </c>
      <c r="DS610" s="2376"/>
      <c r="DT610" s="2376"/>
      <c r="DU610" s="2376"/>
      <c r="DV610" s="2376"/>
      <c r="DX610" s="2017" t="str">
        <f t="shared" ref="DX610:DX634" si="16">IF(BN610&gt;0,O728," ")</f>
        <v xml:space="preserve"> </v>
      </c>
      <c r="DY610" s="2189"/>
      <c r="DZ610" s="2189"/>
      <c r="EA610" s="2189"/>
      <c r="EB610" s="2018"/>
      <c r="EC610" s="2017" t="str">
        <f t="shared" ref="EC610:EC634" si="17">IF(BS610&gt;0,O728," ")</f>
        <v xml:space="preserve"> </v>
      </c>
      <c r="ED610" s="2189"/>
      <c r="EE610" s="2189"/>
      <c r="EF610" s="2189"/>
      <c r="EG610" s="2018"/>
      <c r="EH610" s="2017">
        <f t="shared" ref="EH610:EH634" si="18">IF(BX610&gt;0,O728," ")</f>
        <v>1718</v>
      </c>
      <c r="EI610" s="2189"/>
      <c r="EJ610" s="2189"/>
      <c r="EK610" s="2189"/>
      <c r="EL610" s="2018"/>
      <c r="EM610" s="2017" t="str">
        <f t="shared" ref="EM610:EM634" si="19">IF(CC610&gt;0,O728," ")</f>
        <v xml:space="preserve"> </v>
      </c>
      <c r="EN610" s="2189"/>
      <c r="EO610" s="2189"/>
      <c r="EP610" s="2189"/>
      <c r="EQ610" s="2018"/>
      <c r="ER610" s="2017" t="str">
        <f t="shared" ref="ER610:ER634" si="20">IF(CH610&gt;0,O728," ")</f>
        <v xml:space="preserve"> </v>
      </c>
      <c r="ES610" s="2189"/>
      <c r="ET610" s="2189"/>
      <c r="EU610" s="2189"/>
      <c r="EV610" s="2018"/>
      <c r="EW610" s="2017" t="str">
        <f t="shared" ref="EW610:EW634" si="21">IF(CM610&gt;0,O728," ")</f>
        <v xml:space="preserve"> </v>
      </c>
      <c r="EX610" s="2189"/>
      <c r="EY610" s="2189"/>
      <c r="EZ610" s="2189"/>
      <c r="FA610" s="2018"/>
    </row>
    <row r="611" spans="1:157" s="7" customFormat="1" ht="12.75">
      <c r="A611" s="87" t="s">
        <v>493</v>
      </c>
      <c r="B611" s="12" t="s">
        <v>495</v>
      </c>
      <c r="C611" s="12"/>
      <c r="D611" s="12"/>
      <c r="E611" s="12"/>
      <c r="F611" s="12"/>
      <c r="G611" s="2039">
        <f>C572</f>
        <v>0</v>
      </c>
      <c r="H611" s="2039"/>
      <c r="I611" s="2039"/>
      <c r="J611" s="2039"/>
      <c r="K611" s="2039"/>
      <c r="L611" s="2039"/>
      <c r="M611" s="2039"/>
      <c r="N611" s="2039"/>
      <c r="O611" s="2039"/>
      <c r="P611" s="2039"/>
      <c r="Q611" s="2039"/>
      <c r="R611" s="2039"/>
      <c r="S611" s="12"/>
      <c r="T611" s="87" t="s">
        <v>680</v>
      </c>
      <c r="U611" s="12" t="s">
        <v>495</v>
      </c>
      <c r="V611" s="12"/>
      <c r="W611" s="12"/>
      <c r="X611" s="12"/>
      <c r="Y611" s="12"/>
      <c r="Z611" s="2039">
        <f>C573</f>
        <v>0</v>
      </c>
      <c r="AA611" s="2039"/>
      <c r="AB611" s="2039"/>
      <c r="AC611" s="2039"/>
      <c r="AD611" s="2039"/>
      <c r="AE611" s="2039"/>
      <c r="AF611" s="2039"/>
      <c r="AG611" s="2039"/>
      <c r="AH611" s="2039"/>
      <c r="AI611" s="2039"/>
      <c r="AJ611" s="2039"/>
      <c r="AK611" s="2039"/>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1</v>
      </c>
      <c r="BH611" s="2016"/>
      <c r="BI611" s="2017">
        <f t="shared" si="2"/>
        <v>0</v>
      </c>
      <c r="BJ611" s="2018"/>
      <c r="BK611" s="2014">
        <f t="shared" si="3"/>
        <v>0</v>
      </c>
      <c r="BL611" s="2016"/>
      <c r="BM611" s="58"/>
      <c r="BN611" s="2011">
        <f t="shared" si="4"/>
        <v>0</v>
      </c>
      <c r="BO611" s="2012"/>
      <c r="BP611" s="2012"/>
      <c r="BQ611" s="2012"/>
      <c r="BR611" s="2013"/>
      <c r="BS611" s="2010">
        <f t="shared" si="5"/>
        <v>0</v>
      </c>
      <c r="BT611" s="2010"/>
      <c r="BU611" s="2010"/>
      <c r="BV611" s="2010"/>
      <c r="BW611" s="2010"/>
      <c r="BX611" s="2010">
        <f t="shared" si="6"/>
        <v>1</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76">
        <f t="shared" si="10"/>
        <v>0</v>
      </c>
      <c r="CT611" s="2376"/>
      <c r="CU611" s="2376"/>
      <c r="CV611" s="2376"/>
      <c r="CW611" s="2376"/>
      <c r="CX611" s="2376">
        <f t="shared" si="11"/>
        <v>0</v>
      </c>
      <c r="CY611" s="2376"/>
      <c r="CZ611" s="2376"/>
      <c r="DA611" s="2376"/>
      <c r="DB611" s="2376"/>
      <c r="DC611" s="2376">
        <f t="shared" si="12"/>
        <v>0</v>
      </c>
      <c r="DD611" s="2376"/>
      <c r="DE611" s="2376"/>
      <c r="DF611" s="2376"/>
      <c r="DG611" s="2376"/>
      <c r="DH611" s="2376">
        <f t="shared" si="13"/>
        <v>0</v>
      </c>
      <c r="DI611" s="2376"/>
      <c r="DJ611" s="2376"/>
      <c r="DK611" s="2376"/>
      <c r="DL611" s="2376"/>
      <c r="DM611" s="2376">
        <f t="shared" si="14"/>
        <v>0</v>
      </c>
      <c r="DN611" s="2376"/>
      <c r="DO611" s="2376"/>
      <c r="DP611" s="2376"/>
      <c r="DQ611" s="2376"/>
      <c r="DR611" s="2376">
        <f t="shared" si="15"/>
        <v>0</v>
      </c>
      <c r="DS611" s="2376"/>
      <c r="DT611" s="2376"/>
      <c r="DU611" s="2376"/>
      <c r="DV611" s="2376"/>
      <c r="DX611" s="2017" t="str">
        <f t="shared" si="16"/>
        <v xml:space="preserve"> </v>
      </c>
      <c r="DY611" s="2189"/>
      <c r="DZ611" s="2189"/>
      <c r="EA611" s="2189"/>
      <c r="EB611" s="2018"/>
      <c r="EC611" s="2017" t="str">
        <f t="shared" si="17"/>
        <v xml:space="preserve"> </v>
      </c>
      <c r="ED611" s="2189"/>
      <c r="EE611" s="2189"/>
      <c r="EF611" s="2189"/>
      <c r="EG611" s="2018"/>
      <c r="EH611" s="2017">
        <f t="shared" si="18"/>
        <v>1194</v>
      </c>
      <c r="EI611" s="2189"/>
      <c r="EJ611" s="2189"/>
      <c r="EK611" s="2189"/>
      <c r="EL611" s="2018"/>
      <c r="EM611" s="2017" t="str">
        <f t="shared" si="19"/>
        <v xml:space="preserve"> </v>
      </c>
      <c r="EN611" s="2189"/>
      <c r="EO611" s="2189"/>
      <c r="EP611" s="2189"/>
      <c r="EQ611" s="2018"/>
      <c r="ER611" s="2017" t="str">
        <f t="shared" si="20"/>
        <v xml:space="preserve"> </v>
      </c>
      <c r="ES611" s="2189"/>
      <c r="ET611" s="2189"/>
      <c r="EU611" s="2189"/>
      <c r="EV611" s="2018"/>
      <c r="EW611" s="2017" t="str">
        <f t="shared" si="21"/>
        <v xml:space="preserve"> </v>
      </c>
      <c r="EX611" s="2189"/>
      <c r="EY611" s="2189"/>
      <c r="EZ611" s="2189"/>
      <c r="FA611" s="2018"/>
    </row>
    <row r="612" spans="1:157" ht="12.75">
      <c r="A612" s="35"/>
      <c r="B612" s="12" t="s">
        <v>90</v>
      </c>
      <c r="G612" s="2038"/>
      <c r="H612" s="2038"/>
      <c r="I612" s="2038"/>
      <c r="J612" s="2038"/>
      <c r="K612" s="2038"/>
      <c r="L612" s="2038"/>
      <c r="M612" s="2038"/>
      <c r="N612" s="2038"/>
      <c r="O612" s="2038"/>
      <c r="P612" s="2038"/>
      <c r="Q612" s="2038"/>
      <c r="R612" s="2038"/>
      <c r="T612" s="35"/>
      <c r="U612" s="12" t="s">
        <v>90</v>
      </c>
      <c r="Z612" s="2038"/>
      <c r="AA612" s="2038"/>
      <c r="AB612" s="2038"/>
      <c r="AC612" s="2038"/>
      <c r="AD612" s="2038"/>
      <c r="AE612" s="2038"/>
      <c r="AF612" s="2038"/>
      <c r="AG612" s="2038"/>
      <c r="AH612" s="2038"/>
      <c r="AI612" s="2038"/>
      <c r="AJ612" s="2038"/>
      <c r="AK612" s="2038"/>
      <c r="BA612" s="7" t="s">
        <v>169</v>
      </c>
      <c r="BB612" s="58"/>
      <c r="BC612" s="58"/>
      <c r="BD612" s="58"/>
      <c r="BE612" s="2017">
        <f t="shared" si="0"/>
        <v>0</v>
      </c>
      <c r="BF612" s="2018"/>
      <c r="BG612" s="2014">
        <f t="shared" si="1"/>
        <v>0</v>
      </c>
      <c r="BH612" s="2016"/>
      <c r="BI612" s="2017">
        <f t="shared" si="2"/>
        <v>1</v>
      </c>
      <c r="BJ612" s="2018"/>
      <c r="BK612" s="2014">
        <f t="shared" si="3"/>
        <v>1</v>
      </c>
      <c r="BL612" s="2016"/>
      <c r="BM612" s="58"/>
      <c r="BN612" s="2011">
        <f t="shared" si="4"/>
        <v>0</v>
      </c>
      <c r="BO612" s="2012"/>
      <c r="BP612" s="2012"/>
      <c r="BQ612" s="2012"/>
      <c r="BR612" s="2013"/>
      <c r="BS612" s="2010">
        <f t="shared" si="5"/>
        <v>0</v>
      </c>
      <c r="BT612" s="2010"/>
      <c r="BU612" s="2010"/>
      <c r="BV612" s="2010"/>
      <c r="BW612" s="2010"/>
      <c r="BX612" s="2010">
        <f t="shared" si="6"/>
        <v>1</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76">
        <f t="shared" si="10"/>
        <v>0</v>
      </c>
      <c r="CT612" s="2376"/>
      <c r="CU612" s="2376"/>
      <c r="CV612" s="2376"/>
      <c r="CW612" s="2376"/>
      <c r="CX612" s="2376">
        <f t="shared" si="11"/>
        <v>0</v>
      </c>
      <c r="CY612" s="2376"/>
      <c r="CZ612" s="2376"/>
      <c r="DA612" s="2376"/>
      <c r="DB612" s="2376"/>
      <c r="DC612" s="2376">
        <f t="shared" si="12"/>
        <v>1</v>
      </c>
      <c r="DD612" s="2376"/>
      <c r="DE612" s="2376"/>
      <c r="DF612" s="2376"/>
      <c r="DG612" s="2376"/>
      <c r="DH612" s="2376">
        <f t="shared" si="13"/>
        <v>0</v>
      </c>
      <c r="DI612" s="2376"/>
      <c r="DJ612" s="2376"/>
      <c r="DK612" s="2376"/>
      <c r="DL612" s="2376"/>
      <c r="DM612" s="2376">
        <f t="shared" si="14"/>
        <v>0</v>
      </c>
      <c r="DN612" s="2376"/>
      <c r="DO612" s="2376"/>
      <c r="DP612" s="2376"/>
      <c r="DQ612" s="2376"/>
      <c r="DR612" s="2376">
        <f t="shared" si="15"/>
        <v>0</v>
      </c>
      <c r="DS612" s="2376"/>
      <c r="DT612" s="2376"/>
      <c r="DU612" s="2376"/>
      <c r="DV612" s="2376"/>
      <c r="DX612" s="2017" t="str">
        <f t="shared" si="16"/>
        <v xml:space="preserve"> </v>
      </c>
      <c r="DY612" s="2189"/>
      <c r="DZ612" s="2189"/>
      <c r="EA612" s="2189"/>
      <c r="EB612" s="2018"/>
      <c r="EC612" s="2017" t="str">
        <f t="shared" si="17"/>
        <v xml:space="preserve"> </v>
      </c>
      <c r="ED612" s="2189"/>
      <c r="EE612" s="2189"/>
      <c r="EF612" s="2189"/>
      <c r="EG612" s="2018"/>
      <c r="EH612" s="2017">
        <f t="shared" si="18"/>
        <v>671</v>
      </c>
      <c r="EI612" s="2189"/>
      <c r="EJ612" s="2189"/>
      <c r="EK612" s="2189"/>
      <c r="EL612" s="2018"/>
      <c r="EM612" s="2017" t="str">
        <f t="shared" si="19"/>
        <v xml:space="preserve"> </v>
      </c>
      <c r="EN612" s="2189"/>
      <c r="EO612" s="2189"/>
      <c r="EP612" s="2189"/>
      <c r="EQ612" s="2018"/>
      <c r="ER612" s="2017" t="str">
        <f t="shared" si="20"/>
        <v xml:space="preserve"> </v>
      </c>
      <c r="ES612" s="2189"/>
      <c r="ET612" s="2189"/>
      <c r="EU612" s="2189"/>
      <c r="EV612" s="2018"/>
      <c r="EW612" s="2017" t="str">
        <f t="shared" si="21"/>
        <v xml:space="preserve"> </v>
      </c>
      <c r="EX612" s="2189"/>
      <c r="EY612" s="2189"/>
      <c r="EZ612" s="2189"/>
      <c r="FA612" s="2018"/>
    </row>
    <row r="613" spans="1:157" ht="12.75">
      <c r="A613" s="35"/>
      <c r="B613" s="12" t="s">
        <v>614</v>
      </c>
      <c r="G613" s="2038"/>
      <c r="H613" s="2038"/>
      <c r="I613" s="2038"/>
      <c r="J613" s="2038"/>
      <c r="K613" s="2038"/>
      <c r="L613" s="2038"/>
      <c r="M613" s="2038"/>
      <c r="N613" s="2038"/>
      <c r="O613" s="2038"/>
      <c r="P613" s="2038"/>
      <c r="Q613" s="2038"/>
      <c r="R613" s="2038"/>
      <c r="T613" s="35"/>
      <c r="U613" s="12" t="s">
        <v>614</v>
      </c>
      <c r="Z613" s="2041"/>
      <c r="AA613" s="2041"/>
      <c r="AB613" s="2041"/>
      <c r="AC613" s="2041"/>
      <c r="AD613" s="2041"/>
      <c r="AE613" s="2041"/>
      <c r="AF613" s="2041"/>
      <c r="AG613" s="2041"/>
      <c r="AH613" s="2041"/>
      <c r="AI613" s="2041"/>
      <c r="AJ613" s="2041"/>
      <c r="AK613" s="2041"/>
      <c r="BA613" s="7" t="s">
        <v>170</v>
      </c>
      <c r="BB613" s="58"/>
      <c r="BC613" s="58"/>
      <c r="BD613" s="58"/>
      <c r="BE613" s="2017">
        <f t="shared" si="0"/>
        <v>0</v>
      </c>
      <c r="BF613" s="2018"/>
      <c r="BG613" s="2014">
        <f t="shared" si="1"/>
        <v>0</v>
      </c>
      <c r="BH613" s="2016"/>
      <c r="BI613" s="2017">
        <f t="shared" si="2"/>
        <v>0</v>
      </c>
      <c r="BJ613" s="2018"/>
      <c r="BK613" s="2014">
        <f t="shared" si="3"/>
        <v>0</v>
      </c>
      <c r="BL613" s="2016"/>
      <c r="BM613" s="58"/>
      <c r="BN613" s="2011">
        <f t="shared" si="4"/>
        <v>0</v>
      </c>
      <c r="BO613" s="2012"/>
      <c r="BP613" s="2012"/>
      <c r="BQ613" s="2012"/>
      <c r="BR613" s="2013"/>
      <c r="BS613" s="2010">
        <f t="shared" si="5"/>
        <v>0</v>
      </c>
      <c r="BT613" s="2010"/>
      <c r="BU613" s="2010"/>
      <c r="BV613" s="2010"/>
      <c r="BW613" s="2010"/>
      <c r="BX613" s="2010">
        <f t="shared" si="6"/>
        <v>0</v>
      </c>
      <c r="BY613" s="2010"/>
      <c r="BZ613" s="2010"/>
      <c r="CA613" s="2010"/>
      <c r="CB613" s="2010"/>
      <c r="CC613" s="2010">
        <f t="shared" si="7"/>
        <v>52</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76">
        <f t="shared" si="10"/>
        <v>0</v>
      </c>
      <c r="CT613" s="2376"/>
      <c r="CU613" s="2376"/>
      <c r="CV613" s="2376"/>
      <c r="CW613" s="2376"/>
      <c r="CX613" s="2376">
        <f t="shared" si="11"/>
        <v>0</v>
      </c>
      <c r="CY613" s="2376"/>
      <c r="CZ613" s="2376"/>
      <c r="DA613" s="2376"/>
      <c r="DB613" s="2376"/>
      <c r="DC613" s="2376">
        <f t="shared" si="12"/>
        <v>0</v>
      </c>
      <c r="DD613" s="2376"/>
      <c r="DE613" s="2376"/>
      <c r="DF613" s="2376"/>
      <c r="DG613" s="2376"/>
      <c r="DH613" s="2376">
        <f t="shared" si="13"/>
        <v>0</v>
      </c>
      <c r="DI613" s="2376"/>
      <c r="DJ613" s="2376"/>
      <c r="DK613" s="2376"/>
      <c r="DL613" s="2376"/>
      <c r="DM613" s="2376">
        <f t="shared" si="14"/>
        <v>0</v>
      </c>
      <c r="DN613" s="2376"/>
      <c r="DO613" s="2376"/>
      <c r="DP613" s="2376"/>
      <c r="DQ613" s="2376"/>
      <c r="DR613" s="2376">
        <f t="shared" si="15"/>
        <v>0</v>
      </c>
      <c r="DS613" s="2376"/>
      <c r="DT613" s="2376"/>
      <c r="DU613" s="2376"/>
      <c r="DV613" s="2376"/>
      <c r="DX613" s="2017" t="str">
        <f t="shared" si="16"/>
        <v xml:space="preserve"> </v>
      </c>
      <c r="DY613" s="2189"/>
      <c r="DZ613" s="2189"/>
      <c r="EA613" s="2189"/>
      <c r="EB613" s="2018"/>
      <c r="EC613" s="2017" t="str">
        <f t="shared" si="17"/>
        <v xml:space="preserve"> </v>
      </c>
      <c r="ED613" s="2189"/>
      <c r="EE613" s="2189"/>
      <c r="EF613" s="2189"/>
      <c r="EG613" s="2018"/>
      <c r="EH613" s="2017" t="str">
        <f t="shared" si="18"/>
        <v xml:space="preserve"> </v>
      </c>
      <c r="EI613" s="2189"/>
      <c r="EJ613" s="2189"/>
      <c r="EK613" s="2189"/>
      <c r="EL613" s="2018"/>
      <c r="EM613" s="2017">
        <f t="shared" si="19"/>
        <v>1979</v>
      </c>
      <c r="EN613" s="2189"/>
      <c r="EO613" s="2189"/>
      <c r="EP613" s="2189"/>
      <c r="EQ613" s="2018"/>
      <c r="ER613" s="2017" t="str">
        <f t="shared" si="20"/>
        <v xml:space="preserve"> </v>
      </c>
      <c r="ES613" s="2189"/>
      <c r="ET613" s="2189"/>
      <c r="EU613" s="2189"/>
      <c r="EV613" s="2018"/>
      <c r="EW613" s="2017" t="str">
        <f t="shared" si="21"/>
        <v xml:space="preserve"> </v>
      </c>
      <c r="EX613" s="2189"/>
      <c r="EY613" s="2189"/>
      <c r="EZ613" s="2189"/>
      <c r="FA613" s="2018"/>
    </row>
    <row r="614" spans="1:157" ht="12.75">
      <c r="A614" s="35"/>
      <c r="B614" s="12" t="s">
        <v>17</v>
      </c>
      <c r="G614" s="2038"/>
      <c r="H614" s="2038"/>
      <c r="I614" s="2038"/>
      <c r="J614" s="2038"/>
      <c r="K614" s="2038"/>
      <c r="L614" s="2038"/>
      <c r="M614" s="2038"/>
      <c r="N614" s="2038"/>
      <c r="O614" s="2038"/>
      <c r="P614" s="2038"/>
      <c r="Q614" s="2038"/>
      <c r="R614" s="2038"/>
      <c r="T614" s="35"/>
      <c r="U614" s="12" t="s">
        <v>17</v>
      </c>
      <c r="Z614" s="2041"/>
      <c r="AA614" s="2041"/>
      <c r="AB614" s="2041"/>
      <c r="AC614" s="2041"/>
      <c r="AD614" s="2041"/>
      <c r="AE614" s="2041"/>
      <c r="AF614" s="2041"/>
      <c r="AG614" s="2041"/>
      <c r="AH614" s="2041"/>
      <c r="AI614" s="2041"/>
      <c r="AJ614" s="2041"/>
      <c r="AK614" s="2041"/>
      <c r="BA614" s="7" t="s">
        <v>31</v>
      </c>
      <c r="BB614" s="58"/>
      <c r="BC614" s="58"/>
      <c r="BD614" s="58"/>
      <c r="BE614" s="2017">
        <f t="shared" si="0"/>
        <v>0</v>
      </c>
      <c r="BF614" s="2018"/>
      <c r="BG614" s="2014">
        <f t="shared" si="1"/>
        <v>0</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0</v>
      </c>
      <c r="BY614" s="2010"/>
      <c r="BZ614" s="2010"/>
      <c r="CA614" s="2010"/>
      <c r="CB614" s="2010"/>
      <c r="CC614" s="2010">
        <f t="shared" si="7"/>
        <v>49</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76">
        <f t="shared" si="10"/>
        <v>0</v>
      </c>
      <c r="CT614" s="2376"/>
      <c r="CU614" s="2376"/>
      <c r="CV614" s="2376"/>
      <c r="CW614" s="2376"/>
      <c r="CX614" s="2376">
        <f t="shared" si="11"/>
        <v>0</v>
      </c>
      <c r="CY614" s="2376"/>
      <c r="CZ614" s="2376"/>
      <c r="DA614" s="2376"/>
      <c r="DB614" s="2376"/>
      <c r="DC614" s="2376">
        <f t="shared" si="12"/>
        <v>0</v>
      </c>
      <c r="DD614" s="2376"/>
      <c r="DE614" s="2376"/>
      <c r="DF614" s="2376"/>
      <c r="DG614" s="2376"/>
      <c r="DH614" s="2376">
        <f t="shared" si="13"/>
        <v>0</v>
      </c>
      <c r="DI614" s="2376"/>
      <c r="DJ614" s="2376"/>
      <c r="DK614" s="2376"/>
      <c r="DL614" s="2376"/>
      <c r="DM614" s="2376">
        <f t="shared" si="14"/>
        <v>0</v>
      </c>
      <c r="DN614" s="2376"/>
      <c r="DO614" s="2376"/>
      <c r="DP614" s="2376"/>
      <c r="DQ614" s="2376"/>
      <c r="DR614" s="2376">
        <f t="shared" si="15"/>
        <v>0</v>
      </c>
      <c r="DS614" s="2376"/>
      <c r="DT614" s="2376"/>
      <c r="DU614" s="2376"/>
      <c r="DV614" s="2376"/>
      <c r="DX614" s="2017" t="str">
        <f t="shared" si="16"/>
        <v xml:space="preserve"> </v>
      </c>
      <c r="DY614" s="2189"/>
      <c r="DZ614" s="2189"/>
      <c r="EA614" s="2189"/>
      <c r="EB614" s="2018"/>
      <c r="EC614" s="2017" t="str">
        <f t="shared" si="17"/>
        <v xml:space="preserve"> </v>
      </c>
      <c r="ED614" s="2189"/>
      <c r="EE614" s="2189"/>
      <c r="EF614" s="2189"/>
      <c r="EG614" s="2018"/>
      <c r="EH614" s="2017" t="str">
        <f t="shared" si="18"/>
        <v xml:space="preserve"> </v>
      </c>
      <c r="EI614" s="2189"/>
      <c r="EJ614" s="2189"/>
      <c r="EK614" s="2189"/>
      <c r="EL614" s="2018"/>
      <c r="EM614" s="2017">
        <f t="shared" si="19"/>
        <v>1677</v>
      </c>
      <c r="EN614" s="2189"/>
      <c r="EO614" s="2189"/>
      <c r="EP614" s="2189"/>
      <c r="EQ614" s="2018"/>
      <c r="ER614" s="2017" t="str">
        <f t="shared" si="20"/>
        <v xml:space="preserve"> </v>
      </c>
      <c r="ES614" s="2189"/>
      <c r="ET614" s="2189"/>
      <c r="EU614" s="2189"/>
      <c r="EV614" s="2018"/>
      <c r="EW614" s="2017" t="str">
        <f t="shared" si="21"/>
        <v xml:space="preserve"> </v>
      </c>
      <c r="EX614" s="2189"/>
      <c r="EY614" s="2189"/>
      <c r="EZ614" s="2189"/>
      <c r="FA614" s="2018"/>
    </row>
    <row r="615" spans="1:157" ht="12.75">
      <c r="A615" s="35"/>
      <c r="B615" s="12" t="s">
        <v>325</v>
      </c>
      <c r="G615" s="2065"/>
      <c r="H615" s="2065"/>
      <c r="I615" s="2065"/>
      <c r="J615" s="2065"/>
      <c r="K615" s="2065"/>
      <c r="L615" s="2065"/>
      <c r="O615" s="137" t="s">
        <v>212</v>
      </c>
      <c r="P615" s="2028"/>
      <c r="Q615" s="2028"/>
      <c r="R615" s="2028"/>
      <c r="T615" s="35"/>
      <c r="U615" s="12" t="s">
        <v>325</v>
      </c>
      <c r="Z615" s="2065"/>
      <c r="AA615" s="2065"/>
      <c r="AB615" s="2065"/>
      <c r="AC615" s="2065"/>
      <c r="AD615" s="2065"/>
      <c r="AE615" s="2065"/>
      <c r="AH615" s="137" t="s">
        <v>212</v>
      </c>
      <c r="AI615" s="2028"/>
      <c r="AJ615" s="2028"/>
      <c r="AK615" s="2028"/>
      <c r="AZ615" s="58"/>
      <c r="BA615" s="58"/>
      <c r="BB615" s="58"/>
      <c r="BC615" s="58"/>
      <c r="BD615" s="58"/>
      <c r="BE615" s="2017">
        <f t="shared" si="0"/>
        <v>1</v>
      </c>
      <c r="BF615" s="2018"/>
      <c r="BG615" s="2014">
        <f t="shared" si="1"/>
        <v>13</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0</v>
      </c>
      <c r="BY615" s="2010"/>
      <c r="BZ615" s="2010"/>
      <c r="CA615" s="2010"/>
      <c r="CB615" s="2010"/>
      <c r="CC615" s="2010">
        <f t="shared" si="7"/>
        <v>13</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76">
        <f t="shared" si="10"/>
        <v>0</v>
      </c>
      <c r="CT615" s="2376"/>
      <c r="CU615" s="2376"/>
      <c r="CV615" s="2376"/>
      <c r="CW615" s="2376"/>
      <c r="CX615" s="2376">
        <f t="shared" si="11"/>
        <v>0</v>
      </c>
      <c r="CY615" s="2376"/>
      <c r="CZ615" s="2376"/>
      <c r="DA615" s="2376"/>
      <c r="DB615" s="2376"/>
      <c r="DC615" s="2376">
        <f t="shared" si="12"/>
        <v>0</v>
      </c>
      <c r="DD615" s="2376"/>
      <c r="DE615" s="2376"/>
      <c r="DF615" s="2376"/>
      <c r="DG615" s="2376"/>
      <c r="DH615" s="2376">
        <f t="shared" si="13"/>
        <v>0</v>
      </c>
      <c r="DI615" s="2376"/>
      <c r="DJ615" s="2376"/>
      <c r="DK615" s="2376"/>
      <c r="DL615" s="2376"/>
      <c r="DM615" s="2376">
        <f t="shared" si="14"/>
        <v>0</v>
      </c>
      <c r="DN615" s="2376"/>
      <c r="DO615" s="2376"/>
      <c r="DP615" s="2376"/>
      <c r="DQ615" s="2376"/>
      <c r="DR615" s="2376">
        <f t="shared" si="15"/>
        <v>0</v>
      </c>
      <c r="DS615" s="2376"/>
      <c r="DT615" s="2376"/>
      <c r="DU615" s="2376"/>
      <c r="DV615" s="2376"/>
      <c r="DX615" s="2017" t="str">
        <f t="shared" si="16"/>
        <v xml:space="preserve"> </v>
      </c>
      <c r="DY615" s="2189"/>
      <c r="DZ615" s="2189"/>
      <c r="EA615" s="2189"/>
      <c r="EB615" s="2018"/>
      <c r="EC615" s="2017" t="str">
        <f t="shared" si="17"/>
        <v xml:space="preserve"> </v>
      </c>
      <c r="ED615" s="2189"/>
      <c r="EE615" s="2189"/>
      <c r="EF615" s="2189"/>
      <c r="EG615" s="2018"/>
      <c r="EH615" s="2017" t="str">
        <f t="shared" si="18"/>
        <v xml:space="preserve"> </v>
      </c>
      <c r="EI615" s="2189"/>
      <c r="EJ615" s="2189"/>
      <c r="EK615" s="2189"/>
      <c r="EL615" s="2018"/>
      <c r="EM615" s="2017">
        <f t="shared" si="19"/>
        <v>1374</v>
      </c>
      <c r="EN615" s="2189"/>
      <c r="EO615" s="2189"/>
      <c r="EP615" s="2189"/>
      <c r="EQ615" s="2018"/>
      <c r="ER615" s="2017" t="str">
        <f t="shared" si="20"/>
        <v xml:space="preserve"> </v>
      </c>
      <c r="ES615" s="2189"/>
      <c r="ET615" s="2189"/>
      <c r="EU615" s="2189"/>
      <c r="EV615" s="2018"/>
      <c r="EW615" s="2017" t="str">
        <f t="shared" si="21"/>
        <v xml:space="preserve"> </v>
      </c>
      <c r="EX615" s="2189"/>
      <c r="EY615" s="2189"/>
      <c r="EZ615" s="2189"/>
      <c r="FA615" s="2018"/>
    </row>
    <row r="616" spans="1:157" ht="12.75">
      <c r="A616" s="35"/>
      <c r="B616" s="12" t="s">
        <v>18</v>
      </c>
      <c r="H616" s="2038"/>
      <c r="I616" s="2038"/>
      <c r="J616" s="2038"/>
      <c r="K616" s="2038"/>
      <c r="L616" s="2038"/>
      <c r="M616" s="2038"/>
      <c r="N616" s="2038"/>
      <c r="O616" s="2038"/>
      <c r="P616" s="2038"/>
      <c r="Q616" s="2038"/>
      <c r="R616" s="2038"/>
      <c r="T616" s="35"/>
      <c r="U616" s="12" t="s">
        <v>18</v>
      </c>
      <c r="AA616" s="2038"/>
      <c r="AB616" s="2038"/>
      <c r="AC616" s="2038"/>
      <c r="AD616" s="2038"/>
      <c r="AE616" s="2038"/>
      <c r="AF616" s="2038"/>
      <c r="AG616" s="2038"/>
      <c r="AH616" s="2038"/>
      <c r="AI616" s="2038"/>
      <c r="AJ616" s="2038"/>
      <c r="AK616" s="2038"/>
      <c r="AZ616" s="58"/>
      <c r="BA616" s="58"/>
      <c r="BB616" s="58"/>
      <c r="BC616" s="58"/>
      <c r="BD616" s="58"/>
      <c r="BE616" s="2017">
        <f t="shared" si="0"/>
        <v>0</v>
      </c>
      <c r="BF616" s="2018"/>
      <c r="BG616" s="2014">
        <f t="shared" si="1"/>
        <v>0</v>
      </c>
      <c r="BH616" s="2016"/>
      <c r="BI616" s="2017">
        <f t="shared" si="2"/>
        <v>1</v>
      </c>
      <c r="BJ616" s="2018"/>
      <c r="BK616" s="2014">
        <f t="shared" si="3"/>
        <v>13</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13</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76">
        <f t="shared" si="10"/>
        <v>0</v>
      </c>
      <c r="CT616" s="2376"/>
      <c r="CU616" s="2376"/>
      <c r="CV616" s="2376"/>
      <c r="CW616" s="2376"/>
      <c r="CX616" s="2376">
        <f t="shared" si="11"/>
        <v>0</v>
      </c>
      <c r="CY616" s="2376"/>
      <c r="CZ616" s="2376"/>
      <c r="DA616" s="2376"/>
      <c r="DB616" s="2376"/>
      <c r="DC616" s="2376">
        <f t="shared" si="12"/>
        <v>0</v>
      </c>
      <c r="DD616" s="2376"/>
      <c r="DE616" s="2376"/>
      <c r="DF616" s="2376"/>
      <c r="DG616" s="2376"/>
      <c r="DH616" s="2376">
        <f t="shared" si="13"/>
        <v>13</v>
      </c>
      <c r="DI616" s="2376"/>
      <c r="DJ616" s="2376"/>
      <c r="DK616" s="2376"/>
      <c r="DL616" s="2376"/>
      <c r="DM616" s="2376">
        <f t="shared" si="14"/>
        <v>0</v>
      </c>
      <c r="DN616" s="2376"/>
      <c r="DO616" s="2376"/>
      <c r="DP616" s="2376"/>
      <c r="DQ616" s="2376"/>
      <c r="DR616" s="2376">
        <f t="shared" si="15"/>
        <v>0</v>
      </c>
      <c r="DS616" s="2376"/>
      <c r="DT616" s="2376"/>
      <c r="DU616" s="2376"/>
      <c r="DV616" s="2376"/>
      <c r="DX616" s="2017" t="str">
        <f t="shared" si="16"/>
        <v xml:space="preserve"> </v>
      </c>
      <c r="DY616" s="2189"/>
      <c r="DZ616" s="2189"/>
      <c r="EA616" s="2189"/>
      <c r="EB616" s="2018"/>
      <c r="EC616" s="2017" t="str">
        <f t="shared" si="17"/>
        <v xml:space="preserve"> </v>
      </c>
      <c r="ED616" s="2189"/>
      <c r="EE616" s="2189"/>
      <c r="EF616" s="2189"/>
      <c r="EG616" s="2018"/>
      <c r="EH616" s="2017" t="str">
        <f t="shared" si="18"/>
        <v xml:space="preserve"> </v>
      </c>
      <c r="EI616" s="2189"/>
      <c r="EJ616" s="2189"/>
      <c r="EK616" s="2189"/>
      <c r="EL616" s="2018"/>
      <c r="EM616" s="2017">
        <f t="shared" si="19"/>
        <v>769</v>
      </c>
      <c r="EN616" s="2189"/>
      <c r="EO616" s="2189"/>
      <c r="EP616" s="2189"/>
      <c r="EQ616" s="2018"/>
      <c r="ER616" s="2017" t="str">
        <f t="shared" si="20"/>
        <v xml:space="preserve"> </v>
      </c>
      <c r="ES616" s="2189"/>
      <c r="ET616" s="2189"/>
      <c r="EU616" s="2189"/>
      <c r="EV616" s="2018"/>
      <c r="EW616" s="2017" t="str">
        <f t="shared" si="21"/>
        <v xml:space="preserve"> </v>
      </c>
      <c r="EX616" s="2189"/>
      <c r="EY616" s="2189"/>
      <c r="EZ616" s="2189"/>
      <c r="FA616" s="2018"/>
    </row>
    <row r="617" spans="1:157" ht="12.75">
      <c r="A617" s="35"/>
      <c r="B617" s="12" t="s">
        <v>20</v>
      </c>
      <c r="N617" s="2036" t="s">
        <v>705</v>
      </c>
      <c r="O617" s="2036"/>
      <c r="T617" s="35"/>
      <c r="U617" s="12" t="s">
        <v>20</v>
      </c>
      <c r="AG617" s="2036" t="s">
        <v>705</v>
      </c>
      <c r="AH617" s="2036"/>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76">
        <f t="shared" si="10"/>
        <v>0</v>
      </c>
      <c r="CT617" s="2376"/>
      <c r="CU617" s="2376"/>
      <c r="CV617" s="2376"/>
      <c r="CW617" s="2376"/>
      <c r="CX617" s="2376">
        <f t="shared" si="11"/>
        <v>0</v>
      </c>
      <c r="CY617" s="2376"/>
      <c r="CZ617" s="2376"/>
      <c r="DA617" s="2376"/>
      <c r="DB617" s="2376"/>
      <c r="DC617" s="2376">
        <f t="shared" si="12"/>
        <v>0</v>
      </c>
      <c r="DD617" s="2376"/>
      <c r="DE617" s="2376"/>
      <c r="DF617" s="2376"/>
      <c r="DG617" s="2376"/>
      <c r="DH617" s="2376">
        <f t="shared" si="13"/>
        <v>0</v>
      </c>
      <c r="DI617" s="2376"/>
      <c r="DJ617" s="2376"/>
      <c r="DK617" s="2376"/>
      <c r="DL617" s="2376"/>
      <c r="DM617" s="2376">
        <f t="shared" si="14"/>
        <v>0</v>
      </c>
      <c r="DN617" s="2376"/>
      <c r="DO617" s="2376"/>
      <c r="DP617" s="2376"/>
      <c r="DQ617" s="2376"/>
      <c r="DR617" s="2376">
        <f t="shared" si="15"/>
        <v>0</v>
      </c>
      <c r="DS617" s="2376"/>
      <c r="DT617" s="2376"/>
      <c r="DU617" s="2376"/>
      <c r="DV617" s="2376"/>
      <c r="DX617" s="2017" t="str">
        <f t="shared" si="16"/>
        <v xml:space="preserve"> </v>
      </c>
      <c r="DY617" s="2189"/>
      <c r="DZ617" s="2189"/>
      <c r="EA617" s="2189"/>
      <c r="EB617" s="2018"/>
      <c r="EC617" s="2017" t="str">
        <f t="shared" si="17"/>
        <v xml:space="preserve"> </v>
      </c>
      <c r="ED617" s="2189"/>
      <c r="EE617" s="2189"/>
      <c r="EF617" s="2189"/>
      <c r="EG617" s="2018"/>
      <c r="EH617" s="2017" t="str">
        <f t="shared" si="18"/>
        <v xml:space="preserve"> </v>
      </c>
      <c r="EI617" s="2189"/>
      <c r="EJ617" s="2189"/>
      <c r="EK617" s="2189"/>
      <c r="EL617" s="2018"/>
      <c r="EM617" s="2017" t="str">
        <f t="shared" si="19"/>
        <v xml:space="preserve"> </v>
      </c>
      <c r="EN617" s="2189"/>
      <c r="EO617" s="2189"/>
      <c r="EP617" s="2189"/>
      <c r="EQ617" s="2018"/>
      <c r="ER617" s="2017" t="str">
        <f t="shared" si="20"/>
        <v xml:space="preserve"> </v>
      </c>
      <c r="ES617" s="2189"/>
      <c r="ET617" s="2189"/>
      <c r="EU617" s="2189"/>
      <c r="EV617" s="2018"/>
      <c r="EW617" s="2017" t="str">
        <f t="shared" si="21"/>
        <v xml:space="preserve"> </v>
      </c>
      <c r="EX617" s="2189"/>
      <c r="EY617" s="2189"/>
      <c r="EZ617" s="2189"/>
      <c r="FA617" s="201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76">
        <f t="shared" si="10"/>
        <v>0</v>
      </c>
      <c r="CT618" s="2376"/>
      <c r="CU618" s="2376"/>
      <c r="CV618" s="2376"/>
      <c r="CW618" s="2376"/>
      <c r="CX618" s="2376">
        <f t="shared" si="11"/>
        <v>0</v>
      </c>
      <c r="CY618" s="2376"/>
      <c r="CZ618" s="2376"/>
      <c r="DA618" s="2376"/>
      <c r="DB618" s="2376"/>
      <c r="DC618" s="2376">
        <f t="shared" si="12"/>
        <v>0</v>
      </c>
      <c r="DD618" s="2376"/>
      <c r="DE618" s="2376"/>
      <c r="DF618" s="2376"/>
      <c r="DG618" s="2376"/>
      <c r="DH618" s="2376">
        <f t="shared" si="13"/>
        <v>0</v>
      </c>
      <c r="DI618" s="2376"/>
      <c r="DJ618" s="2376"/>
      <c r="DK618" s="2376"/>
      <c r="DL618" s="2376"/>
      <c r="DM618" s="2376">
        <f t="shared" si="14"/>
        <v>0</v>
      </c>
      <c r="DN618" s="2376"/>
      <c r="DO618" s="2376"/>
      <c r="DP618" s="2376"/>
      <c r="DQ618" s="2376"/>
      <c r="DR618" s="2376">
        <f t="shared" si="15"/>
        <v>0</v>
      </c>
      <c r="DS618" s="2376"/>
      <c r="DT618" s="2376"/>
      <c r="DU618" s="2376"/>
      <c r="DV618" s="2376"/>
      <c r="DX618" s="2017" t="str">
        <f t="shared" si="16"/>
        <v xml:space="preserve"> </v>
      </c>
      <c r="DY618" s="2189"/>
      <c r="DZ618" s="2189"/>
      <c r="EA618" s="2189"/>
      <c r="EB618" s="2018"/>
      <c r="EC618" s="2017" t="str">
        <f t="shared" si="17"/>
        <v xml:space="preserve"> </v>
      </c>
      <c r="ED618" s="2189"/>
      <c r="EE618" s="2189"/>
      <c r="EF618" s="2189"/>
      <c r="EG618" s="2018"/>
      <c r="EH618" s="2017" t="str">
        <f t="shared" si="18"/>
        <v xml:space="preserve"> </v>
      </c>
      <c r="EI618" s="2189"/>
      <c r="EJ618" s="2189"/>
      <c r="EK618" s="2189"/>
      <c r="EL618" s="2018"/>
      <c r="EM618" s="2017" t="str">
        <f t="shared" si="19"/>
        <v xml:space="preserve"> </v>
      </c>
      <c r="EN618" s="2189"/>
      <c r="EO618" s="2189"/>
      <c r="EP618" s="2189"/>
      <c r="EQ618" s="2018"/>
      <c r="ER618" s="2017" t="str">
        <f t="shared" si="20"/>
        <v xml:space="preserve"> </v>
      </c>
      <c r="ES618" s="2189"/>
      <c r="ET618" s="2189"/>
      <c r="EU618" s="2189"/>
      <c r="EV618" s="2018"/>
      <c r="EW618" s="2017" t="str">
        <f t="shared" si="21"/>
        <v xml:space="preserve"> </v>
      </c>
      <c r="EX618" s="2189"/>
      <c r="EY618" s="2189"/>
      <c r="EZ618" s="2189"/>
      <c r="FA618" s="2018"/>
    </row>
    <row r="619" spans="1:157" s="7" customFormat="1" ht="12.75">
      <c r="A619" s="87" t="s">
        <v>372</v>
      </c>
      <c r="B619" s="12" t="s">
        <v>495</v>
      </c>
      <c r="C619" s="12"/>
      <c r="D619" s="12"/>
      <c r="E619" s="12"/>
      <c r="F619" s="12"/>
      <c r="G619" s="2039">
        <f>C574</f>
        <v>0</v>
      </c>
      <c r="H619" s="2039"/>
      <c r="I619" s="2039"/>
      <c r="J619" s="2039"/>
      <c r="K619" s="2039"/>
      <c r="L619" s="2039"/>
      <c r="M619" s="2039"/>
      <c r="N619" s="2039"/>
      <c r="O619" s="2039"/>
      <c r="P619" s="2039"/>
      <c r="Q619" s="2039"/>
      <c r="R619" s="2039"/>
      <c r="S619" s="12"/>
      <c r="T619" s="87" t="s">
        <v>373</v>
      </c>
      <c r="U619" s="12" t="s">
        <v>495</v>
      </c>
      <c r="V619" s="12"/>
      <c r="W619" s="12"/>
      <c r="X619" s="12"/>
      <c r="Y619" s="12"/>
      <c r="Z619" s="2039">
        <f>C575</f>
        <v>0</v>
      </c>
      <c r="AA619" s="2039"/>
      <c r="AB619" s="2039"/>
      <c r="AC619" s="2039"/>
      <c r="AD619" s="2039"/>
      <c r="AE619" s="2039"/>
      <c r="AF619" s="2039"/>
      <c r="AG619" s="2039"/>
      <c r="AH619" s="2039"/>
      <c r="AI619" s="2039"/>
      <c r="AJ619" s="2039"/>
      <c r="AK619" s="2039"/>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76">
        <f t="shared" si="10"/>
        <v>0</v>
      </c>
      <c r="CT619" s="2376"/>
      <c r="CU619" s="2376"/>
      <c r="CV619" s="2376"/>
      <c r="CW619" s="2376"/>
      <c r="CX619" s="2376">
        <f t="shared" si="11"/>
        <v>0</v>
      </c>
      <c r="CY619" s="2376"/>
      <c r="CZ619" s="2376"/>
      <c r="DA619" s="2376"/>
      <c r="DB619" s="2376"/>
      <c r="DC619" s="2376">
        <f t="shared" si="12"/>
        <v>0</v>
      </c>
      <c r="DD619" s="2376"/>
      <c r="DE619" s="2376"/>
      <c r="DF619" s="2376"/>
      <c r="DG619" s="2376"/>
      <c r="DH619" s="2376">
        <f t="shared" si="13"/>
        <v>0</v>
      </c>
      <c r="DI619" s="2376"/>
      <c r="DJ619" s="2376"/>
      <c r="DK619" s="2376"/>
      <c r="DL619" s="2376"/>
      <c r="DM619" s="2376">
        <f t="shared" si="14"/>
        <v>0</v>
      </c>
      <c r="DN619" s="2376"/>
      <c r="DO619" s="2376"/>
      <c r="DP619" s="2376"/>
      <c r="DQ619" s="2376"/>
      <c r="DR619" s="2376">
        <f t="shared" si="15"/>
        <v>0</v>
      </c>
      <c r="DS619" s="2376"/>
      <c r="DT619" s="2376"/>
      <c r="DU619" s="2376"/>
      <c r="DV619" s="2376"/>
      <c r="DX619" s="2017" t="str">
        <f t="shared" si="16"/>
        <v xml:space="preserve"> </v>
      </c>
      <c r="DY619" s="2189"/>
      <c r="DZ619" s="2189"/>
      <c r="EA619" s="2189"/>
      <c r="EB619" s="2018"/>
      <c r="EC619" s="2017" t="str">
        <f t="shared" si="17"/>
        <v xml:space="preserve"> </v>
      </c>
      <c r="ED619" s="2189"/>
      <c r="EE619" s="2189"/>
      <c r="EF619" s="2189"/>
      <c r="EG619" s="2018"/>
      <c r="EH619" s="2017" t="str">
        <f t="shared" si="18"/>
        <v xml:space="preserve"> </v>
      </c>
      <c r="EI619" s="2189"/>
      <c r="EJ619" s="2189"/>
      <c r="EK619" s="2189"/>
      <c r="EL619" s="2018"/>
      <c r="EM619" s="2017" t="str">
        <f t="shared" si="19"/>
        <v xml:space="preserve"> </v>
      </c>
      <c r="EN619" s="2189"/>
      <c r="EO619" s="2189"/>
      <c r="EP619" s="2189"/>
      <c r="EQ619" s="2018"/>
      <c r="ER619" s="2017" t="str">
        <f t="shared" si="20"/>
        <v xml:space="preserve"> </v>
      </c>
      <c r="ES619" s="2189"/>
      <c r="ET619" s="2189"/>
      <c r="EU619" s="2189"/>
      <c r="EV619" s="2018"/>
      <c r="EW619" s="2017" t="str">
        <f t="shared" si="21"/>
        <v xml:space="preserve"> </v>
      </c>
      <c r="EX619" s="2189"/>
      <c r="EY619" s="2189"/>
      <c r="EZ619" s="2189"/>
      <c r="FA619" s="2018"/>
    </row>
    <row r="620" spans="1:157" s="7" customFormat="1" ht="12.75">
      <c r="A620" s="12"/>
      <c r="B620" s="12" t="s">
        <v>90</v>
      </c>
      <c r="C620" s="12"/>
      <c r="D620" s="12"/>
      <c r="E620" s="12"/>
      <c r="F620" s="12"/>
      <c r="G620" s="2038"/>
      <c r="H620" s="2038"/>
      <c r="I620" s="2038"/>
      <c r="J620" s="2038"/>
      <c r="K620" s="2038"/>
      <c r="L620" s="2038"/>
      <c r="M620" s="2038"/>
      <c r="N620" s="2038"/>
      <c r="O620" s="2038"/>
      <c r="P620" s="2038"/>
      <c r="Q620" s="2038"/>
      <c r="R620" s="2038"/>
      <c r="S620" s="12"/>
      <c r="T620" s="12"/>
      <c r="U620" s="12" t="s">
        <v>90</v>
      </c>
      <c r="V620" s="12"/>
      <c r="W620" s="12"/>
      <c r="X620" s="12"/>
      <c r="Y620" s="12"/>
      <c r="Z620" s="2038"/>
      <c r="AA620" s="2038"/>
      <c r="AB620" s="2038"/>
      <c r="AC620" s="2038"/>
      <c r="AD620" s="2038"/>
      <c r="AE620" s="2038"/>
      <c r="AF620" s="2038"/>
      <c r="AG620" s="2038"/>
      <c r="AH620" s="2038"/>
      <c r="AI620" s="2038"/>
      <c r="AJ620" s="2038"/>
      <c r="AK620" s="2038"/>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76">
        <f t="shared" si="10"/>
        <v>0</v>
      </c>
      <c r="CT620" s="2376"/>
      <c r="CU620" s="2376"/>
      <c r="CV620" s="2376"/>
      <c r="CW620" s="2376"/>
      <c r="CX620" s="2376">
        <f t="shared" si="11"/>
        <v>0</v>
      </c>
      <c r="CY620" s="2376"/>
      <c r="CZ620" s="2376"/>
      <c r="DA620" s="2376"/>
      <c r="DB620" s="2376"/>
      <c r="DC620" s="2376">
        <f t="shared" si="12"/>
        <v>0</v>
      </c>
      <c r="DD620" s="2376"/>
      <c r="DE620" s="2376"/>
      <c r="DF620" s="2376"/>
      <c r="DG620" s="2376"/>
      <c r="DH620" s="2376">
        <f t="shared" si="13"/>
        <v>0</v>
      </c>
      <c r="DI620" s="2376"/>
      <c r="DJ620" s="2376"/>
      <c r="DK620" s="2376"/>
      <c r="DL620" s="2376"/>
      <c r="DM620" s="2376">
        <f t="shared" si="14"/>
        <v>0</v>
      </c>
      <c r="DN620" s="2376"/>
      <c r="DO620" s="2376"/>
      <c r="DP620" s="2376"/>
      <c r="DQ620" s="2376"/>
      <c r="DR620" s="2376">
        <f t="shared" si="15"/>
        <v>0</v>
      </c>
      <c r="DS620" s="2376"/>
      <c r="DT620" s="2376"/>
      <c r="DU620" s="2376"/>
      <c r="DV620" s="2376"/>
      <c r="DX620" s="2017" t="str">
        <f t="shared" si="16"/>
        <v xml:space="preserve"> </v>
      </c>
      <c r="DY620" s="2189"/>
      <c r="DZ620" s="2189"/>
      <c r="EA620" s="2189"/>
      <c r="EB620" s="2018"/>
      <c r="EC620" s="2017" t="str">
        <f t="shared" si="17"/>
        <v xml:space="preserve"> </v>
      </c>
      <c r="ED620" s="2189"/>
      <c r="EE620" s="2189"/>
      <c r="EF620" s="2189"/>
      <c r="EG620" s="2018"/>
      <c r="EH620" s="2017" t="str">
        <f t="shared" si="18"/>
        <v xml:space="preserve"> </v>
      </c>
      <c r="EI620" s="2189"/>
      <c r="EJ620" s="2189"/>
      <c r="EK620" s="2189"/>
      <c r="EL620" s="2018"/>
      <c r="EM620" s="2017" t="str">
        <f t="shared" si="19"/>
        <v xml:space="preserve"> </v>
      </c>
      <c r="EN620" s="2189"/>
      <c r="EO620" s="2189"/>
      <c r="EP620" s="2189"/>
      <c r="EQ620" s="2018"/>
      <c r="ER620" s="2017" t="str">
        <f t="shared" si="20"/>
        <v xml:space="preserve"> </v>
      </c>
      <c r="ES620" s="2189"/>
      <c r="ET620" s="2189"/>
      <c r="EU620" s="2189"/>
      <c r="EV620" s="2018"/>
      <c r="EW620" s="2017" t="str">
        <f t="shared" si="21"/>
        <v xml:space="preserve"> </v>
      </c>
      <c r="EX620" s="2189"/>
      <c r="EY620" s="2189"/>
      <c r="EZ620" s="2189"/>
      <c r="FA620" s="2018"/>
    </row>
    <row r="621" spans="1:157" ht="12.75">
      <c r="B621" s="12" t="s">
        <v>614</v>
      </c>
      <c r="G621" s="2038"/>
      <c r="H621" s="2038"/>
      <c r="I621" s="2038"/>
      <c r="J621" s="2038"/>
      <c r="K621" s="2038"/>
      <c r="L621" s="2038"/>
      <c r="M621" s="2038"/>
      <c r="N621" s="2038"/>
      <c r="O621" s="2038"/>
      <c r="P621" s="2038"/>
      <c r="Q621" s="2038"/>
      <c r="R621" s="2038"/>
      <c r="U621" s="12" t="s">
        <v>614</v>
      </c>
      <c r="Z621" s="2041"/>
      <c r="AA621" s="2041"/>
      <c r="AB621" s="2041"/>
      <c r="AC621" s="2041"/>
      <c r="AD621" s="2041"/>
      <c r="AE621" s="2041"/>
      <c r="AF621" s="2041"/>
      <c r="AG621" s="2041"/>
      <c r="AH621" s="2041"/>
      <c r="AI621" s="2041"/>
      <c r="AJ621" s="2041"/>
      <c r="AK621" s="2041"/>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76">
        <f t="shared" si="10"/>
        <v>0</v>
      </c>
      <c r="CT621" s="2376"/>
      <c r="CU621" s="2376"/>
      <c r="CV621" s="2376"/>
      <c r="CW621" s="2376"/>
      <c r="CX621" s="2376">
        <f t="shared" si="11"/>
        <v>0</v>
      </c>
      <c r="CY621" s="2376"/>
      <c r="CZ621" s="2376"/>
      <c r="DA621" s="2376"/>
      <c r="DB621" s="2376"/>
      <c r="DC621" s="2376">
        <f t="shared" si="12"/>
        <v>0</v>
      </c>
      <c r="DD621" s="2376"/>
      <c r="DE621" s="2376"/>
      <c r="DF621" s="2376"/>
      <c r="DG621" s="2376"/>
      <c r="DH621" s="2376">
        <f t="shared" si="13"/>
        <v>0</v>
      </c>
      <c r="DI621" s="2376"/>
      <c r="DJ621" s="2376"/>
      <c r="DK621" s="2376"/>
      <c r="DL621" s="2376"/>
      <c r="DM621" s="2376">
        <f t="shared" si="14"/>
        <v>0</v>
      </c>
      <c r="DN621" s="2376"/>
      <c r="DO621" s="2376"/>
      <c r="DP621" s="2376"/>
      <c r="DQ621" s="2376"/>
      <c r="DR621" s="2376">
        <f t="shared" si="15"/>
        <v>0</v>
      </c>
      <c r="DS621" s="2376"/>
      <c r="DT621" s="2376"/>
      <c r="DU621" s="2376"/>
      <c r="DV621" s="2376"/>
      <c r="DX621" s="2017" t="str">
        <f t="shared" si="16"/>
        <v xml:space="preserve"> </v>
      </c>
      <c r="DY621" s="2189"/>
      <c r="DZ621" s="2189"/>
      <c r="EA621" s="2189"/>
      <c r="EB621" s="2018"/>
      <c r="EC621" s="2017" t="str">
        <f t="shared" si="17"/>
        <v xml:space="preserve"> </v>
      </c>
      <c r="ED621" s="2189"/>
      <c r="EE621" s="2189"/>
      <c r="EF621" s="2189"/>
      <c r="EG621" s="2018"/>
      <c r="EH621" s="2017" t="str">
        <f t="shared" si="18"/>
        <v xml:space="preserve"> </v>
      </c>
      <c r="EI621" s="2189"/>
      <c r="EJ621" s="2189"/>
      <c r="EK621" s="2189"/>
      <c r="EL621" s="2018"/>
      <c r="EM621" s="2017" t="str">
        <f t="shared" si="19"/>
        <v xml:space="preserve"> </v>
      </c>
      <c r="EN621" s="2189"/>
      <c r="EO621" s="2189"/>
      <c r="EP621" s="2189"/>
      <c r="EQ621" s="2018"/>
      <c r="ER621" s="2017" t="str">
        <f t="shared" si="20"/>
        <v xml:space="preserve"> </v>
      </c>
      <c r="ES621" s="2189"/>
      <c r="ET621" s="2189"/>
      <c r="EU621" s="2189"/>
      <c r="EV621" s="2018"/>
      <c r="EW621" s="2017" t="str">
        <f t="shared" si="21"/>
        <v xml:space="preserve"> </v>
      </c>
      <c r="EX621" s="2189"/>
      <c r="EY621" s="2189"/>
      <c r="EZ621" s="2189"/>
      <c r="FA621" s="2018"/>
    </row>
    <row r="622" spans="1:157" ht="12.75">
      <c r="B622" s="12" t="s">
        <v>17</v>
      </c>
      <c r="G622" s="2038"/>
      <c r="H622" s="2038"/>
      <c r="I622" s="2038"/>
      <c r="J622" s="2038"/>
      <c r="K622" s="2038"/>
      <c r="L622" s="2038"/>
      <c r="M622" s="2038"/>
      <c r="N622" s="2038"/>
      <c r="O622" s="2038"/>
      <c r="P622" s="2038"/>
      <c r="Q622" s="2038"/>
      <c r="R622" s="2038"/>
      <c r="U622" s="12" t="s">
        <v>17</v>
      </c>
      <c r="Z622" s="2041"/>
      <c r="AA622" s="2041"/>
      <c r="AB622" s="2041"/>
      <c r="AC622" s="2041"/>
      <c r="AD622" s="2041"/>
      <c r="AE622" s="2041"/>
      <c r="AF622" s="2041"/>
      <c r="AG622" s="2041"/>
      <c r="AH622" s="2041"/>
      <c r="AI622" s="2041"/>
      <c r="AJ622" s="2041"/>
      <c r="AK622" s="2041"/>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76">
        <f t="shared" si="10"/>
        <v>0</v>
      </c>
      <c r="CT622" s="2376"/>
      <c r="CU622" s="2376"/>
      <c r="CV622" s="2376"/>
      <c r="CW622" s="2376"/>
      <c r="CX622" s="2376">
        <f t="shared" si="11"/>
        <v>0</v>
      </c>
      <c r="CY622" s="2376"/>
      <c r="CZ622" s="2376"/>
      <c r="DA622" s="2376"/>
      <c r="DB622" s="2376"/>
      <c r="DC622" s="2376">
        <f t="shared" si="12"/>
        <v>0</v>
      </c>
      <c r="DD622" s="2376"/>
      <c r="DE622" s="2376"/>
      <c r="DF622" s="2376"/>
      <c r="DG622" s="2376"/>
      <c r="DH622" s="2376">
        <f t="shared" si="13"/>
        <v>0</v>
      </c>
      <c r="DI622" s="2376"/>
      <c r="DJ622" s="2376"/>
      <c r="DK622" s="2376"/>
      <c r="DL622" s="2376"/>
      <c r="DM622" s="2376">
        <f t="shared" si="14"/>
        <v>0</v>
      </c>
      <c r="DN622" s="2376"/>
      <c r="DO622" s="2376"/>
      <c r="DP622" s="2376"/>
      <c r="DQ622" s="2376"/>
      <c r="DR622" s="2376">
        <f t="shared" si="15"/>
        <v>0</v>
      </c>
      <c r="DS622" s="2376"/>
      <c r="DT622" s="2376"/>
      <c r="DU622" s="2376"/>
      <c r="DV622" s="2376"/>
      <c r="DX622" s="2017" t="str">
        <f t="shared" si="16"/>
        <v xml:space="preserve"> </v>
      </c>
      <c r="DY622" s="2189"/>
      <c r="DZ622" s="2189"/>
      <c r="EA622" s="2189"/>
      <c r="EB622" s="2018"/>
      <c r="EC622" s="2017" t="str">
        <f t="shared" si="17"/>
        <v xml:space="preserve"> </v>
      </c>
      <c r="ED622" s="2189"/>
      <c r="EE622" s="2189"/>
      <c r="EF622" s="2189"/>
      <c r="EG622" s="2018"/>
      <c r="EH622" s="2017" t="str">
        <f t="shared" si="18"/>
        <v xml:space="preserve"> </v>
      </c>
      <c r="EI622" s="2189"/>
      <c r="EJ622" s="2189"/>
      <c r="EK622" s="2189"/>
      <c r="EL622" s="2018"/>
      <c r="EM622" s="2017" t="str">
        <f t="shared" si="19"/>
        <v xml:space="preserve"> </v>
      </c>
      <c r="EN622" s="2189"/>
      <c r="EO622" s="2189"/>
      <c r="EP622" s="2189"/>
      <c r="EQ622" s="2018"/>
      <c r="ER622" s="2017" t="str">
        <f t="shared" si="20"/>
        <v xml:space="preserve"> </v>
      </c>
      <c r="ES622" s="2189"/>
      <c r="ET622" s="2189"/>
      <c r="EU622" s="2189"/>
      <c r="EV622" s="2018"/>
      <c r="EW622" s="2017" t="str">
        <f t="shared" si="21"/>
        <v xml:space="preserve"> </v>
      </c>
      <c r="EX622" s="2189"/>
      <c r="EY622" s="2189"/>
      <c r="EZ622" s="2189"/>
      <c r="FA622" s="2018"/>
    </row>
    <row r="623" spans="1:157" ht="12.75">
      <c r="B623" s="12" t="s">
        <v>325</v>
      </c>
      <c r="G623" s="2065"/>
      <c r="H623" s="2065"/>
      <c r="I623" s="2065"/>
      <c r="J623" s="2065"/>
      <c r="K623" s="2065"/>
      <c r="L623" s="2065"/>
      <c r="O623" s="137" t="s">
        <v>212</v>
      </c>
      <c r="P623" s="2028"/>
      <c r="Q623" s="2028"/>
      <c r="R623" s="2028"/>
      <c r="U623" s="12" t="s">
        <v>325</v>
      </c>
      <c r="Z623" s="2065"/>
      <c r="AA623" s="2065"/>
      <c r="AB623" s="2065"/>
      <c r="AC623" s="2065"/>
      <c r="AD623" s="2065"/>
      <c r="AE623" s="2065"/>
      <c r="AH623" s="137" t="s">
        <v>212</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76">
        <f t="shared" si="10"/>
        <v>0</v>
      </c>
      <c r="CT623" s="2376"/>
      <c r="CU623" s="2376"/>
      <c r="CV623" s="2376"/>
      <c r="CW623" s="2376"/>
      <c r="CX623" s="2376">
        <f t="shared" si="11"/>
        <v>0</v>
      </c>
      <c r="CY623" s="2376"/>
      <c r="CZ623" s="2376"/>
      <c r="DA623" s="2376"/>
      <c r="DB623" s="2376"/>
      <c r="DC623" s="2376">
        <f t="shared" si="12"/>
        <v>0</v>
      </c>
      <c r="DD623" s="2376"/>
      <c r="DE623" s="2376"/>
      <c r="DF623" s="2376"/>
      <c r="DG623" s="2376"/>
      <c r="DH623" s="2376">
        <f t="shared" si="13"/>
        <v>0</v>
      </c>
      <c r="DI623" s="2376"/>
      <c r="DJ623" s="2376"/>
      <c r="DK623" s="2376"/>
      <c r="DL623" s="2376"/>
      <c r="DM623" s="2376">
        <f t="shared" si="14"/>
        <v>0</v>
      </c>
      <c r="DN623" s="2376"/>
      <c r="DO623" s="2376"/>
      <c r="DP623" s="2376"/>
      <c r="DQ623" s="2376"/>
      <c r="DR623" s="2376">
        <f t="shared" si="15"/>
        <v>0</v>
      </c>
      <c r="DS623" s="2376"/>
      <c r="DT623" s="2376"/>
      <c r="DU623" s="2376"/>
      <c r="DV623" s="2376"/>
      <c r="DX623" s="2017" t="str">
        <f t="shared" si="16"/>
        <v xml:space="preserve"> </v>
      </c>
      <c r="DY623" s="2189"/>
      <c r="DZ623" s="2189"/>
      <c r="EA623" s="2189"/>
      <c r="EB623" s="2018"/>
      <c r="EC623" s="2017" t="str">
        <f t="shared" si="17"/>
        <v xml:space="preserve"> </v>
      </c>
      <c r="ED623" s="2189"/>
      <c r="EE623" s="2189"/>
      <c r="EF623" s="2189"/>
      <c r="EG623" s="2018"/>
      <c r="EH623" s="2017" t="str">
        <f t="shared" si="18"/>
        <v xml:space="preserve"> </v>
      </c>
      <c r="EI623" s="2189"/>
      <c r="EJ623" s="2189"/>
      <c r="EK623" s="2189"/>
      <c r="EL623" s="2018"/>
      <c r="EM623" s="2017" t="str">
        <f t="shared" si="19"/>
        <v xml:space="preserve"> </v>
      </c>
      <c r="EN623" s="2189"/>
      <c r="EO623" s="2189"/>
      <c r="EP623" s="2189"/>
      <c r="EQ623" s="2018"/>
      <c r="ER623" s="2017" t="str">
        <f t="shared" si="20"/>
        <v xml:space="preserve"> </v>
      </c>
      <c r="ES623" s="2189"/>
      <c r="ET623" s="2189"/>
      <c r="EU623" s="2189"/>
      <c r="EV623" s="2018"/>
      <c r="EW623" s="2017" t="str">
        <f t="shared" si="21"/>
        <v xml:space="preserve"> </v>
      </c>
      <c r="EX623" s="2189"/>
      <c r="EY623" s="2189"/>
      <c r="EZ623" s="2189"/>
      <c r="FA623" s="2018"/>
    </row>
    <row r="624" spans="1:157" ht="12.75">
      <c r="B624" s="12" t="s">
        <v>18</v>
      </c>
      <c r="H624" s="2038"/>
      <c r="I624" s="2038"/>
      <c r="J624" s="2038"/>
      <c r="K624" s="2038"/>
      <c r="L624" s="2038"/>
      <c r="M624" s="2038"/>
      <c r="N624" s="2038"/>
      <c r="O624" s="2038"/>
      <c r="P624" s="2038"/>
      <c r="Q624" s="2038"/>
      <c r="R624" s="2038"/>
      <c r="U624" s="12" t="s">
        <v>18</v>
      </c>
      <c r="AA624" s="2038"/>
      <c r="AB624" s="2038"/>
      <c r="AC624" s="2038"/>
      <c r="AD624" s="2038"/>
      <c r="AE624" s="2038"/>
      <c r="AF624" s="2038"/>
      <c r="AG624" s="2038"/>
      <c r="AH624" s="2038"/>
      <c r="AI624" s="2038"/>
      <c r="AJ624" s="2038"/>
      <c r="AK624" s="2038"/>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76">
        <f t="shared" si="10"/>
        <v>0</v>
      </c>
      <c r="CT624" s="2376"/>
      <c r="CU624" s="2376"/>
      <c r="CV624" s="2376"/>
      <c r="CW624" s="2376"/>
      <c r="CX624" s="2376">
        <f t="shared" si="11"/>
        <v>0</v>
      </c>
      <c r="CY624" s="2376"/>
      <c r="CZ624" s="2376"/>
      <c r="DA624" s="2376"/>
      <c r="DB624" s="2376"/>
      <c r="DC624" s="2376">
        <f t="shared" si="12"/>
        <v>0</v>
      </c>
      <c r="DD624" s="2376"/>
      <c r="DE624" s="2376"/>
      <c r="DF624" s="2376"/>
      <c r="DG624" s="2376"/>
      <c r="DH624" s="2376">
        <f t="shared" si="13"/>
        <v>0</v>
      </c>
      <c r="DI624" s="2376"/>
      <c r="DJ624" s="2376"/>
      <c r="DK624" s="2376"/>
      <c r="DL624" s="2376"/>
      <c r="DM624" s="2376">
        <f t="shared" si="14"/>
        <v>0</v>
      </c>
      <c r="DN624" s="2376"/>
      <c r="DO624" s="2376"/>
      <c r="DP624" s="2376"/>
      <c r="DQ624" s="2376"/>
      <c r="DR624" s="2376">
        <f t="shared" si="15"/>
        <v>0</v>
      </c>
      <c r="DS624" s="2376"/>
      <c r="DT624" s="2376"/>
      <c r="DU624" s="2376"/>
      <c r="DV624" s="2376"/>
      <c r="DX624" s="2017" t="str">
        <f t="shared" si="16"/>
        <v xml:space="preserve"> </v>
      </c>
      <c r="DY624" s="2189"/>
      <c r="DZ624" s="2189"/>
      <c r="EA624" s="2189"/>
      <c r="EB624" s="2018"/>
      <c r="EC624" s="2017" t="str">
        <f t="shared" si="17"/>
        <v xml:space="preserve"> </v>
      </c>
      <c r="ED624" s="2189"/>
      <c r="EE624" s="2189"/>
      <c r="EF624" s="2189"/>
      <c r="EG624" s="2018"/>
      <c r="EH624" s="2017" t="str">
        <f t="shared" si="18"/>
        <v xml:space="preserve"> </v>
      </c>
      <c r="EI624" s="2189"/>
      <c r="EJ624" s="2189"/>
      <c r="EK624" s="2189"/>
      <c r="EL624" s="2018"/>
      <c r="EM624" s="2017" t="str">
        <f t="shared" si="19"/>
        <v xml:space="preserve"> </v>
      </c>
      <c r="EN624" s="2189"/>
      <c r="EO624" s="2189"/>
      <c r="EP624" s="2189"/>
      <c r="EQ624" s="2018"/>
      <c r="ER624" s="2017" t="str">
        <f t="shared" si="20"/>
        <v xml:space="preserve"> </v>
      </c>
      <c r="ES624" s="2189"/>
      <c r="ET624" s="2189"/>
      <c r="EU624" s="2189"/>
      <c r="EV624" s="2018"/>
      <c r="EW624" s="2017" t="str">
        <f t="shared" si="21"/>
        <v xml:space="preserve"> </v>
      </c>
      <c r="EX624" s="2189"/>
      <c r="EY624" s="2189"/>
      <c r="EZ624" s="2189"/>
      <c r="FA624" s="2018"/>
    </row>
    <row r="625" spans="1:157" ht="12.75">
      <c r="B625" s="12" t="s">
        <v>20</v>
      </c>
      <c r="N625" s="2036" t="s">
        <v>705</v>
      </c>
      <c r="O625" s="2036"/>
      <c r="U625" s="12" t="s">
        <v>20</v>
      </c>
      <c r="AG625" s="2036" t="s">
        <v>705</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76">
        <f t="shared" si="10"/>
        <v>0</v>
      </c>
      <c r="CT625" s="2376"/>
      <c r="CU625" s="2376"/>
      <c r="CV625" s="2376"/>
      <c r="CW625" s="2376"/>
      <c r="CX625" s="2376">
        <f t="shared" si="11"/>
        <v>0</v>
      </c>
      <c r="CY625" s="2376"/>
      <c r="CZ625" s="2376"/>
      <c r="DA625" s="2376"/>
      <c r="DB625" s="2376"/>
      <c r="DC625" s="2376">
        <f t="shared" si="12"/>
        <v>0</v>
      </c>
      <c r="DD625" s="2376"/>
      <c r="DE625" s="2376"/>
      <c r="DF625" s="2376"/>
      <c r="DG625" s="2376"/>
      <c r="DH625" s="2376">
        <f t="shared" si="13"/>
        <v>0</v>
      </c>
      <c r="DI625" s="2376"/>
      <c r="DJ625" s="2376"/>
      <c r="DK625" s="2376"/>
      <c r="DL625" s="2376"/>
      <c r="DM625" s="2376">
        <f t="shared" si="14"/>
        <v>0</v>
      </c>
      <c r="DN625" s="2376"/>
      <c r="DO625" s="2376"/>
      <c r="DP625" s="2376"/>
      <c r="DQ625" s="2376"/>
      <c r="DR625" s="2376">
        <f t="shared" si="15"/>
        <v>0</v>
      </c>
      <c r="DS625" s="2376"/>
      <c r="DT625" s="2376"/>
      <c r="DU625" s="2376"/>
      <c r="DV625" s="2376"/>
      <c r="DX625" s="2017" t="str">
        <f t="shared" si="16"/>
        <v xml:space="preserve"> </v>
      </c>
      <c r="DY625" s="2189"/>
      <c r="DZ625" s="2189"/>
      <c r="EA625" s="2189"/>
      <c r="EB625" s="2018"/>
      <c r="EC625" s="2017" t="str">
        <f t="shared" si="17"/>
        <v xml:space="preserve"> </v>
      </c>
      <c r="ED625" s="2189"/>
      <c r="EE625" s="2189"/>
      <c r="EF625" s="2189"/>
      <c r="EG625" s="2018"/>
      <c r="EH625" s="2017" t="str">
        <f t="shared" si="18"/>
        <v xml:space="preserve"> </v>
      </c>
      <c r="EI625" s="2189"/>
      <c r="EJ625" s="2189"/>
      <c r="EK625" s="2189"/>
      <c r="EL625" s="2018"/>
      <c r="EM625" s="2017" t="str">
        <f t="shared" si="19"/>
        <v xml:space="preserve"> </v>
      </c>
      <c r="EN625" s="2189"/>
      <c r="EO625" s="2189"/>
      <c r="EP625" s="2189"/>
      <c r="EQ625" s="2018"/>
      <c r="ER625" s="2017" t="str">
        <f t="shared" si="20"/>
        <v xml:space="preserve"> </v>
      </c>
      <c r="ES625" s="2189"/>
      <c r="ET625" s="2189"/>
      <c r="EU625" s="2189"/>
      <c r="EV625" s="2018"/>
      <c r="EW625" s="2017" t="str">
        <f t="shared" si="21"/>
        <v xml:space="preserve"> </v>
      </c>
      <c r="EX625" s="2189"/>
      <c r="EY625" s="2189"/>
      <c r="EZ625" s="2189"/>
      <c r="FA625" s="2018"/>
    </row>
    <row r="626" spans="1:157" ht="12.75">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76">
        <f t="shared" si="10"/>
        <v>0</v>
      </c>
      <c r="CT626" s="2376"/>
      <c r="CU626" s="2376"/>
      <c r="CV626" s="2376"/>
      <c r="CW626" s="2376"/>
      <c r="CX626" s="2376">
        <f t="shared" si="11"/>
        <v>0</v>
      </c>
      <c r="CY626" s="2376"/>
      <c r="CZ626" s="2376"/>
      <c r="DA626" s="2376"/>
      <c r="DB626" s="2376"/>
      <c r="DC626" s="2376">
        <f t="shared" si="12"/>
        <v>0</v>
      </c>
      <c r="DD626" s="2376"/>
      <c r="DE626" s="2376"/>
      <c r="DF626" s="2376"/>
      <c r="DG626" s="2376"/>
      <c r="DH626" s="2376">
        <f t="shared" si="13"/>
        <v>0</v>
      </c>
      <c r="DI626" s="2376"/>
      <c r="DJ626" s="2376"/>
      <c r="DK626" s="2376"/>
      <c r="DL626" s="2376"/>
      <c r="DM626" s="2376">
        <f t="shared" si="14"/>
        <v>0</v>
      </c>
      <c r="DN626" s="2376"/>
      <c r="DO626" s="2376"/>
      <c r="DP626" s="2376"/>
      <c r="DQ626" s="2376"/>
      <c r="DR626" s="2376">
        <f t="shared" si="15"/>
        <v>0</v>
      </c>
      <c r="DS626" s="2376"/>
      <c r="DT626" s="2376"/>
      <c r="DU626" s="2376"/>
      <c r="DV626" s="2376"/>
      <c r="DX626" s="2017" t="str">
        <f t="shared" si="16"/>
        <v xml:space="preserve"> </v>
      </c>
      <c r="DY626" s="2189"/>
      <c r="DZ626" s="2189"/>
      <c r="EA626" s="2189"/>
      <c r="EB626" s="2018"/>
      <c r="EC626" s="2017" t="str">
        <f t="shared" si="17"/>
        <v xml:space="preserve"> </v>
      </c>
      <c r="ED626" s="2189"/>
      <c r="EE626" s="2189"/>
      <c r="EF626" s="2189"/>
      <c r="EG626" s="2018"/>
      <c r="EH626" s="2017" t="str">
        <f t="shared" si="18"/>
        <v xml:space="preserve"> </v>
      </c>
      <c r="EI626" s="2189"/>
      <c r="EJ626" s="2189"/>
      <c r="EK626" s="2189"/>
      <c r="EL626" s="2018"/>
      <c r="EM626" s="2017" t="str">
        <f t="shared" si="19"/>
        <v xml:space="preserve"> </v>
      </c>
      <c r="EN626" s="2189"/>
      <c r="EO626" s="2189"/>
      <c r="EP626" s="2189"/>
      <c r="EQ626" s="2018"/>
      <c r="ER626" s="2017" t="str">
        <f t="shared" si="20"/>
        <v xml:space="preserve"> </v>
      </c>
      <c r="ES626" s="2189"/>
      <c r="ET626" s="2189"/>
      <c r="EU626" s="2189"/>
      <c r="EV626" s="2018"/>
      <c r="EW626" s="2017" t="str">
        <f t="shared" si="21"/>
        <v xml:space="preserve"> </v>
      </c>
      <c r="EX626" s="2189"/>
      <c r="EY626" s="2189"/>
      <c r="EZ626" s="2189"/>
      <c r="FA626" s="2018"/>
    </row>
    <row r="627" spans="1:157" ht="12.75"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76">
        <f t="shared" si="10"/>
        <v>0</v>
      </c>
      <c r="CT627" s="2376"/>
      <c r="CU627" s="2376"/>
      <c r="CV627" s="2376"/>
      <c r="CW627" s="2376"/>
      <c r="CX627" s="2376">
        <f t="shared" si="11"/>
        <v>0</v>
      </c>
      <c r="CY627" s="2376"/>
      <c r="CZ627" s="2376"/>
      <c r="DA627" s="2376"/>
      <c r="DB627" s="2376"/>
      <c r="DC627" s="2376">
        <f t="shared" si="12"/>
        <v>0</v>
      </c>
      <c r="DD627" s="2376"/>
      <c r="DE627" s="2376"/>
      <c r="DF627" s="2376"/>
      <c r="DG627" s="2376"/>
      <c r="DH627" s="2376">
        <f t="shared" si="13"/>
        <v>0</v>
      </c>
      <c r="DI627" s="2376"/>
      <c r="DJ627" s="2376"/>
      <c r="DK627" s="2376"/>
      <c r="DL627" s="2376"/>
      <c r="DM627" s="2376">
        <f t="shared" si="14"/>
        <v>0</v>
      </c>
      <c r="DN627" s="2376"/>
      <c r="DO627" s="2376"/>
      <c r="DP627" s="2376"/>
      <c r="DQ627" s="2376"/>
      <c r="DR627" s="2376">
        <f t="shared" si="15"/>
        <v>0</v>
      </c>
      <c r="DS627" s="2376"/>
      <c r="DT627" s="2376"/>
      <c r="DU627" s="2376"/>
      <c r="DV627" s="2376"/>
      <c r="DX627" s="2017" t="str">
        <f t="shared" si="16"/>
        <v xml:space="preserve"> </v>
      </c>
      <c r="DY627" s="2189"/>
      <c r="DZ627" s="2189"/>
      <c r="EA627" s="2189"/>
      <c r="EB627" s="2018"/>
      <c r="EC627" s="2017" t="str">
        <f t="shared" si="17"/>
        <v xml:space="preserve"> </v>
      </c>
      <c r="ED627" s="2189"/>
      <c r="EE627" s="2189"/>
      <c r="EF627" s="2189"/>
      <c r="EG627" s="2018"/>
      <c r="EH627" s="2017" t="str">
        <f t="shared" si="18"/>
        <v xml:space="preserve"> </v>
      </c>
      <c r="EI627" s="2189"/>
      <c r="EJ627" s="2189"/>
      <c r="EK627" s="2189"/>
      <c r="EL627" s="2018"/>
      <c r="EM627" s="2017" t="str">
        <f t="shared" si="19"/>
        <v xml:space="preserve"> </v>
      </c>
      <c r="EN627" s="2189"/>
      <c r="EO627" s="2189"/>
      <c r="EP627" s="2189"/>
      <c r="EQ627" s="2018"/>
      <c r="ER627" s="2017" t="str">
        <f t="shared" si="20"/>
        <v xml:space="preserve"> </v>
      </c>
      <c r="ES627" s="2189"/>
      <c r="ET627" s="2189"/>
      <c r="EU627" s="2189"/>
      <c r="EV627" s="2018"/>
      <c r="EW627" s="2017" t="str">
        <f t="shared" si="21"/>
        <v xml:space="preserve"> </v>
      </c>
      <c r="EX627" s="2189"/>
      <c r="EY627" s="2189"/>
      <c r="EZ627" s="2189"/>
      <c r="FA627" s="2018"/>
    </row>
    <row r="628" spans="1:157" ht="12.75">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76">
        <f t="shared" si="10"/>
        <v>0</v>
      </c>
      <c r="CT628" s="2376"/>
      <c r="CU628" s="2376"/>
      <c r="CV628" s="2376"/>
      <c r="CW628" s="2376"/>
      <c r="CX628" s="2376">
        <f t="shared" si="11"/>
        <v>0</v>
      </c>
      <c r="CY628" s="2376"/>
      <c r="CZ628" s="2376"/>
      <c r="DA628" s="2376"/>
      <c r="DB628" s="2376"/>
      <c r="DC628" s="2376">
        <f t="shared" si="12"/>
        <v>0</v>
      </c>
      <c r="DD628" s="2376"/>
      <c r="DE628" s="2376"/>
      <c r="DF628" s="2376"/>
      <c r="DG628" s="2376"/>
      <c r="DH628" s="2376">
        <f t="shared" si="13"/>
        <v>0</v>
      </c>
      <c r="DI628" s="2376"/>
      <c r="DJ628" s="2376"/>
      <c r="DK628" s="2376"/>
      <c r="DL628" s="2376"/>
      <c r="DM628" s="2376">
        <f t="shared" si="14"/>
        <v>0</v>
      </c>
      <c r="DN628" s="2376"/>
      <c r="DO628" s="2376"/>
      <c r="DP628" s="2376"/>
      <c r="DQ628" s="2376"/>
      <c r="DR628" s="2376">
        <f t="shared" si="15"/>
        <v>0</v>
      </c>
      <c r="DS628" s="2376"/>
      <c r="DT628" s="2376"/>
      <c r="DU628" s="2376"/>
      <c r="DV628" s="2376"/>
      <c r="DX628" s="2017" t="str">
        <f t="shared" si="16"/>
        <v xml:space="preserve"> </v>
      </c>
      <c r="DY628" s="2189"/>
      <c r="DZ628" s="2189"/>
      <c r="EA628" s="2189"/>
      <c r="EB628" s="2018"/>
      <c r="EC628" s="2017" t="str">
        <f t="shared" si="17"/>
        <v xml:space="preserve"> </v>
      </c>
      <c r="ED628" s="2189"/>
      <c r="EE628" s="2189"/>
      <c r="EF628" s="2189"/>
      <c r="EG628" s="2018"/>
      <c r="EH628" s="2017" t="str">
        <f t="shared" si="18"/>
        <v xml:space="preserve"> </v>
      </c>
      <c r="EI628" s="2189"/>
      <c r="EJ628" s="2189"/>
      <c r="EK628" s="2189"/>
      <c r="EL628" s="2018"/>
      <c r="EM628" s="2017" t="str">
        <f t="shared" si="19"/>
        <v xml:space="preserve"> </v>
      </c>
      <c r="EN628" s="2189"/>
      <c r="EO628" s="2189"/>
      <c r="EP628" s="2189"/>
      <c r="EQ628" s="2018"/>
      <c r="ER628" s="2017" t="str">
        <f t="shared" si="20"/>
        <v xml:space="preserve"> </v>
      </c>
      <c r="ES628" s="2189"/>
      <c r="ET628" s="2189"/>
      <c r="EU628" s="2189"/>
      <c r="EV628" s="2018"/>
      <c r="EW628" s="2017" t="str">
        <f t="shared" si="21"/>
        <v xml:space="preserve"> </v>
      </c>
      <c r="EX628" s="2189"/>
      <c r="EY628" s="2189"/>
      <c r="EZ628" s="2189"/>
      <c r="FA628" s="2018"/>
    </row>
    <row r="629" spans="1:157" ht="12.75">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76">
        <f t="shared" si="10"/>
        <v>0</v>
      </c>
      <c r="CT629" s="2376"/>
      <c r="CU629" s="2376"/>
      <c r="CV629" s="2376"/>
      <c r="CW629" s="2376"/>
      <c r="CX629" s="2376">
        <f t="shared" si="11"/>
        <v>0</v>
      </c>
      <c r="CY629" s="2376"/>
      <c r="CZ629" s="2376"/>
      <c r="DA629" s="2376"/>
      <c r="DB629" s="2376"/>
      <c r="DC629" s="2376">
        <f t="shared" si="12"/>
        <v>0</v>
      </c>
      <c r="DD629" s="2376"/>
      <c r="DE629" s="2376"/>
      <c r="DF629" s="2376"/>
      <c r="DG629" s="2376"/>
      <c r="DH629" s="2376">
        <f t="shared" si="13"/>
        <v>0</v>
      </c>
      <c r="DI629" s="2376"/>
      <c r="DJ629" s="2376"/>
      <c r="DK629" s="2376"/>
      <c r="DL629" s="2376"/>
      <c r="DM629" s="2376">
        <f t="shared" si="14"/>
        <v>0</v>
      </c>
      <c r="DN629" s="2376"/>
      <c r="DO629" s="2376"/>
      <c r="DP629" s="2376"/>
      <c r="DQ629" s="2376"/>
      <c r="DR629" s="2376">
        <f t="shared" si="15"/>
        <v>0</v>
      </c>
      <c r="DS629" s="2376"/>
      <c r="DT629" s="2376"/>
      <c r="DU629" s="2376"/>
      <c r="DV629" s="2376"/>
      <c r="DX629" s="2017" t="str">
        <f t="shared" si="16"/>
        <v xml:space="preserve"> </v>
      </c>
      <c r="DY629" s="2189"/>
      <c r="DZ629" s="2189"/>
      <c r="EA629" s="2189"/>
      <c r="EB629" s="2018"/>
      <c r="EC629" s="2017" t="str">
        <f t="shared" si="17"/>
        <v xml:space="preserve"> </v>
      </c>
      <c r="ED629" s="2189"/>
      <c r="EE629" s="2189"/>
      <c r="EF629" s="2189"/>
      <c r="EG629" s="2018"/>
      <c r="EH629" s="2017" t="str">
        <f t="shared" si="18"/>
        <v xml:space="preserve"> </v>
      </c>
      <c r="EI629" s="2189"/>
      <c r="EJ629" s="2189"/>
      <c r="EK629" s="2189"/>
      <c r="EL629" s="2018"/>
      <c r="EM629" s="2017" t="str">
        <f t="shared" si="19"/>
        <v xml:space="preserve"> </v>
      </c>
      <c r="EN629" s="2189"/>
      <c r="EO629" s="2189"/>
      <c r="EP629" s="2189"/>
      <c r="EQ629" s="2018"/>
      <c r="ER629" s="2017" t="str">
        <f t="shared" si="20"/>
        <v xml:space="preserve"> </v>
      </c>
      <c r="ES629" s="2189"/>
      <c r="ET629" s="2189"/>
      <c r="EU629" s="2189"/>
      <c r="EV629" s="2018"/>
      <c r="EW629" s="2017" t="str">
        <f t="shared" si="21"/>
        <v xml:space="preserve"> </v>
      </c>
      <c r="EX629" s="2189"/>
      <c r="EY629" s="2189"/>
      <c r="EZ629" s="2189"/>
      <c r="FA629" s="2018"/>
    </row>
    <row r="630" spans="1:157" ht="12.75">
      <c r="A630" s="50" t="s">
        <v>328</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76">
        <f t="shared" si="10"/>
        <v>0</v>
      </c>
      <c r="CT630" s="2376"/>
      <c r="CU630" s="2376"/>
      <c r="CV630" s="2376"/>
      <c r="CW630" s="2376"/>
      <c r="CX630" s="2376">
        <f t="shared" si="11"/>
        <v>0</v>
      </c>
      <c r="CY630" s="2376"/>
      <c r="CZ630" s="2376"/>
      <c r="DA630" s="2376"/>
      <c r="DB630" s="2376"/>
      <c r="DC630" s="2376">
        <f t="shared" si="12"/>
        <v>0</v>
      </c>
      <c r="DD630" s="2376"/>
      <c r="DE630" s="2376"/>
      <c r="DF630" s="2376"/>
      <c r="DG630" s="2376"/>
      <c r="DH630" s="2376">
        <f t="shared" si="13"/>
        <v>0</v>
      </c>
      <c r="DI630" s="2376"/>
      <c r="DJ630" s="2376"/>
      <c r="DK630" s="2376"/>
      <c r="DL630" s="2376"/>
      <c r="DM630" s="2376">
        <f t="shared" si="14"/>
        <v>0</v>
      </c>
      <c r="DN630" s="2376"/>
      <c r="DO630" s="2376"/>
      <c r="DP630" s="2376"/>
      <c r="DQ630" s="2376"/>
      <c r="DR630" s="2376">
        <f t="shared" si="15"/>
        <v>0</v>
      </c>
      <c r="DS630" s="2376"/>
      <c r="DT630" s="2376"/>
      <c r="DU630" s="2376"/>
      <c r="DV630" s="2376"/>
      <c r="DX630" s="2017" t="str">
        <f t="shared" si="16"/>
        <v xml:space="preserve"> </v>
      </c>
      <c r="DY630" s="2189"/>
      <c r="DZ630" s="2189"/>
      <c r="EA630" s="2189"/>
      <c r="EB630" s="2018"/>
      <c r="EC630" s="2017" t="str">
        <f t="shared" si="17"/>
        <v xml:space="preserve"> </v>
      </c>
      <c r="ED630" s="2189"/>
      <c r="EE630" s="2189"/>
      <c r="EF630" s="2189"/>
      <c r="EG630" s="2018"/>
      <c r="EH630" s="2017" t="str">
        <f t="shared" si="18"/>
        <v xml:space="preserve"> </v>
      </c>
      <c r="EI630" s="2189"/>
      <c r="EJ630" s="2189"/>
      <c r="EK630" s="2189"/>
      <c r="EL630" s="2018"/>
      <c r="EM630" s="2017" t="str">
        <f t="shared" si="19"/>
        <v xml:space="preserve"> </v>
      </c>
      <c r="EN630" s="2189"/>
      <c r="EO630" s="2189"/>
      <c r="EP630" s="2189"/>
      <c r="EQ630" s="2018"/>
      <c r="ER630" s="2017" t="str">
        <f t="shared" si="20"/>
        <v xml:space="preserve"> </v>
      </c>
      <c r="ES630" s="2189"/>
      <c r="ET630" s="2189"/>
      <c r="EU630" s="2189"/>
      <c r="EV630" s="2018"/>
      <c r="EW630" s="2017" t="str">
        <f t="shared" si="21"/>
        <v xml:space="preserve"> </v>
      </c>
      <c r="EX630" s="2189"/>
      <c r="EY630" s="2189"/>
      <c r="EZ630" s="2189"/>
      <c r="FA630" s="2018"/>
    </row>
    <row r="631" spans="1:157" ht="12.75">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76">
        <f t="shared" si="10"/>
        <v>0</v>
      </c>
      <c r="CT631" s="2376"/>
      <c r="CU631" s="2376"/>
      <c r="CV631" s="2376"/>
      <c r="CW631" s="2376"/>
      <c r="CX631" s="2376">
        <f t="shared" si="11"/>
        <v>0</v>
      </c>
      <c r="CY631" s="2376"/>
      <c r="CZ631" s="2376"/>
      <c r="DA631" s="2376"/>
      <c r="DB631" s="2376"/>
      <c r="DC631" s="2376">
        <f t="shared" si="12"/>
        <v>0</v>
      </c>
      <c r="DD631" s="2376"/>
      <c r="DE631" s="2376"/>
      <c r="DF631" s="2376"/>
      <c r="DG631" s="2376"/>
      <c r="DH631" s="2376">
        <f t="shared" si="13"/>
        <v>0</v>
      </c>
      <c r="DI631" s="2376"/>
      <c r="DJ631" s="2376"/>
      <c r="DK631" s="2376"/>
      <c r="DL631" s="2376"/>
      <c r="DM631" s="2376">
        <f t="shared" si="14"/>
        <v>0</v>
      </c>
      <c r="DN631" s="2376"/>
      <c r="DO631" s="2376"/>
      <c r="DP631" s="2376"/>
      <c r="DQ631" s="2376"/>
      <c r="DR631" s="2376">
        <f t="shared" si="15"/>
        <v>0</v>
      </c>
      <c r="DS631" s="2376"/>
      <c r="DT631" s="2376"/>
      <c r="DU631" s="2376"/>
      <c r="DV631" s="2376"/>
      <c r="DX631" s="2017" t="str">
        <f t="shared" si="16"/>
        <v xml:space="preserve"> </v>
      </c>
      <c r="DY631" s="2189"/>
      <c r="DZ631" s="2189"/>
      <c r="EA631" s="2189"/>
      <c r="EB631" s="2018"/>
      <c r="EC631" s="2017" t="str">
        <f t="shared" si="17"/>
        <v xml:space="preserve"> </v>
      </c>
      <c r="ED631" s="2189"/>
      <c r="EE631" s="2189"/>
      <c r="EF631" s="2189"/>
      <c r="EG631" s="2018"/>
      <c r="EH631" s="2017" t="str">
        <f t="shared" si="18"/>
        <v xml:space="preserve"> </v>
      </c>
      <c r="EI631" s="2189"/>
      <c r="EJ631" s="2189"/>
      <c r="EK631" s="2189"/>
      <c r="EL631" s="2018"/>
      <c r="EM631" s="2017" t="str">
        <f t="shared" si="19"/>
        <v xml:space="preserve"> </v>
      </c>
      <c r="EN631" s="2189"/>
      <c r="EO631" s="2189"/>
      <c r="EP631" s="2189"/>
      <c r="EQ631" s="2018"/>
      <c r="ER631" s="2017" t="str">
        <f t="shared" si="20"/>
        <v xml:space="preserve"> </v>
      </c>
      <c r="ES631" s="2189"/>
      <c r="ET631" s="2189"/>
      <c r="EU631" s="2189"/>
      <c r="EV631" s="2018"/>
      <c r="EW631" s="2017" t="str">
        <f t="shared" si="21"/>
        <v xml:space="preserve"> </v>
      </c>
      <c r="EX631" s="2189"/>
      <c r="EY631" s="2189"/>
      <c r="EZ631" s="2189"/>
      <c r="FA631" s="201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76">
        <f t="shared" si="10"/>
        <v>0</v>
      </c>
      <c r="CT632" s="2376"/>
      <c r="CU632" s="2376"/>
      <c r="CV632" s="2376"/>
      <c r="CW632" s="2376"/>
      <c r="CX632" s="2376">
        <f t="shared" si="11"/>
        <v>0</v>
      </c>
      <c r="CY632" s="2376"/>
      <c r="CZ632" s="2376"/>
      <c r="DA632" s="2376"/>
      <c r="DB632" s="2376"/>
      <c r="DC632" s="2376">
        <f t="shared" si="12"/>
        <v>0</v>
      </c>
      <c r="DD632" s="2376"/>
      <c r="DE632" s="2376"/>
      <c r="DF632" s="2376"/>
      <c r="DG632" s="2376"/>
      <c r="DH632" s="2376">
        <f t="shared" si="13"/>
        <v>0</v>
      </c>
      <c r="DI632" s="2376"/>
      <c r="DJ632" s="2376"/>
      <c r="DK632" s="2376"/>
      <c r="DL632" s="2376"/>
      <c r="DM632" s="2376">
        <f t="shared" si="14"/>
        <v>0</v>
      </c>
      <c r="DN632" s="2376"/>
      <c r="DO632" s="2376"/>
      <c r="DP632" s="2376"/>
      <c r="DQ632" s="2376"/>
      <c r="DR632" s="2376">
        <f t="shared" si="15"/>
        <v>0</v>
      </c>
      <c r="DS632" s="2376"/>
      <c r="DT632" s="2376"/>
      <c r="DU632" s="2376"/>
      <c r="DV632" s="2376"/>
      <c r="DX632" s="2017" t="str">
        <f t="shared" si="16"/>
        <v xml:space="preserve"> </v>
      </c>
      <c r="DY632" s="2189"/>
      <c r="DZ632" s="2189"/>
      <c r="EA632" s="2189"/>
      <c r="EB632" s="2018"/>
      <c r="EC632" s="2017" t="str">
        <f t="shared" si="17"/>
        <v xml:space="preserve"> </v>
      </c>
      <c r="ED632" s="2189"/>
      <c r="EE632" s="2189"/>
      <c r="EF632" s="2189"/>
      <c r="EG632" s="2018"/>
      <c r="EH632" s="2017" t="str">
        <f t="shared" si="18"/>
        <v xml:space="preserve"> </v>
      </c>
      <c r="EI632" s="2189"/>
      <c r="EJ632" s="2189"/>
      <c r="EK632" s="2189"/>
      <c r="EL632" s="2018"/>
      <c r="EM632" s="2017" t="str">
        <f t="shared" si="19"/>
        <v xml:space="preserve"> </v>
      </c>
      <c r="EN632" s="2189"/>
      <c r="EO632" s="2189"/>
      <c r="EP632" s="2189"/>
      <c r="EQ632" s="2018"/>
      <c r="ER632" s="2017" t="str">
        <f t="shared" si="20"/>
        <v xml:space="preserve"> </v>
      </c>
      <c r="ES632" s="2189"/>
      <c r="ET632" s="2189"/>
      <c r="EU632" s="2189"/>
      <c r="EV632" s="2018"/>
      <c r="EW632" s="2017" t="str">
        <f t="shared" si="21"/>
        <v xml:space="preserve"> </v>
      </c>
      <c r="EX632" s="2189"/>
      <c r="EY632" s="2189"/>
      <c r="EZ632" s="2189"/>
      <c r="FA632" s="201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76">
        <f t="shared" si="10"/>
        <v>0</v>
      </c>
      <c r="CT633" s="2376"/>
      <c r="CU633" s="2376"/>
      <c r="CV633" s="2376"/>
      <c r="CW633" s="2376"/>
      <c r="CX633" s="2376">
        <f t="shared" si="11"/>
        <v>0</v>
      </c>
      <c r="CY633" s="2376"/>
      <c r="CZ633" s="2376"/>
      <c r="DA633" s="2376"/>
      <c r="DB633" s="2376"/>
      <c r="DC633" s="2376">
        <f t="shared" si="12"/>
        <v>0</v>
      </c>
      <c r="DD633" s="2376"/>
      <c r="DE633" s="2376"/>
      <c r="DF633" s="2376"/>
      <c r="DG633" s="2376"/>
      <c r="DH633" s="2376">
        <f t="shared" si="13"/>
        <v>0</v>
      </c>
      <c r="DI633" s="2376"/>
      <c r="DJ633" s="2376"/>
      <c r="DK633" s="2376"/>
      <c r="DL633" s="2376"/>
      <c r="DM633" s="2376">
        <f t="shared" si="14"/>
        <v>0</v>
      </c>
      <c r="DN633" s="2376"/>
      <c r="DO633" s="2376"/>
      <c r="DP633" s="2376"/>
      <c r="DQ633" s="2376"/>
      <c r="DR633" s="2376">
        <f t="shared" si="15"/>
        <v>0</v>
      </c>
      <c r="DS633" s="2376"/>
      <c r="DT633" s="2376"/>
      <c r="DU633" s="2376"/>
      <c r="DV633" s="2376"/>
      <c r="DX633" s="2017" t="str">
        <f t="shared" si="16"/>
        <v xml:space="preserve"> </v>
      </c>
      <c r="DY633" s="2189"/>
      <c r="DZ633" s="2189"/>
      <c r="EA633" s="2189"/>
      <c r="EB633" s="2018"/>
      <c r="EC633" s="2017" t="str">
        <f t="shared" si="17"/>
        <v xml:space="preserve"> </v>
      </c>
      <c r="ED633" s="2189"/>
      <c r="EE633" s="2189"/>
      <c r="EF633" s="2189"/>
      <c r="EG633" s="2018"/>
      <c r="EH633" s="2017" t="str">
        <f t="shared" si="18"/>
        <v xml:space="preserve"> </v>
      </c>
      <c r="EI633" s="2189"/>
      <c r="EJ633" s="2189"/>
      <c r="EK633" s="2189"/>
      <c r="EL633" s="2018"/>
      <c r="EM633" s="2017" t="str">
        <f t="shared" si="19"/>
        <v xml:space="preserve"> </v>
      </c>
      <c r="EN633" s="2189"/>
      <c r="EO633" s="2189"/>
      <c r="EP633" s="2189"/>
      <c r="EQ633" s="2018"/>
      <c r="ER633" s="2017" t="str">
        <f t="shared" si="20"/>
        <v xml:space="preserve"> </v>
      </c>
      <c r="ES633" s="2189"/>
      <c r="ET633" s="2189"/>
      <c r="EU633" s="2189"/>
      <c r="EV633" s="2018"/>
      <c r="EW633" s="2017" t="str">
        <f t="shared" si="21"/>
        <v xml:space="preserve"> </v>
      </c>
      <c r="EX633" s="2189"/>
      <c r="EY633" s="2189"/>
      <c r="EZ633" s="2189"/>
      <c r="FA633" s="2018"/>
    </row>
    <row r="634" spans="1:157" s="1821" customFormat="1" ht="12.75" customHeight="1">
      <c r="B634" s="2507" t="s">
        <v>483</v>
      </c>
      <c r="C634" s="2508"/>
      <c r="D634" s="2508"/>
      <c r="E634" s="2508"/>
      <c r="F634" s="2508"/>
      <c r="G634" s="2508"/>
      <c r="H634" s="2508"/>
      <c r="I634" s="2508"/>
      <c r="J634" s="2508"/>
      <c r="K634" s="2508"/>
      <c r="L634" s="2508"/>
      <c r="M634" s="2508"/>
      <c r="N634" s="2509"/>
      <c r="O634" s="2251" t="s">
        <v>2375</v>
      </c>
      <c r="P634" s="2174"/>
      <c r="Q634" s="2175"/>
      <c r="R634" s="2251" t="s">
        <v>2373</v>
      </c>
      <c r="S634" s="2174"/>
      <c r="T634" s="2175"/>
      <c r="U634" s="2567" t="s">
        <v>484</v>
      </c>
      <c r="V634" s="2567"/>
      <c r="W634" s="2568"/>
      <c r="X634" s="2251" t="s">
        <v>2149</v>
      </c>
      <c r="Y634" s="2174"/>
      <c r="Z634" s="2174"/>
      <c r="AA634" s="2174"/>
      <c r="AB634" s="2175"/>
      <c r="AC634" s="2424" t="s">
        <v>2147</v>
      </c>
      <c r="AD634" s="2425"/>
      <c r="AE634" s="2426"/>
      <c r="AF634" s="2251" t="s">
        <v>2150</v>
      </c>
      <c r="AG634" s="2174"/>
      <c r="AH634" s="2174"/>
      <c r="AI634" s="2174"/>
      <c r="AJ634" s="2175"/>
      <c r="AK634" s="2413" t="s">
        <v>2151</v>
      </c>
      <c r="AL634" s="2414"/>
      <c r="AM634" s="2414"/>
      <c r="AN634" s="2415"/>
      <c r="AO634" s="2261" t="s">
        <v>485</v>
      </c>
      <c r="AP634" s="2261"/>
      <c r="AQ634" s="2261"/>
      <c r="AR634" s="2261"/>
      <c r="AS634" s="2261"/>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76">
        <f t="shared" si="10"/>
        <v>0</v>
      </c>
      <c r="CT634" s="2376"/>
      <c r="CU634" s="2376"/>
      <c r="CV634" s="2376"/>
      <c r="CW634" s="2376"/>
      <c r="CX634" s="2376">
        <f t="shared" si="11"/>
        <v>0</v>
      </c>
      <c r="CY634" s="2376"/>
      <c r="CZ634" s="2376"/>
      <c r="DA634" s="2376"/>
      <c r="DB634" s="2376"/>
      <c r="DC634" s="2376">
        <f t="shared" si="12"/>
        <v>0</v>
      </c>
      <c r="DD634" s="2376"/>
      <c r="DE634" s="2376"/>
      <c r="DF634" s="2376"/>
      <c r="DG634" s="2376"/>
      <c r="DH634" s="2376">
        <f t="shared" si="13"/>
        <v>0</v>
      </c>
      <c r="DI634" s="2376"/>
      <c r="DJ634" s="2376"/>
      <c r="DK634" s="2376"/>
      <c r="DL634" s="2376"/>
      <c r="DM634" s="2376">
        <f t="shared" si="14"/>
        <v>0</v>
      </c>
      <c r="DN634" s="2376"/>
      <c r="DO634" s="2376"/>
      <c r="DP634" s="2376"/>
      <c r="DQ634" s="2376"/>
      <c r="DR634" s="2376">
        <f t="shared" si="15"/>
        <v>0</v>
      </c>
      <c r="DS634" s="2376"/>
      <c r="DT634" s="2376"/>
      <c r="DU634" s="2376"/>
      <c r="DV634" s="2376"/>
      <c r="DX634" s="2017" t="str">
        <f t="shared" si="16"/>
        <v xml:space="preserve"> </v>
      </c>
      <c r="DY634" s="2189"/>
      <c r="DZ634" s="2189"/>
      <c r="EA634" s="2189"/>
      <c r="EB634" s="2018"/>
      <c r="EC634" s="2017" t="str">
        <f t="shared" si="17"/>
        <v xml:space="preserve"> </v>
      </c>
      <c r="ED634" s="2189"/>
      <c r="EE634" s="2189"/>
      <c r="EF634" s="2189"/>
      <c r="EG634" s="2018"/>
      <c r="EH634" s="2017" t="str">
        <f t="shared" si="18"/>
        <v xml:space="preserve"> </v>
      </c>
      <c r="EI634" s="2189"/>
      <c r="EJ634" s="2189"/>
      <c r="EK634" s="2189"/>
      <c r="EL634" s="2018"/>
      <c r="EM634" s="2017" t="str">
        <f t="shared" si="19"/>
        <v xml:space="preserve"> </v>
      </c>
      <c r="EN634" s="2189"/>
      <c r="EO634" s="2189"/>
      <c r="EP634" s="2189"/>
      <c r="EQ634" s="2018"/>
      <c r="ER634" s="2017" t="str">
        <f t="shared" si="20"/>
        <v xml:space="preserve"> </v>
      </c>
      <c r="ES634" s="2189"/>
      <c r="ET634" s="2189"/>
      <c r="EU634" s="2189"/>
      <c r="EV634" s="2018"/>
      <c r="EW634" s="2017" t="str">
        <f t="shared" si="21"/>
        <v xml:space="preserve"> </v>
      </c>
      <c r="EX634" s="2189"/>
      <c r="EY634" s="2189"/>
      <c r="EZ634" s="2189"/>
      <c r="FA634" s="2018"/>
    </row>
    <row r="635" spans="1:157" s="1821" customFormat="1" ht="12.75">
      <c r="B635" s="2564"/>
      <c r="C635" s="2231"/>
      <c r="D635" s="2231"/>
      <c r="E635" s="2231"/>
      <c r="F635" s="2231"/>
      <c r="G635" s="2231"/>
      <c r="H635" s="2231"/>
      <c r="I635" s="2231"/>
      <c r="J635" s="2231"/>
      <c r="K635" s="2231"/>
      <c r="L635" s="2231"/>
      <c r="M635" s="2231"/>
      <c r="N635" s="2565"/>
      <c r="O635" s="2252"/>
      <c r="P635" s="2253"/>
      <c r="Q635" s="2254"/>
      <c r="R635" s="2252"/>
      <c r="S635" s="2253"/>
      <c r="T635" s="2254"/>
      <c r="U635" s="2569"/>
      <c r="V635" s="2569"/>
      <c r="W635" s="2570"/>
      <c r="X635" s="2252"/>
      <c r="Y635" s="2253"/>
      <c r="Z635" s="2253"/>
      <c r="AA635" s="2253"/>
      <c r="AB635" s="2254"/>
      <c r="AC635" s="2427"/>
      <c r="AD635" s="2428"/>
      <c r="AE635" s="2429"/>
      <c r="AF635" s="2252"/>
      <c r="AG635" s="2253"/>
      <c r="AH635" s="2253"/>
      <c r="AI635" s="2253"/>
      <c r="AJ635" s="2254"/>
      <c r="AK635" s="2416"/>
      <c r="AL635" s="2417"/>
      <c r="AM635" s="2417"/>
      <c r="AN635" s="2418"/>
      <c r="AO635" s="2261"/>
      <c r="AP635" s="2261"/>
      <c r="AQ635" s="2261"/>
      <c r="AR635" s="2261"/>
      <c r="AS635" s="2261"/>
      <c r="AT635" s="1822"/>
      <c r="AU635" s="1822"/>
      <c r="AV635" s="1822"/>
      <c r="AW635" s="1822"/>
      <c r="AX635" s="1822"/>
      <c r="AY635" s="1822"/>
      <c r="AZ635" s="181"/>
      <c r="BA635" s="181"/>
      <c r="BB635" s="181"/>
      <c r="BC635" s="181"/>
      <c r="BD635" s="181"/>
      <c r="BE635" s="181"/>
      <c r="BF635" s="181"/>
      <c r="BG635" s="2017">
        <f>SUM(BG610:BH634)</f>
        <v>14</v>
      </c>
      <c r="BH635" s="2018"/>
      <c r="BI635" s="181"/>
      <c r="BJ635" s="181"/>
      <c r="BK635" s="2017">
        <f>SUM(BK610:BL634)</f>
        <v>14</v>
      </c>
      <c r="BL635" s="2018"/>
      <c r="BM635" s="181"/>
      <c r="BN635" s="2017">
        <f>SUM(BN610:BR634)</f>
        <v>0</v>
      </c>
      <c r="BO635" s="2189"/>
      <c r="BP635" s="2189"/>
      <c r="BQ635" s="2189"/>
      <c r="BR635" s="2018"/>
      <c r="BS635" s="2190">
        <f>SUM(BS610:BW634)</f>
        <v>0</v>
      </c>
      <c r="BT635" s="2190"/>
      <c r="BU635" s="2190"/>
      <c r="BV635" s="2190"/>
      <c r="BW635" s="2190"/>
      <c r="BX635" s="2190">
        <f>SUM(BX610:CB634)</f>
        <v>6</v>
      </c>
      <c r="BY635" s="2190"/>
      <c r="BZ635" s="2190"/>
      <c r="CA635" s="2190"/>
      <c r="CB635" s="2190"/>
      <c r="CC635" s="2190">
        <f>SUM(CC610:CG634)</f>
        <v>127</v>
      </c>
      <c r="CD635" s="2190"/>
      <c r="CE635" s="2190"/>
      <c r="CF635" s="2190"/>
      <c r="CG635" s="2190"/>
      <c r="CH635" s="2190">
        <f>SUM(CH610:CL634)</f>
        <v>0</v>
      </c>
      <c r="CI635" s="2190"/>
      <c r="CJ635" s="2190"/>
      <c r="CK635" s="2190"/>
      <c r="CL635" s="2190"/>
      <c r="CM635" s="2190">
        <f>SUM(CM610:CQ634)</f>
        <v>0</v>
      </c>
      <c r="CN635" s="2190"/>
      <c r="CO635" s="2190"/>
      <c r="CP635" s="2190"/>
      <c r="CQ635" s="2190"/>
      <c r="CR635" s="697"/>
      <c r="CS635" s="2190">
        <f>SUM(CS610:CW634)</f>
        <v>0</v>
      </c>
      <c r="CT635" s="2190"/>
      <c r="CU635" s="2190"/>
      <c r="CV635" s="2190"/>
      <c r="CW635" s="2190"/>
      <c r="CX635" s="2190">
        <f>SUM(CX610:DB634)</f>
        <v>0</v>
      </c>
      <c r="CY635" s="2190"/>
      <c r="CZ635" s="2190"/>
      <c r="DA635" s="2190"/>
      <c r="DB635" s="2190"/>
      <c r="DC635" s="2190">
        <f>SUM(DC610:DG634)</f>
        <v>1</v>
      </c>
      <c r="DD635" s="2190"/>
      <c r="DE635" s="2190"/>
      <c r="DF635" s="2190"/>
      <c r="DG635" s="2190"/>
      <c r="DH635" s="2190">
        <f>SUM(DH610:DL634)</f>
        <v>13</v>
      </c>
      <c r="DI635" s="2190"/>
      <c r="DJ635" s="2190"/>
      <c r="DK635" s="2190"/>
      <c r="DL635" s="2190"/>
      <c r="DM635" s="2190">
        <f>SUM(DM610:DQ634)</f>
        <v>0</v>
      </c>
      <c r="DN635" s="2190"/>
      <c r="DO635" s="2190"/>
      <c r="DP635" s="2190"/>
      <c r="DQ635" s="2190"/>
      <c r="DR635" s="2190">
        <f>SUM(DR610:DV634)</f>
        <v>0</v>
      </c>
      <c r="DS635" s="2190"/>
      <c r="DT635" s="2190"/>
      <c r="DU635" s="2190"/>
      <c r="DV635" s="2190"/>
      <c r="DX635" s="2190">
        <f>SUM(DX610:EB634)</f>
        <v>0</v>
      </c>
      <c r="DY635" s="2190"/>
      <c r="DZ635" s="2190"/>
      <c r="EA635" s="2190"/>
      <c r="EB635" s="2190"/>
      <c r="EC635" s="2190">
        <f>SUM(EC610:EG634)</f>
        <v>0</v>
      </c>
      <c r="ED635" s="2190"/>
      <c r="EE635" s="2190"/>
      <c r="EF635" s="2190"/>
      <c r="EG635" s="2190"/>
      <c r="EH635" s="2190">
        <f>SUM(EH610:EL634)</f>
        <v>3583</v>
      </c>
      <c r="EI635" s="2190"/>
      <c r="EJ635" s="2190"/>
      <c r="EK635" s="2190"/>
      <c r="EL635" s="2190"/>
      <c r="EM635" s="2190">
        <f>SUM(EM610:EQ634)</f>
        <v>5799</v>
      </c>
      <c r="EN635" s="2190"/>
      <c r="EO635" s="2190"/>
      <c r="EP635" s="2190"/>
      <c r="EQ635" s="2190"/>
      <c r="ER635" s="2190">
        <f>SUM(ER610:EV634)</f>
        <v>0</v>
      </c>
      <c r="ES635" s="2190"/>
      <c r="ET635" s="2190"/>
      <c r="EU635" s="2190"/>
      <c r="EV635" s="2190"/>
      <c r="EW635" s="2190">
        <f>SUM(EW610:FA634)</f>
        <v>0</v>
      </c>
      <c r="EX635" s="2190"/>
      <c r="EY635" s="2190"/>
      <c r="EZ635" s="2190"/>
      <c r="FA635" s="2190"/>
    </row>
    <row r="636" spans="1:157" s="1821" customFormat="1" ht="12.75">
      <c r="B636" s="2566"/>
      <c r="C636" s="2231"/>
      <c r="D636" s="2231"/>
      <c r="E636" s="2231"/>
      <c r="F636" s="2231"/>
      <c r="G636" s="2231"/>
      <c r="H636" s="2231"/>
      <c r="I636" s="2231"/>
      <c r="J636" s="2231"/>
      <c r="K636" s="2231"/>
      <c r="L636" s="2231"/>
      <c r="M636" s="2231"/>
      <c r="N636" s="2565"/>
      <c r="O636" s="2255"/>
      <c r="P636" s="2256"/>
      <c r="Q636" s="2257"/>
      <c r="R636" s="2255"/>
      <c r="S636" s="2256"/>
      <c r="T636" s="2257"/>
      <c r="U636" s="2571"/>
      <c r="V636" s="2571"/>
      <c r="W636" s="2572"/>
      <c r="X636" s="2255"/>
      <c r="Y636" s="2256"/>
      <c r="Z636" s="2256"/>
      <c r="AA636" s="2256"/>
      <c r="AB636" s="2257"/>
      <c r="AC636" s="2430"/>
      <c r="AD636" s="2431"/>
      <c r="AE636" s="2432"/>
      <c r="AF636" s="2255"/>
      <c r="AG636" s="2256"/>
      <c r="AH636" s="2256"/>
      <c r="AI636" s="2256"/>
      <c r="AJ636" s="2257"/>
      <c r="AK636" s="2419"/>
      <c r="AL636" s="2420"/>
      <c r="AM636" s="2420"/>
      <c r="AN636" s="2421"/>
      <c r="AO636" s="2261"/>
      <c r="AP636" s="2261"/>
      <c r="AQ636" s="2261"/>
      <c r="AR636" s="2261"/>
      <c r="AS636" s="226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2017">
        <f>BN635+BS635+BX635+CC635+CH635+CM635</f>
        <v>133</v>
      </c>
      <c r="CN636" s="2189"/>
      <c r="CO636" s="2189"/>
      <c r="CP636" s="2189"/>
      <c r="CQ636" s="2018"/>
      <c r="CR636" s="697"/>
      <c r="CS636" s="181"/>
      <c r="CT636" s="181"/>
      <c r="CU636" s="181"/>
      <c r="CV636" s="181"/>
      <c r="CW636" s="181"/>
      <c r="CX636" s="181"/>
      <c r="CY636" s="181"/>
      <c r="CZ636" s="181"/>
      <c r="DA636" s="181"/>
      <c r="DB636" s="181"/>
      <c r="DC636" s="181"/>
      <c r="DD636" s="181"/>
      <c r="DE636" s="181"/>
      <c r="DF636" s="181"/>
    </row>
    <row r="637" spans="1:157" ht="12.75">
      <c r="B637" s="83" t="s">
        <v>117</v>
      </c>
      <c r="C637" s="2040" t="s">
        <v>2648</v>
      </c>
      <c r="D637" s="2040"/>
      <c r="E637" s="2040"/>
      <c r="F637" s="2040"/>
      <c r="G637" s="2040"/>
      <c r="H637" s="2040"/>
      <c r="I637" s="2040"/>
      <c r="J637" s="2040"/>
      <c r="K637" s="2040"/>
      <c r="L637" s="2040"/>
      <c r="M637" s="2040"/>
      <c r="N637" s="2172"/>
      <c r="O637" s="2380">
        <f>30*12</f>
        <v>360</v>
      </c>
      <c r="P637" s="2381"/>
      <c r="Q637" s="2382"/>
      <c r="R637" s="2165">
        <f>35*12</f>
        <v>420</v>
      </c>
      <c r="S637" s="2166"/>
      <c r="T637" s="2167"/>
      <c r="U637" s="2396">
        <v>4.3400000000000001E-2</v>
      </c>
      <c r="V637" s="2397"/>
      <c r="W637" s="2398"/>
      <c r="X637" s="2310" t="s">
        <v>2148</v>
      </c>
      <c r="Y637" s="2562"/>
      <c r="Z637" s="2562"/>
      <c r="AA637" s="2562"/>
      <c r="AB637" s="2563"/>
      <c r="AC637" s="2136">
        <v>1</v>
      </c>
      <c r="AD637" s="2137"/>
      <c r="AE637" s="2138"/>
      <c r="AF637" s="2258">
        <v>1489965</v>
      </c>
      <c r="AG637" s="2259"/>
      <c r="AH637" s="2259"/>
      <c r="AI637" s="2259"/>
      <c r="AJ637" s="2260"/>
      <c r="AK637" s="2377"/>
      <c r="AL637" s="2378"/>
      <c r="AM637" s="2378"/>
      <c r="AN637" s="2379"/>
      <c r="AO637" s="2139">
        <f>28262068</f>
        <v>28262068</v>
      </c>
      <c r="AP637" s="2139"/>
      <c r="AQ637" s="2139"/>
      <c r="AR637" s="2139"/>
      <c r="AS637" s="2139"/>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12</v>
      </c>
      <c r="CC637" s="58"/>
      <c r="CD637" s="58"/>
      <c r="CE637" s="58"/>
      <c r="CF637" s="58"/>
      <c r="CG637" s="1470">
        <f>CC635*3</f>
        <v>381</v>
      </c>
      <c r="CH637" s="58"/>
      <c r="CI637" s="58"/>
      <c r="CJ637" s="58"/>
      <c r="CK637" s="58"/>
      <c r="CL637" s="1470">
        <f>CH635*4</f>
        <v>0</v>
      </c>
      <c r="CM637" s="58"/>
      <c r="CN637" s="58"/>
      <c r="CO637" s="58"/>
      <c r="CP637" s="58"/>
      <c r="CQ637" s="1470">
        <f>CM635*5</f>
        <v>0</v>
      </c>
      <c r="CS637" s="1470">
        <f>BR637+BW637+CB637+CG637+CL637+CQ637</f>
        <v>393</v>
      </c>
      <c r="CT637" s="134" t="s">
        <v>2387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0" t="s">
        <v>2123</v>
      </c>
      <c r="D638" s="2040"/>
      <c r="E638" s="2040"/>
      <c r="F638" s="2040"/>
      <c r="G638" s="2040"/>
      <c r="H638" s="2040"/>
      <c r="I638" s="2040"/>
      <c r="J638" s="2040"/>
      <c r="K638" s="2040"/>
      <c r="L638" s="2040"/>
      <c r="M638" s="2040"/>
      <c r="N638" s="2172"/>
      <c r="O638" s="2380">
        <v>192</v>
      </c>
      <c r="P638" s="2381"/>
      <c r="Q638" s="2382"/>
      <c r="R638" s="2165"/>
      <c r="S638" s="2166"/>
      <c r="T638" s="2167"/>
      <c r="U638" s="2396" t="s">
        <v>2603</v>
      </c>
      <c r="V638" s="2397"/>
      <c r="W638" s="2398"/>
      <c r="X638" s="2310" t="s">
        <v>490</v>
      </c>
      <c r="Y638" s="2562"/>
      <c r="Z638" s="2562"/>
      <c r="AA638" s="2562"/>
      <c r="AB638" s="2563"/>
      <c r="AC638" s="2136"/>
      <c r="AD638" s="2137"/>
      <c r="AE638" s="2138"/>
      <c r="AF638" s="2258"/>
      <c r="AG638" s="2259"/>
      <c r="AH638" s="2259"/>
      <c r="AI638" s="2259"/>
      <c r="AJ638" s="2260"/>
      <c r="AK638" s="2377"/>
      <c r="AL638" s="2378"/>
      <c r="AM638" s="2378"/>
      <c r="AN638" s="2379"/>
      <c r="AO638" s="2139">
        <f>6806614</f>
        <v>6806614</v>
      </c>
      <c r="AP638" s="2139"/>
      <c r="AQ638" s="2139"/>
      <c r="AR638" s="2139"/>
      <c r="AS638" s="2139"/>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1" t="e">
        <f t="shared" ref="DX638:DX662" si="22">DX610*(BN610/$BN$635)</f>
        <v>#VALUE!</v>
      </c>
      <c r="DY638" s="2561"/>
      <c r="DZ638" s="2561"/>
      <c r="EA638" s="2561"/>
      <c r="EB638" s="2561"/>
      <c r="EC638" s="2561" t="e">
        <f t="shared" ref="EC638:EC662" si="23">EC610*(BS610/$BS$635)</f>
        <v>#VALUE!</v>
      </c>
      <c r="ED638" s="2561"/>
      <c r="EE638" s="2561"/>
      <c r="EF638" s="2561"/>
      <c r="EG638" s="2561"/>
      <c r="EH638" s="2561">
        <f t="shared" ref="EH638:EH662" si="24">EH610*(BX610/$BX$635)</f>
        <v>1145.3333333333333</v>
      </c>
      <c r="EI638" s="2561"/>
      <c r="EJ638" s="2561"/>
      <c r="EK638" s="2561"/>
      <c r="EL638" s="2561"/>
      <c r="EM638" s="2561" t="e">
        <f t="shared" ref="EM638:EM662" si="25">EM610*(CC610/$CC$635)</f>
        <v>#VALUE!</v>
      </c>
      <c r="EN638" s="2561"/>
      <c r="EO638" s="2561"/>
      <c r="EP638" s="2561"/>
      <c r="EQ638" s="2561"/>
      <c r="ER638" s="2561" t="e">
        <f t="shared" ref="ER638:ER662" si="26">ER610*(CH610/$CH$635)</f>
        <v>#VALUE!</v>
      </c>
      <c r="ES638" s="2561"/>
      <c r="ET638" s="2561"/>
      <c r="EU638" s="2561"/>
      <c r="EV638" s="2561"/>
      <c r="EW638" s="2561" t="e">
        <f t="shared" ref="EW638:EW662" si="27">EW610*(CM610/$CM$635)</f>
        <v>#VALUE!</v>
      </c>
      <c r="EX638" s="2561"/>
      <c r="EY638" s="2561"/>
      <c r="EZ638" s="2561"/>
      <c r="FA638" s="2561"/>
    </row>
    <row r="639" spans="1:157" ht="12.75" customHeight="1">
      <c r="B639" s="84" t="s">
        <v>124</v>
      </c>
      <c r="C639" s="2040" t="s">
        <v>2602</v>
      </c>
      <c r="D639" s="2040"/>
      <c r="E639" s="2040"/>
      <c r="F639" s="2040"/>
      <c r="G639" s="2040"/>
      <c r="H639" s="2040"/>
      <c r="I639" s="2040"/>
      <c r="J639" s="2040"/>
      <c r="K639" s="2040"/>
      <c r="L639" s="2040"/>
      <c r="M639" s="2040"/>
      <c r="N639" s="2172"/>
      <c r="O639" s="2380">
        <f>30*12</f>
        <v>360</v>
      </c>
      <c r="P639" s="2381"/>
      <c r="Q639" s="2382"/>
      <c r="R639" s="2165"/>
      <c r="S639" s="2166"/>
      <c r="T639" s="2167"/>
      <c r="U639" s="2396" t="s">
        <v>2603</v>
      </c>
      <c r="V639" s="2397"/>
      <c r="W639" s="2398"/>
      <c r="X639" s="2310" t="s">
        <v>489</v>
      </c>
      <c r="Y639" s="2562"/>
      <c r="Z639" s="2562"/>
      <c r="AA639" s="2562"/>
      <c r="AB639" s="2563"/>
      <c r="AC639" s="2136">
        <v>2</v>
      </c>
      <c r="AD639" s="2137"/>
      <c r="AE639" s="2138"/>
      <c r="AF639" s="2258"/>
      <c r="AG639" s="2259"/>
      <c r="AH639" s="2259"/>
      <c r="AI639" s="2259"/>
      <c r="AJ639" s="2260"/>
      <c r="AK639" s="2377"/>
      <c r="AL639" s="2378"/>
      <c r="AM639" s="2378"/>
      <c r="AN639" s="2379"/>
      <c r="AO639" s="2139">
        <v>3900000</v>
      </c>
      <c r="AP639" s="2139"/>
      <c r="AQ639" s="2139"/>
      <c r="AR639" s="2139"/>
      <c r="AS639" s="2139"/>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1" t="e">
        <f t="shared" si="22"/>
        <v>#VALUE!</v>
      </c>
      <c r="DY639" s="2561"/>
      <c r="DZ639" s="2561"/>
      <c r="EA639" s="2561"/>
      <c r="EB639" s="2561"/>
      <c r="EC639" s="2561" t="e">
        <f t="shared" si="23"/>
        <v>#VALUE!</v>
      </c>
      <c r="ED639" s="2561"/>
      <c r="EE639" s="2561"/>
      <c r="EF639" s="2561"/>
      <c r="EG639" s="2561"/>
      <c r="EH639" s="2561">
        <f t="shared" si="24"/>
        <v>199</v>
      </c>
      <c r="EI639" s="2561"/>
      <c r="EJ639" s="2561"/>
      <c r="EK639" s="2561"/>
      <c r="EL639" s="2561"/>
      <c r="EM639" s="2561" t="e">
        <f t="shared" si="25"/>
        <v>#VALUE!</v>
      </c>
      <c r="EN639" s="2561"/>
      <c r="EO639" s="2561"/>
      <c r="EP639" s="2561"/>
      <c r="EQ639" s="2561"/>
      <c r="ER639" s="2561" t="e">
        <f t="shared" si="26"/>
        <v>#VALUE!</v>
      </c>
      <c r="ES639" s="2561"/>
      <c r="ET639" s="2561"/>
      <c r="EU639" s="2561"/>
      <c r="EV639" s="2561"/>
      <c r="EW639" s="2561" t="e">
        <f t="shared" si="27"/>
        <v>#VALUE!</v>
      </c>
      <c r="EX639" s="2561"/>
      <c r="EY639" s="2561"/>
      <c r="EZ639" s="2561"/>
      <c r="FA639" s="2561"/>
    </row>
    <row r="640" spans="1:157" ht="12.75">
      <c r="B640" s="84" t="s">
        <v>615</v>
      </c>
      <c r="C640" s="2028"/>
      <c r="D640" s="2028"/>
      <c r="E640" s="2028"/>
      <c r="F640" s="2028"/>
      <c r="G640" s="2028"/>
      <c r="H640" s="2028"/>
      <c r="I640" s="2028"/>
      <c r="J640" s="2028"/>
      <c r="K640" s="2028"/>
      <c r="L640" s="2028"/>
      <c r="M640" s="2028"/>
      <c r="N640" s="2423"/>
      <c r="O640" s="2380"/>
      <c r="P640" s="2381"/>
      <c r="Q640" s="2382"/>
      <c r="R640" s="2165"/>
      <c r="S640" s="2166"/>
      <c r="T640" s="2167"/>
      <c r="U640" s="2396"/>
      <c r="V640" s="2397"/>
      <c r="W640" s="2398"/>
      <c r="X640" s="2310" t="s">
        <v>1383</v>
      </c>
      <c r="Y640" s="2562"/>
      <c r="Z640" s="2562"/>
      <c r="AA640" s="2562"/>
      <c r="AB640" s="2563"/>
      <c r="AC640" s="2136"/>
      <c r="AD640" s="2137"/>
      <c r="AE640" s="2138"/>
      <c r="AF640" s="2258"/>
      <c r="AG640" s="2259"/>
      <c r="AH640" s="2259"/>
      <c r="AI640" s="2259"/>
      <c r="AJ640" s="2260"/>
      <c r="AK640" s="2377"/>
      <c r="AL640" s="2378"/>
      <c r="AM640" s="2378"/>
      <c r="AN640" s="2379"/>
      <c r="AO640" s="2139"/>
      <c r="AP640" s="2139"/>
      <c r="AQ640" s="2139"/>
      <c r="AR640" s="2139"/>
      <c r="AS640" s="2139"/>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0</v>
      </c>
      <c r="BY640" s="2010"/>
      <c r="BZ640" s="2010"/>
      <c r="CA640" s="2010"/>
      <c r="CB640" s="2010"/>
      <c r="CC640" s="2010">
        <f>IF(J772="3 Bedrooms",O772,0)</f>
        <v>1</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61" t="e">
        <f t="shared" si="22"/>
        <v>#VALUE!</v>
      </c>
      <c r="DY640" s="2561"/>
      <c r="DZ640" s="2561"/>
      <c r="EA640" s="2561"/>
      <c r="EB640" s="2561"/>
      <c r="EC640" s="2561" t="e">
        <f t="shared" si="23"/>
        <v>#VALUE!</v>
      </c>
      <c r="ED640" s="2561"/>
      <c r="EE640" s="2561"/>
      <c r="EF640" s="2561"/>
      <c r="EG640" s="2561"/>
      <c r="EH640" s="2561">
        <f t="shared" si="24"/>
        <v>111.83333333333333</v>
      </c>
      <c r="EI640" s="2561"/>
      <c r="EJ640" s="2561"/>
      <c r="EK640" s="2561"/>
      <c r="EL640" s="2561"/>
      <c r="EM640" s="2561" t="e">
        <f t="shared" si="25"/>
        <v>#VALUE!</v>
      </c>
      <c r="EN640" s="2561"/>
      <c r="EO640" s="2561"/>
      <c r="EP640" s="2561"/>
      <c r="EQ640" s="2561"/>
      <c r="ER640" s="2561" t="e">
        <f t="shared" si="26"/>
        <v>#VALUE!</v>
      </c>
      <c r="ES640" s="2561"/>
      <c r="ET640" s="2561"/>
      <c r="EU640" s="2561"/>
      <c r="EV640" s="2561"/>
      <c r="EW640" s="2561" t="e">
        <f t="shared" si="27"/>
        <v>#VALUE!</v>
      </c>
      <c r="EX640" s="2561"/>
      <c r="EY640" s="2561"/>
      <c r="EZ640" s="2561"/>
      <c r="FA640" s="2561"/>
    </row>
    <row r="641" spans="1:157" ht="12.75">
      <c r="B641" s="84" t="s">
        <v>820</v>
      </c>
      <c r="C641" s="2028"/>
      <c r="D641" s="2028"/>
      <c r="E641" s="2028"/>
      <c r="F641" s="2028"/>
      <c r="G641" s="2028"/>
      <c r="H641" s="2028"/>
      <c r="I641" s="2028"/>
      <c r="J641" s="2028"/>
      <c r="K641" s="2028"/>
      <c r="L641" s="2028"/>
      <c r="M641" s="2028"/>
      <c r="N641" s="2423"/>
      <c r="O641" s="2380"/>
      <c r="P641" s="2381"/>
      <c r="Q641" s="2382"/>
      <c r="R641" s="2165"/>
      <c r="S641" s="2166"/>
      <c r="T641" s="2167"/>
      <c r="U641" s="2396"/>
      <c r="V641" s="2397"/>
      <c r="W641" s="2398"/>
      <c r="X641" s="2310" t="s">
        <v>1383</v>
      </c>
      <c r="Y641" s="2562"/>
      <c r="Z641" s="2562"/>
      <c r="AA641" s="2562"/>
      <c r="AB641" s="2563"/>
      <c r="AC641" s="2136"/>
      <c r="AD641" s="2137"/>
      <c r="AE641" s="2138"/>
      <c r="AF641" s="2258"/>
      <c r="AG641" s="2259"/>
      <c r="AH641" s="2259"/>
      <c r="AI641" s="2259"/>
      <c r="AJ641" s="2260"/>
      <c r="AK641" s="2377"/>
      <c r="AL641" s="2378"/>
      <c r="AM641" s="2378"/>
      <c r="AN641" s="2379"/>
      <c r="AO641" s="2139"/>
      <c r="AP641" s="2139"/>
      <c r="AQ641" s="2139"/>
      <c r="AR641" s="2139"/>
      <c r="AS641" s="213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61" t="e">
        <f t="shared" si="22"/>
        <v>#VALUE!</v>
      </c>
      <c r="DY641" s="2561"/>
      <c r="DZ641" s="2561"/>
      <c r="EA641" s="2561"/>
      <c r="EB641" s="2561"/>
      <c r="EC641" s="2561" t="e">
        <f t="shared" si="23"/>
        <v>#VALUE!</v>
      </c>
      <c r="ED641" s="2561"/>
      <c r="EE641" s="2561"/>
      <c r="EF641" s="2561"/>
      <c r="EG641" s="2561"/>
      <c r="EH641" s="2561" t="e">
        <f t="shared" si="24"/>
        <v>#VALUE!</v>
      </c>
      <c r="EI641" s="2561"/>
      <c r="EJ641" s="2561"/>
      <c r="EK641" s="2561"/>
      <c r="EL641" s="2561"/>
      <c r="EM641" s="2561">
        <f t="shared" si="25"/>
        <v>810.29921259842513</v>
      </c>
      <c r="EN641" s="2561"/>
      <c r="EO641" s="2561"/>
      <c r="EP641" s="2561"/>
      <c r="EQ641" s="2561"/>
      <c r="ER641" s="2561" t="e">
        <f t="shared" si="26"/>
        <v>#VALUE!</v>
      </c>
      <c r="ES641" s="2561"/>
      <c r="ET641" s="2561"/>
      <c r="EU641" s="2561"/>
      <c r="EV641" s="2561"/>
      <c r="EW641" s="2561" t="e">
        <f t="shared" si="27"/>
        <v>#VALUE!</v>
      </c>
      <c r="EX641" s="2561"/>
      <c r="EY641" s="2561"/>
      <c r="EZ641" s="2561"/>
      <c r="FA641" s="2561"/>
    </row>
    <row r="642" spans="1:157" ht="12.75">
      <c r="B642" s="84" t="s">
        <v>618</v>
      </c>
      <c r="C642" s="2028"/>
      <c r="D642" s="2028"/>
      <c r="E642" s="2028"/>
      <c r="F642" s="2028"/>
      <c r="G642" s="2028"/>
      <c r="H642" s="2028"/>
      <c r="I642" s="2028"/>
      <c r="J642" s="2028"/>
      <c r="K642" s="2028"/>
      <c r="L642" s="2028"/>
      <c r="M642" s="2028"/>
      <c r="N642" s="2423"/>
      <c r="O642" s="2380"/>
      <c r="P642" s="2381"/>
      <c r="Q642" s="2382"/>
      <c r="R642" s="2165"/>
      <c r="S642" s="2166"/>
      <c r="T642" s="2167"/>
      <c r="U642" s="2396"/>
      <c r="V642" s="2397"/>
      <c r="W642" s="2398"/>
      <c r="X642" s="2310" t="s">
        <v>1383</v>
      </c>
      <c r="Y642" s="2562"/>
      <c r="Z642" s="2562"/>
      <c r="AA642" s="2562"/>
      <c r="AB642" s="2563"/>
      <c r="AC642" s="2136"/>
      <c r="AD642" s="2137"/>
      <c r="AE642" s="2138"/>
      <c r="AF642" s="2258"/>
      <c r="AG642" s="2259"/>
      <c r="AH642" s="2259"/>
      <c r="AI642" s="2259"/>
      <c r="AJ642" s="2260"/>
      <c r="AK642" s="2377"/>
      <c r="AL642" s="2378"/>
      <c r="AM642" s="2378"/>
      <c r="AN642" s="2379"/>
      <c r="AO642" s="2139"/>
      <c r="AP642" s="2139"/>
      <c r="AQ642" s="2139"/>
      <c r="AR642" s="2139"/>
      <c r="AS642" s="21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61" t="e">
        <f t="shared" si="22"/>
        <v>#VALUE!</v>
      </c>
      <c r="DY642" s="2561"/>
      <c r="DZ642" s="2561"/>
      <c r="EA642" s="2561"/>
      <c r="EB642" s="2561"/>
      <c r="EC642" s="2561" t="e">
        <f t="shared" si="23"/>
        <v>#VALUE!</v>
      </c>
      <c r="ED642" s="2561"/>
      <c r="EE642" s="2561"/>
      <c r="EF642" s="2561"/>
      <c r="EG642" s="2561"/>
      <c r="EH642" s="2561" t="e">
        <f t="shared" si="24"/>
        <v>#VALUE!</v>
      </c>
      <c r="EI642" s="2561"/>
      <c r="EJ642" s="2561"/>
      <c r="EK642" s="2561"/>
      <c r="EL642" s="2561"/>
      <c r="EM642" s="2561">
        <f t="shared" si="25"/>
        <v>647.03149606299212</v>
      </c>
      <c r="EN642" s="2561"/>
      <c r="EO642" s="2561"/>
      <c r="EP642" s="2561"/>
      <c r="EQ642" s="2561"/>
      <c r="ER642" s="2561" t="e">
        <f t="shared" si="26"/>
        <v>#VALUE!</v>
      </c>
      <c r="ES642" s="2561"/>
      <c r="ET642" s="2561"/>
      <c r="EU642" s="2561"/>
      <c r="EV642" s="2561"/>
      <c r="EW642" s="2561" t="e">
        <f t="shared" si="27"/>
        <v>#VALUE!</v>
      </c>
      <c r="EX642" s="2561"/>
      <c r="EY642" s="2561"/>
      <c r="EZ642" s="2561"/>
      <c r="FA642" s="2561"/>
    </row>
    <row r="643" spans="1:157" ht="12.75">
      <c r="B643" s="84" t="s">
        <v>486</v>
      </c>
      <c r="C643" s="2028"/>
      <c r="D643" s="2028"/>
      <c r="E643" s="2028"/>
      <c r="F643" s="2028"/>
      <c r="G643" s="2028"/>
      <c r="H643" s="2028"/>
      <c r="I643" s="2028"/>
      <c r="J643" s="2028"/>
      <c r="K643" s="2028"/>
      <c r="L643" s="2028"/>
      <c r="M643" s="2028"/>
      <c r="N643" s="2423"/>
      <c r="O643" s="2380"/>
      <c r="P643" s="2381"/>
      <c r="Q643" s="2382"/>
      <c r="R643" s="2165"/>
      <c r="S643" s="2166"/>
      <c r="T643" s="2167"/>
      <c r="U643" s="2396"/>
      <c r="V643" s="2397"/>
      <c r="W643" s="2398"/>
      <c r="X643" s="2310" t="s">
        <v>1383</v>
      </c>
      <c r="Y643" s="2562"/>
      <c r="Z643" s="2562"/>
      <c r="AA643" s="2562"/>
      <c r="AB643" s="2563"/>
      <c r="AC643" s="2136"/>
      <c r="AD643" s="2137"/>
      <c r="AE643" s="2138"/>
      <c r="AF643" s="2258"/>
      <c r="AG643" s="2259"/>
      <c r="AH643" s="2259"/>
      <c r="AI643" s="2259"/>
      <c r="AJ643" s="2260"/>
      <c r="AK643" s="2377"/>
      <c r="AL643" s="2378"/>
      <c r="AM643" s="2378"/>
      <c r="AN643" s="2379"/>
      <c r="AO643" s="2139"/>
      <c r="AP643" s="2139"/>
      <c r="AQ643" s="2139"/>
      <c r="AR643" s="2139"/>
      <c r="AS643" s="21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61" t="e">
        <f t="shared" si="22"/>
        <v>#VALUE!</v>
      </c>
      <c r="DY643" s="2561"/>
      <c r="DZ643" s="2561"/>
      <c r="EA643" s="2561"/>
      <c r="EB643" s="2561"/>
      <c r="EC643" s="2561" t="e">
        <f t="shared" si="23"/>
        <v>#VALUE!</v>
      </c>
      <c r="ED643" s="2561"/>
      <c r="EE643" s="2561"/>
      <c r="EF643" s="2561"/>
      <c r="EG643" s="2561"/>
      <c r="EH643" s="2561" t="e">
        <f t="shared" si="24"/>
        <v>#VALUE!</v>
      </c>
      <c r="EI643" s="2561"/>
      <c r="EJ643" s="2561"/>
      <c r="EK643" s="2561"/>
      <c r="EL643" s="2561"/>
      <c r="EM643" s="2561">
        <f t="shared" si="25"/>
        <v>140.64566929133858</v>
      </c>
      <c r="EN643" s="2561"/>
      <c r="EO643" s="2561"/>
      <c r="EP643" s="2561"/>
      <c r="EQ643" s="2561"/>
      <c r="ER643" s="2561" t="e">
        <f t="shared" si="26"/>
        <v>#VALUE!</v>
      </c>
      <c r="ES643" s="2561"/>
      <c r="ET643" s="2561"/>
      <c r="EU643" s="2561"/>
      <c r="EV643" s="2561"/>
      <c r="EW643" s="2561" t="e">
        <f t="shared" si="27"/>
        <v>#VALUE!</v>
      </c>
      <c r="EX643" s="2561"/>
      <c r="EY643" s="2561"/>
      <c r="EZ643" s="2561"/>
      <c r="FA643" s="2561"/>
    </row>
    <row r="644" spans="1:157" ht="12.75">
      <c r="B644" s="84" t="s">
        <v>487</v>
      </c>
      <c r="C644" s="2028"/>
      <c r="D644" s="2028"/>
      <c r="E644" s="2028"/>
      <c r="F644" s="2028"/>
      <c r="G644" s="2028"/>
      <c r="H644" s="2028"/>
      <c r="I644" s="2028"/>
      <c r="J644" s="2028"/>
      <c r="K644" s="2028"/>
      <c r="L644" s="2028"/>
      <c r="M644" s="2028"/>
      <c r="N644" s="2423"/>
      <c r="O644" s="2380"/>
      <c r="P644" s="2381"/>
      <c r="Q644" s="2382"/>
      <c r="R644" s="2165"/>
      <c r="S644" s="2166"/>
      <c r="T644" s="2167"/>
      <c r="U644" s="2396"/>
      <c r="V644" s="2397"/>
      <c r="W644" s="2398"/>
      <c r="X644" s="2310" t="s">
        <v>1383</v>
      </c>
      <c r="Y644" s="2562"/>
      <c r="Z644" s="2562"/>
      <c r="AA644" s="2562"/>
      <c r="AB644" s="2563"/>
      <c r="AC644" s="2136"/>
      <c r="AD644" s="2137"/>
      <c r="AE644" s="2138"/>
      <c r="AF644" s="2258"/>
      <c r="AG644" s="2259"/>
      <c r="AH644" s="2259"/>
      <c r="AI644" s="2259"/>
      <c r="AJ644" s="2260"/>
      <c r="AK644" s="2377"/>
      <c r="AL644" s="2378"/>
      <c r="AM644" s="2378"/>
      <c r="AN644" s="2379"/>
      <c r="AO644" s="2139"/>
      <c r="AP644" s="2139"/>
      <c r="AQ644" s="2139"/>
      <c r="AR644" s="2139"/>
      <c r="AS644" s="21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0</v>
      </c>
      <c r="BY644" s="2008"/>
      <c r="BZ644" s="2008"/>
      <c r="CA644" s="2008"/>
      <c r="CB644" s="2009"/>
      <c r="CC644" s="2007">
        <f>SUM(CC640:CG643)</f>
        <v>1</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1</v>
      </c>
      <c r="CT644" s="134" t="s">
        <v>2384</v>
      </c>
      <c r="CU644" s="58"/>
      <c r="CV644" s="58"/>
      <c r="CW644" s="58"/>
      <c r="CX644" s="58"/>
      <c r="CY644" s="58"/>
      <c r="CZ644" s="58"/>
      <c r="DA644" s="58"/>
      <c r="DB644" s="58"/>
      <c r="DC644" s="58"/>
      <c r="DD644" s="58"/>
      <c r="DE644" s="58"/>
      <c r="DF644" s="58"/>
      <c r="DX644" s="2561" t="e">
        <f t="shared" si="22"/>
        <v>#VALUE!</v>
      </c>
      <c r="DY644" s="2561"/>
      <c r="DZ644" s="2561"/>
      <c r="EA644" s="2561"/>
      <c r="EB644" s="2561"/>
      <c r="EC644" s="2561" t="e">
        <f t="shared" si="23"/>
        <v>#VALUE!</v>
      </c>
      <c r="ED644" s="2561"/>
      <c r="EE644" s="2561"/>
      <c r="EF644" s="2561"/>
      <c r="EG644" s="2561"/>
      <c r="EH644" s="2561" t="e">
        <f t="shared" si="24"/>
        <v>#VALUE!</v>
      </c>
      <c r="EI644" s="2561"/>
      <c r="EJ644" s="2561"/>
      <c r="EK644" s="2561"/>
      <c r="EL644" s="2561"/>
      <c r="EM644" s="2561">
        <f t="shared" si="25"/>
        <v>78.71653543307086</v>
      </c>
      <c r="EN644" s="2561"/>
      <c r="EO644" s="2561"/>
      <c r="EP644" s="2561"/>
      <c r="EQ644" s="2561"/>
      <c r="ER644" s="2561" t="e">
        <f t="shared" si="26"/>
        <v>#VALUE!</v>
      </c>
      <c r="ES644" s="2561"/>
      <c r="ET644" s="2561"/>
      <c r="EU644" s="2561"/>
      <c r="EV644" s="2561"/>
      <c r="EW644" s="2561" t="e">
        <f t="shared" si="27"/>
        <v>#VALUE!</v>
      </c>
      <c r="EX644" s="2561"/>
      <c r="EY644" s="2561"/>
      <c r="EZ644" s="2561"/>
      <c r="FA644" s="2561"/>
    </row>
    <row r="645" spans="1:157" ht="12.75">
      <c r="B645" s="84" t="s">
        <v>493</v>
      </c>
      <c r="C645" s="2028"/>
      <c r="D645" s="2028"/>
      <c r="E645" s="2028"/>
      <c r="F645" s="2028"/>
      <c r="G645" s="2028"/>
      <c r="H645" s="2028"/>
      <c r="I645" s="2028"/>
      <c r="J645" s="2028"/>
      <c r="K645" s="2028"/>
      <c r="L645" s="2028"/>
      <c r="M645" s="2028"/>
      <c r="N645" s="2423"/>
      <c r="O645" s="2380"/>
      <c r="P645" s="2381"/>
      <c r="Q645" s="2382"/>
      <c r="R645" s="2165"/>
      <c r="S645" s="2166"/>
      <c r="T645" s="2167"/>
      <c r="U645" s="2396"/>
      <c r="V645" s="2397"/>
      <c r="W645" s="2398"/>
      <c r="X645" s="2310" t="s">
        <v>1383</v>
      </c>
      <c r="Y645" s="2562"/>
      <c r="Z645" s="2562"/>
      <c r="AA645" s="2562"/>
      <c r="AB645" s="2563"/>
      <c r="AC645" s="2136"/>
      <c r="AD645" s="2137"/>
      <c r="AE645" s="2138"/>
      <c r="AF645" s="2258"/>
      <c r="AG645" s="2259"/>
      <c r="AH645" s="2259"/>
      <c r="AI645" s="2259"/>
      <c r="AJ645" s="2260"/>
      <c r="AK645" s="2377"/>
      <c r="AL645" s="2378"/>
      <c r="AM645" s="2378"/>
      <c r="AN645" s="2379"/>
      <c r="AO645" s="2139"/>
      <c r="AP645" s="2139"/>
      <c r="AQ645" s="2139"/>
      <c r="AR645" s="2139"/>
      <c r="AS645" s="21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2386</v>
      </c>
      <c r="CU645" s="58"/>
      <c r="CV645" s="58"/>
      <c r="CW645" s="58"/>
      <c r="CX645" s="58"/>
      <c r="CY645" s="58"/>
      <c r="CZ645" s="58"/>
      <c r="DA645" s="58"/>
      <c r="DB645" s="58"/>
      <c r="DC645" s="58"/>
      <c r="DD645" s="58"/>
      <c r="DE645" s="58"/>
      <c r="DF645" s="58"/>
      <c r="DX645" s="2561" t="e">
        <f t="shared" si="22"/>
        <v>#VALUE!</v>
      </c>
      <c r="DY645" s="2561"/>
      <c r="DZ645" s="2561"/>
      <c r="EA645" s="2561"/>
      <c r="EB645" s="2561"/>
      <c r="EC645" s="2561" t="e">
        <f t="shared" si="23"/>
        <v>#VALUE!</v>
      </c>
      <c r="ED645" s="2561"/>
      <c r="EE645" s="2561"/>
      <c r="EF645" s="2561"/>
      <c r="EG645" s="2561"/>
      <c r="EH645" s="2561" t="e">
        <f t="shared" si="24"/>
        <v>#VALUE!</v>
      </c>
      <c r="EI645" s="2561"/>
      <c r="EJ645" s="2561"/>
      <c r="EK645" s="2561"/>
      <c r="EL645" s="2561"/>
      <c r="EM645" s="2561" t="e">
        <f t="shared" si="25"/>
        <v>#VALUE!</v>
      </c>
      <c r="EN645" s="2561"/>
      <c r="EO645" s="2561"/>
      <c r="EP645" s="2561"/>
      <c r="EQ645" s="2561"/>
      <c r="ER645" s="2561" t="e">
        <f t="shared" si="26"/>
        <v>#VALUE!</v>
      </c>
      <c r="ES645" s="2561"/>
      <c r="ET645" s="2561"/>
      <c r="EU645" s="2561"/>
      <c r="EV645" s="2561"/>
      <c r="EW645" s="2561" t="e">
        <f t="shared" si="27"/>
        <v>#VALUE!</v>
      </c>
      <c r="EX645" s="2561"/>
      <c r="EY645" s="2561"/>
      <c r="EZ645" s="2561"/>
      <c r="FA645" s="2561"/>
    </row>
    <row r="646" spans="1:157" ht="12.75">
      <c r="B646" s="84" t="s">
        <v>680</v>
      </c>
      <c r="C646" s="2028"/>
      <c r="D646" s="2028"/>
      <c r="E646" s="2028"/>
      <c r="F646" s="2028"/>
      <c r="G646" s="2028"/>
      <c r="H646" s="2028"/>
      <c r="I646" s="2028"/>
      <c r="J646" s="2028"/>
      <c r="K646" s="2028"/>
      <c r="L646" s="2028"/>
      <c r="M646" s="2028"/>
      <c r="N646" s="2423"/>
      <c r="O646" s="2380"/>
      <c r="P646" s="2381"/>
      <c r="Q646" s="2382"/>
      <c r="R646" s="2165"/>
      <c r="S646" s="2166"/>
      <c r="T646" s="2167"/>
      <c r="U646" s="2396"/>
      <c r="V646" s="2397"/>
      <c r="W646" s="2398"/>
      <c r="X646" s="2310" t="s">
        <v>1383</v>
      </c>
      <c r="Y646" s="2562"/>
      <c r="Z646" s="2562"/>
      <c r="AA646" s="2562"/>
      <c r="AB646" s="2563"/>
      <c r="AC646" s="2136"/>
      <c r="AD646" s="2137"/>
      <c r="AE646" s="2138"/>
      <c r="AF646" s="2258"/>
      <c r="AG646" s="2259"/>
      <c r="AH646" s="2259"/>
      <c r="AI646" s="2259"/>
      <c r="AJ646" s="2260"/>
      <c r="AK646" s="2377"/>
      <c r="AL646" s="2378"/>
      <c r="AM646" s="2378"/>
      <c r="AN646" s="2379"/>
      <c r="AO646" s="2139"/>
      <c r="AP646" s="2139"/>
      <c r="AQ646" s="2139"/>
      <c r="AR646" s="2139"/>
      <c r="AS646" s="21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1" t="e">
        <f t="shared" si="22"/>
        <v>#VALUE!</v>
      </c>
      <c r="DY646" s="2561"/>
      <c r="DZ646" s="2561"/>
      <c r="EA646" s="2561"/>
      <c r="EB646" s="2561"/>
      <c r="EC646" s="2561" t="e">
        <f t="shared" si="23"/>
        <v>#VALUE!</v>
      </c>
      <c r="ED646" s="2561"/>
      <c r="EE646" s="2561"/>
      <c r="EF646" s="2561"/>
      <c r="EG646" s="2561"/>
      <c r="EH646" s="2561" t="e">
        <f t="shared" si="24"/>
        <v>#VALUE!</v>
      </c>
      <c r="EI646" s="2561"/>
      <c r="EJ646" s="2561"/>
      <c r="EK646" s="2561"/>
      <c r="EL646" s="2561"/>
      <c r="EM646" s="2561" t="e">
        <f t="shared" si="25"/>
        <v>#VALUE!</v>
      </c>
      <c r="EN646" s="2561"/>
      <c r="EO646" s="2561"/>
      <c r="EP646" s="2561"/>
      <c r="EQ646" s="2561"/>
      <c r="ER646" s="2561" t="e">
        <f t="shared" si="26"/>
        <v>#VALUE!</v>
      </c>
      <c r="ES646" s="2561"/>
      <c r="ET646" s="2561"/>
      <c r="EU646" s="2561"/>
      <c r="EV646" s="2561"/>
      <c r="EW646" s="2561" t="e">
        <f t="shared" si="27"/>
        <v>#VALUE!</v>
      </c>
      <c r="EX646" s="2561"/>
      <c r="EY646" s="2561"/>
      <c r="EZ646" s="2561"/>
      <c r="FA646" s="2561"/>
    </row>
    <row r="647" spans="1:157" ht="12.75">
      <c r="B647" s="84" t="s">
        <v>372</v>
      </c>
      <c r="C647" s="2028"/>
      <c r="D647" s="2028"/>
      <c r="E647" s="2028"/>
      <c r="F647" s="2028"/>
      <c r="G647" s="2028"/>
      <c r="H647" s="2028"/>
      <c r="I647" s="2028"/>
      <c r="J647" s="2028"/>
      <c r="K647" s="2028"/>
      <c r="L647" s="2028"/>
      <c r="M647" s="2028"/>
      <c r="N647" s="2423"/>
      <c r="O647" s="2380"/>
      <c r="P647" s="2381"/>
      <c r="Q647" s="2382"/>
      <c r="R647" s="2165"/>
      <c r="S647" s="2166"/>
      <c r="T647" s="2167"/>
      <c r="U647" s="2396"/>
      <c r="V647" s="2397"/>
      <c r="W647" s="2398"/>
      <c r="X647" s="2310" t="s">
        <v>1383</v>
      </c>
      <c r="Y647" s="2562"/>
      <c r="Z647" s="2562"/>
      <c r="AA647" s="2562"/>
      <c r="AB647" s="2563"/>
      <c r="AC647" s="2136"/>
      <c r="AD647" s="2137"/>
      <c r="AE647" s="2138"/>
      <c r="AF647" s="2258"/>
      <c r="AG647" s="2259"/>
      <c r="AH647" s="2259"/>
      <c r="AI647" s="2259"/>
      <c r="AJ647" s="2260"/>
      <c r="AK647" s="2377"/>
      <c r="AL647" s="2378"/>
      <c r="AM647" s="2378"/>
      <c r="AN647" s="2379"/>
      <c r="AO647" s="2139"/>
      <c r="AP647" s="2139"/>
      <c r="AQ647" s="2139"/>
      <c r="AR647" s="2139"/>
      <c r="AS647" s="21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1" t="e">
        <f t="shared" si="22"/>
        <v>#VALUE!</v>
      </c>
      <c r="DY647" s="2561"/>
      <c r="DZ647" s="2561"/>
      <c r="EA647" s="2561"/>
      <c r="EB647" s="2561"/>
      <c r="EC647" s="2561" t="e">
        <f t="shared" si="23"/>
        <v>#VALUE!</v>
      </c>
      <c r="ED647" s="2561"/>
      <c r="EE647" s="2561"/>
      <c r="EF647" s="2561"/>
      <c r="EG647" s="2561"/>
      <c r="EH647" s="2561" t="e">
        <f t="shared" si="24"/>
        <v>#VALUE!</v>
      </c>
      <c r="EI647" s="2561"/>
      <c r="EJ647" s="2561"/>
      <c r="EK647" s="2561"/>
      <c r="EL647" s="2561"/>
      <c r="EM647" s="2561" t="e">
        <f t="shared" si="25"/>
        <v>#VALUE!</v>
      </c>
      <c r="EN647" s="2561"/>
      <c r="EO647" s="2561"/>
      <c r="EP647" s="2561"/>
      <c r="EQ647" s="2561"/>
      <c r="ER647" s="2561" t="e">
        <f t="shared" si="26"/>
        <v>#VALUE!</v>
      </c>
      <c r="ES647" s="2561"/>
      <c r="ET647" s="2561"/>
      <c r="EU647" s="2561"/>
      <c r="EV647" s="2561"/>
      <c r="EW647" s="2561" t="e">
        <f t="shared" si="27"/>
        <v>#VALUE!</v>
      </c>
      <c r="EX647" s="2561"/>
      <c r="EY647" s="2561"/>
      <c r="EZ647" s="2561"/>
      <c r="FA647" s="2561"/>
    </row>
    <row r="648" spans="1:157" ht="12.75">
      <c r="B648" s="84" t="s">
        <v>373</v>
      </c>
      <c r="C648" s="2028"/>
      <c r="D648" s="2028"/>
      <c r="E648" s="2028"/>
      <c r="F648" s="2028"/>
      <c r="G648" s="2028"/>
      <c r="H648" s="2028"/>
      <c r="I648" s="2028"/>
      <c r="J648" s="2028"/>
      <c r="K648" s="2028"/>
      <c r="L648" s="2028"/>
      <c r="M648" s="2028"/>
      <c r="N648" s="2423"/>
      <c r="O648" s="2380"/>
      <c r="P648" s="2381"/>
      <c r="Q648" s="2382"/>
      <c r="R648" s="2165"/>
      <c r="S648" s="2166"/>
      <c r="T648" s="2167"/>
      <c r="U648" s="2396"/>
      <c r="V648" s="2397"/>
      <c r="W648" s="2398"/>
      <c r="X648" s="2310" t="s">
        <v>1383</v>
      </c>
      <c r="Y648" s="2562"/>
      <c r="Z648" s="2562"/>
      <c r="AA648" s="2562"/>
      <c r="AB648" s="2563"/>
      <c r="AC648" s="2136"/>
      <c r="AD648" s="2137"/>
      <c r="AE648" s="2138"/>
      <c r="AF648" s="2258"/>
      <c r="AG648" s="2259"/>
      <c r="AH648" s="2259"/>
      <c r="AI648" s="2259"/>
      <c r="AJ648" s="2260"/>
      <c r="AK648" s="2377"/>
      <c r="AL648" s="2378"/>
      <c r="AM648" s="2378"/>
      <c r="AN648" s="2379"/>
      <c r="AO648" s="2139"/>
      <c r="AP648" s="2139"/>
      <c r="AQ648" s="2139"/>
      <c r="AR648" s="2139"/>
      <c r="AS648" s="21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61" t="e">
        <f t="shared" si="22"/>
        <v>#VALUE!</v>
      </c>
      <c r="DY648" s="2561"/>
      <c r="DZ648" s="2561"/>
      <c r="EA648" s="2561"/>
      <c r="EB648" s="2561"/>
      <c r="EC648" s="2561" t="e">
        <f t="shared" si="23"/>
        <v>#VALUE!</v>
      </c>
      <c r="ED648" s="2561"/>
      <c r="EE648" s="2561"/>
      <c r="EF648" s="2561"/>
      <c r="EG648" s="2561"/>
      <c r="EH648" s="2561" t="e">
        <f t="shared" si="24"/>
        <v>#VALUE!</v>
      </c>
      <c r="EI648" s="2561"/>
      <c r="EJ648" s="2561"/>
      <c r="EK648" s="2561"/>
      <c r="EL648" s="2561"/>
      <c r="EM648" s="2561" t="e">
        <f t="shared" si="25"/>
        <v>#VALUE!</v>
      </c>
      <c r="EN648" s="2561"/>
      <c r="EO648" s="2561"/>
      <c r="EP648" s="2561"/>
      <c r="EQ648" s="2561"/>
      <c r="ER648" s="2561" t="e">
        <f t="shared" si="26"/>
        <v>#VALUE!</v>
      </c>
      <c r="ES648" s="2561"/>
      <c r="ET648" s="2561"/>
      <c r="EU648" s="2561"/>
      <c r="EV648" s="2561"/>
      <c r="EW648" s="2561" t="e">
        <f t="shared" si="27"/>
        <v>#VALUE!</v>
      </c>
      <c r="EX648" s="2561"/>
      <c r="EY648" s="2561"/>
      <c r="EZ648" s="2561"/>
      <c r="FA648" s="2561"/>
    </row>
    <row r="649" spans="1:157" ht="12.75">
      <c r="B649" s="2193" t="s">
        <v>133</v>
      </c>
      <c r="C649" s="2194"/>
      <c r="D649" s="2194"/>
      <c r="E649" s="2194"/>
      <c r="F649" s="2194"/>
      <c r="G649" s="2194"/>
      <c r="H649" s="2194"/>
      <c r="I649" s="2194"/>
      <c r="J649" s="2194"/>
      <c r="K649" s="2194"/>
      <c r="L649" s="2194"/>
      <c r="M649" s="2194"/>
      <c r="N649" s="2194"/>
      <c r="O649" s="2194"/>
      <c r="P649" s="2194"/>
      <c r="Q649" s="2194"/>
      <c r="R649" s="2194"/>
      <c r="S649" s="2194"/>
      <c r="T649" s="2194"/>
      <c r="U649" s="2194"/>
      <c r="V649" s="2194"/>
      <c r="W649" s="2194"/>
      <c r="X649" s="2194"/>
      <c r="Y649" s="2194"/>
      <c r="Z649" s="2194"/>
      <c r="AA649" s="2194"/>
      <c r="AB649" s="2194"/>
      <c r="AC649" s="2194"/>
      <c r="AD649" s="2194"/>
      <c r="AE649" s="2194"/>
      <c r="AF649" s="2194"/>
      <c r="AG649" s="2194"/>
      <c r="AH649" s="2194"/>
      <c r="AI649" s="2194"/>
      <c r="AJ649" s="2194"/>
      <c r="AK649" s="2194"/>
      <c r="AL649" s="2194"/>
      <c r="AM649" s="2194"/>
      <c r="AN649" s="2196"/>
      <c r="AO649" s="2141">
        <f>SUM(AO637:AR648)</f>
        <v>38968682</v>
      </c>
      <c r="AP649" s="2142"/>
      <c r="AQ649" s="2142"/>
      <c r="AR649" s="2142"/>
      <c r="AS649" s="2143"/>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61" t="e">
        <f t="shared" si="22"/>
        <v>#VALUE!</v>
      </c>
      <c r="DY649" s="2561"/>
      <c r="DZ649" s="2561"/>
      <c r="EA649" s="2561"/>
      <c r="EB649" s="2561"/>
      <c r="EC649" s="2561" t="e">
        <f t="shared" si="23"/>
        <v>#VALUE!</v>
      </c>
      <c r="ED649" s="2561"/>
      <c r="EE649" s="2561"/>
      <c r="EF649" s="2561"/>
      <c r="EG649" s="2561"/>
      <c r="EH649" s="2561" t="e">
        <f t="shared" si="24"/>
        <v>#VALUE!</v>
      </c>
      <c r="EI649" s="2561"/>
      <c r="EJ649" s="2561"/>
      <c r="EK649" s="2561"/>
      <c r="EL649" s="2561"/>
      <c r="EM649" s="2561" t="e">
        <f t="shared" si="25"/>
        <v>#VALUE!</v>
      </c>
      <c r="EN649" s="2561"/>
      <c r="EO649" s="2561"/>
      <c r="EP649" s="2561"/>
      <c r="EQ649" s="2561"/>
      <c r="ER649" s="2561" t="e">
        <f t="shared" si="26"/>
        <v>#VALUE!</v>
      </c>
      <c r="ES649" s="2561"/>
      <c r="ET649" s="2561"/>
      <c r="EU649" s="2561"/>
      <c r="EV649" s="2561"/>
      <c r="EW649" s="2561" t="e">
        <f t="shared" si="27"/>
        <v>#VALUE!</v>
      </c>
      <c r="EX649" s="2561"/>
      <c r="EY649" s="2561"/>
      <c r="EZ649" s="2561"/>
      <c r="FA649" s="2561"/>
    </row>
    <row r="650" spans="1:157" ht="12.75" customHeight="1">
      <c r="B650" s="2193" t="s">
        <v>273</v>
      </c>
      <c r="C650" s="2194"/>
      <c r="D650" s="2194"/>
      <c r="E650" s="2194"/>
      <c r="F650" s="2194"/>
      <c r="G650" s="2194"/>
      <c r="H650" s="2194"/>
      <c r="I650" s="2194"/>
      <c r="J650" s="2194"/>
      <c r="K650" s="2194"/>
      <c r="L650" s="2194"/>
      <c r="M650" s="2194"/>
      <c r="N650" s="2194"/>
      <c r="O650" s="2194"/>
      <c r="P650" s="2194"/>
      <c r="Q650" s="2194"/>
      <c r="R650" s="2194"/>
      <c r="S650" s="2194"/>
      <c r="T650" s="2194"/>
      <c r="U650" s="2194"/>
      <c r="V650" s="2194"/>
      <c r="W650" s="2194"/>
      <c r="X650" s="2194"/>
      <c r="Y650" s="2194"/>
      <c r="Z650" s="2194"/>
      <c r="AA650" s="2194"/>
      <c r="AB650" s="2194"/>
      <c r="AC650" s="2194"/>
      <c r="AD650" s="2194"/>
      <c r="AE650" s="2194"/>
      <c r="AF650" s="2194"/>
      <c r="AG650" s="2194"/>
      <c r="AH650" s="2194"/>
      <c r="AI650" s="2194"/>
      <c r="AJ650" s="2194"/>
      <c r="AK650" s="2194"/>
      <c r="AL650" s="2194"/>
      <c r="AM650" s="2194"/>
      <c r="AN650" s="2196"/>
      <c r="AO650" s="2030">
        <f>33387991+8335450</f>
        <v>41723441</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61" t="e">
        <f t="shared" si="22"/>
        <v>#VALUE!</v>
      </c>
      <c r="DY650" s="2561"/>
      <c r="DZ650" s="2561"/>
      <c r="EA650" s="2561"/>
      <c r="EB650" s="2561"/>
      <c r="EC650" s="2561" t="e">
        <f t="shared" si="23"/>
        <v>#VALUE!</v>
      </c>
      <c r="ED650" s="2561"/>
      <c r="EE650" s="2561"/>
      <c r="EF650" s="2561"/>
      <c r="EG650" s="2561"/>
      <c r="EH650" s="2561" t="e">
        <f t="shared" si="24"/>
        <v>#VALUE!</v>
      </c>
      <c r="EI650" s="2561"/>
      <c r="EJ650" s="2561"/>
      <c r="EK650" s="2561"/>
      <c r="EL650" s="2561"/>
      <c r="EM650" s="2561" t="e">
        <f t="shared" si="25"/>
        <v>#VALUE!</v>
      </c>
      <c r="EN650" s="2561"/>
      <c r="EO650" s="2561"/>
      <c r="EP650" s="2561"/>
      <c r="EQ650" s="2561"/>
      <c r="ER650" s="2561" t="e">
        <f t="shared" si="26"/>
        <v>#VALUE!</v>
      </c>
      <c r="ES650" s="2561"/>
      <c r="ET650" s="2561"/>
      <c r="EU650" s="2561"/>
      <c r="EV650" s="2561"/>
      <c r="EW650" s="2561" t="e">
        <f t="shared" si="27"/>
        <v>#VALUE!</v>
      </c>
      <c r="EX650" s="2561"/>
      <c r="EY650" s="2561"/>
      <c r="EZ650" s="2561"/>
      <c r="FA650" s="2561"/>
    </row>
    <row r="651" spans="1:157" ht="12.75" customHeight="1">
      <c r="B651" s="2266" t="s">
        <v>274</v>
      </c>
      <c r="C651" s="2195"/>
      <c r="D651" s="2195"/>
      <c r="E651" s="2195"/>
      <c r="F651" s="2195"/>
      <c r="G651" s="2195"/>
      <c r="H651" s="2195"/>
      <c r="I651" s="2195"/>
      <c r="J651" s="2195"/>
      <c r="K651" s="2195"/>
      <c r="L651" s="2195"/>
      <c r="M651" s="2195"/>
      <c r="N651" s="2195"/>
      <c r="O651" s="2195"/>
      <c r="P651" s="2195"/>
      <c r="Q651" s="2195"/>
      <c r="R651" s="2195"/>
      <c r="S651" s="2195"/>
      <c r="T651" s="2195"/>
      <c r="U651" s="2195"/>
      <c r="V651" s="2195"/>
      <c r="W651" s="2195"/>
      <c r="X651" s="2195"/>
      <c r="Y651" s="2195"/>
      <c r="Z651" s="2195"/>
      <c r="AA651" s="2195"/>
      <c r="AB651" s="2195"/>
      <c r="AC651" s="2195"/>
      <c r="AD651" s="2195"/>
      <c r="AE651" s="2195"/>
      <c r="AF651" s="2195"/>
      <c r="AG651" s="2195"/>
      <c r="AH651" s="2195"/>
      <c r="AI651" s="2195"/>
      <c r="AJ651" s="2195"/>
      <c r="AK651" s="2195"/>
      <c r="AL651" s="2195"/>
      <c r="AM651" s="2195"/>
      <c r="AN651" s="2267"/>
      <c r="AO651" s="2141">
        <f>AO649+AO650</f>
        <v>80692123</v>
      </c>
      <c r="AP651" s="2142"/>
      <c r="AQ651" s="2142"/>
      <c r="AR651" s="2142"/>
      <c r="AS651" s="2143"/>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61" t="e">
        <f t="shared" si="22"/>
        <v>#VALUE!</v>
      </c>
      <c r="DY651" s="2561"/>
      <c r="DZ651" s="2561"/>
      <c r="EA651" s="2561"/>
      <c r="EB651" s="2561"/>
      <c r="EC651" s="2561" t="e">
        <f t="shared" si="23"/>
        <v>#VALUE!</v>
      </c>
      <c r="ED651" s="2561"/>
      <c r="EE651" s="2561"/>
      <c r="EF651" s="2561"/>
      <c r="EG651" s="2561"/>
      <c r="EH651" s="2561" t="e">
        <f t="shared" si="24"/>
        <v>#VALUE!</v>
      </c>
      <c r="EI651" s="2561"/>
      <c r="EJ651" s="2561"/>
      <c r="EK651" s="2561"/>
      <c r="EL651" s="2561"/>
      <c r="EM651" s="2561" t="e">
        <f t="shared" si="25"/>
        <v>#VALUE!</v>
      </c>
      <c r="EN651" s="2561"/>
      <c r="EO651" s="2561"/>
      <c r="EP651" s="2561"/>
      <c r="EQ651" s="2561"/>
      <c r="ER651" s="2561" t="e">
        <f t="shared" si="26"/>
        <v>#VALUE!</v>
      </c>
      <c r="ES651" s="2561"/>
      <c r="ET651" s="2561"/>
      <c r="EU651" s="2561"/>
      <c r="EV651" s="2561"/>
      <c r="EW651" s="2561" t="e">
        <f t="shared" si="27"/>
        <v>#VALUE!</v>
      </c>
      <c r="EX651" s="2561"/>
      <c r="EY651" s="2561"/>
      <c r="EZ651" s="2561"/>
      <c r="FA651" s="2561"/>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61" t="e">
        <f t="shared" si="22"/>
        <v>#VALUE!</v>
      </c>
      <c r="DY652" s="2561"/>
      <c r="DZ652" s="2561"/>
      <c r="EA652" s="2561"/>
      <c r="EB652" s="2561"/>
      <c r="EC652" s="2561" t="e">
        <f t="shared" si="23"/>
        <v>#VALUE!</v>
      </c>
      <c r="ED652" s="2561"/>
      <c r="EE652" s="2561"/>
      <c r="EF652" s="2561"/>
      <c r="EG652" s="2561"/>
      <c r="EH652" s="2561" t="e">
        <f t="shared" si="24"/>
        <v>#VALUE!</v>
      </c>
      <c r="EI652" s="2561"/>
      <c r="EJ652" s="2561"/>
      <c r="EK652" s="2561"/>
      <c r="EL652" s="2561"/>
      <c r="EM652" s="2561" t="e">
        <f t="shared" si="25"/>
        <v>#VALUE!</v>
      </c>
      <c r="EN652" s="2561"/>
      <c r="EO652" s="2561"/>
      <c r="EP652" s="2561"/>
      <c r="EQ652" s="2561"/>
      <c r="ER652" s="2561" t="e">
        <f t="shared" si="26"/>
        <v>#VALUE!</v>
      </c>
      <c r="ES652" s="2561"/>
      <c r="ET652" s="2561"/>
      <c r="EU652" s="2561"/>
      <c r="EV652" s="2561"/>
      <c r="EW652" s="2561" t="e">
        <f t="shared" si="27"/>
        <v>#VALUE!</v>
      </c>
      <c r="EX652" s="2561"/>
      <c r="EY652" s="2561"/>
      <c r="EZ652" s="2561"/>
      <c r="FA652" s="2561"/>
    </row>
    <row r="653" spans="1:157" ht="12.75">
      <c r="A653" s="87" t="s">
        <v>117</v>
      </c>
      <c r="B653" s="12" t="s">
        <v>495</v>
      </c>
      <c r="G653" s="2039" t="str">
        <f>C637</f>
        <v>CalHFA Permanent Loan</v>
      </c>
      <c r="H653" s="2039"/>
      <c r="I653" s="2039"/>
      <c r="J653" s="2039"/>
      <c r="K653" s="2039"/>
      <c r="L653" s="2039"/>
      <c r="M653" s="2039"/>
      <c r="N653" s="2039"/>
      <c r="O653" s="2039"/>
      <c r="P653" s="2039"/>
      <c r="Q653" s="2039"/>
      <c r="R653" s="2039"/>
      <c r="S653" s="14"/>
      <c r="T653" s="87" t="s">
        <v>118</v>
      </c>
      <c r="U653" s="12" t="s">
        <v>495</v>
      </c>
      <c r="Z653" s="2039" t="str">
        <f>C638</f>
        <v>Deferred Developer Fee</v>
      </c>
      <c r="AA653" s="2039"/>
      <c r="AB653" s="2039"/>
      <c r="AC653" s="2039"/>
      <c r="AD653" s="2039"/>
      <c r="AE653" s="2039"/>
      <c r="AF653" s="2039"/>
      <c r="AG653" s="2039"/>
      <c r="AH653" s="2039"/>
      <c r="AI653" s="2039"/>
      <c r="AJ653" s="2039"/>
      <c r="AK653" s="2039"/>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61" t="e">
        <f t="shared" si="22"/>
        <v>#VALUE!</v>
      </c>
      <c r="DY653" s="2561"/>
      <c r="DZ653" s="2561"/>
      <c r="EA653" s="2561"/>
      <c r="EB653" s="2561"/>
      <c r="EC653" s="2561" t="e">
        <f t="shared" si="23"/>
        <v>#VALUE!</v>
      </c>
      <c r="ED653" s="2561"/>
      <c r="EE653" s="2561"/>
      <c r="EF653" s="2561"/>
      <c r="EG653" s="2561"/>
      <c r="EH653" s="2561" t="e">
        <f t="shared" si="24"/>
        <v>#VALUE!</v>
      </c>
      <c r="EI653" s="2561"/>
      <c r="EJ653" s="2561"/>
      <c r="EK653" s="2561"/>
      <c r="EL653" s="2561"/>
      <c r="EM653" s="2561" t="e">
        <f t="shared" si="25"/>
        <v>#VALUE!</v>
      </c>
      <c r="EN653" s="2561"/>
      <c r="EO653" s="2561"/>
      <c r="EP653" s="2561"/>
      <c r="EQ653" s="2561"/>
      <c r="ER653" s="2561" t="e">
        <f t="shared" si="26"/>
        <v>#VALUE!</v>
      </c>
      <c r="ES653" s="2561"/>
      <c r="ET653" s="2561"/>
      <c r="EU653" s="2561"/>
      <c r="EV653" s="2561"/>
      <c r="EW653" s="2561" t="e">
        <f t="shared" si="27"/>
        <v>#VALUE!</v>
      </c>
      <c r="EX653" s="2561"/>
      <c r="EY653" s="2561"/>
      <c r="EZ653" s="2561"/>
      <c r="FA653" s="2561"/>
    </row>
    <row r="654" spans="1:157" ht="12.75">
      <c r="A654" s="35"/>
      <c r="B654" s="12" t="s">
        <v>90</v>
      </c>
      <c r="G654" s="2038" t="s">
        <v>2596</v>
      </c>
      <c r="H654" s="2038"/>
      <c r="I654" s="2038"/>
      <c r="J654" s="2038"/>
      <c r="K654" s="2038"/>
      <c r="L654" s="2038"/>
      <c r="M654" s="2038"/>
      <c r="N654" s="2038"/>
      <c r="O654" s="2038"/>
      <c r="P654" s="2038"/>
      <c r="Q654" s="2038"/>
      <c r="R654" s="2038"/>
      <c r="S654" s="14"/>
      <c r="T654" s="35"/>
      <c r="U654" s="12" t="s">
        <v>90</v>
      </c>
      <c r="Z654" s="2038" t="s">
        <v>2625</v>
      </c>
      <c r="AA654" s="2038"/>
      <c r="AB654" s="2038"/>
      <c r="AC654" s="2038"/>
      <c r="AD654" s="2038"/>
      <c r="AE654" s="2038"/>
      <c r="AF654" s="2038"/>
      <c r="AG654" s="2038"/>
      <c r="AH654" s="2038"/>
      <c r="AI654" s="2038"/>
      <c r="AJ654" s="2038"/>
      <c r="AK654" s="2038"/>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61" t="e">
        <f t="shared" si="22"/>
        <v>#VALUE!</v>
      </c>
      <c r="DY654" s="2561"/>
      <c r="DZ654" s="2561"/>
      <c r="EA654" s="2561"/>
      <c r="EB654" s="2561"/>
      <c r="EC654" s="2561" t="e">
        <f t="shared" si="23"/>
        <v>#VALUE!</v>
      </c>
      <c r="ED654" s="2561"/>
      <c r="EE654" s="2561"/>
      <c r="EF654" s="2561"/>
      <c r="EG654" s="2561"/>
      <c r="EH654" s="2561" t="e">
        <f t="shared" si="24"/>
        <v>#VALUE!</v>
      </c>
      <c r="EI654" s="2561"/>
      <c r="EJ654" s="2561"/>
      <c r="EK654" s="2561"/>
      <c r="EL654" s="2561"/>
      <c r="EM654" s="2561" t="e">
        <f t="shared" si="25"/>
        <v>#VALUE!</v>
      </c>
      <c r="EN654" s="2561"/>
      <c r="EO654" s="2561"/>
      <c r="EP654" s="2561"/>
      <c r="EQ654" s="2561"/>
      <c r="ER654" s="2561" t="e">
        <f t="shared" si="26"/>
        <v>#VALUE!</v>
      </c>
      <c r="ES654" s="2561"/>
      <c r="ET654" s="2561"/>
      <c r="EU654" s="2561"/>
      <c r="EV654" s="2561"/>
      <c r="EW654" s="2561" t="e">
        <f t="shared" si="27"/>
        <v>#VALUE!</v>
      </c>
      <c r="EX654" s="2561"/>
      <c r="EY654" s="2561"/>
      <c r="EZ654" s="2561"/>
      <c r="FA654" s="2561"/>
    </row>
    <row r="655" spans="1:157" ht="12.75">
      <c r="A655" s="35"/>
      <c r="B655" s="12" t="s">
        <v>614</v>
      </c>
      <c r="G655" s="2038" t="s">
        <v>526</v>
      </c>
      <c r="H655" s="2038"/>
      <c r="I655" s="2038"/>
      <c r="J655" s="2038"/>
      <c r="K655" s="2038"/>
      <c r="L655" s="2038"/>
      <c r="M655" s="2038"/>
      <c r="N655" s="2038"/>
      <c r="O655" s="2038"/>
      <c r="P655" s="2038"/>
      <c r="Q655" s="2038"/>
      <c r="R655" s="2038"/>
      <c r="S655" s="88"/>
      <c r="T655" s="35"/>
      <c r="U655" s="12" t="s">
        <v>614</v>
      </c>
      <c r="Z655" s="2041" t="s">
        <v>2556</v>
      </c>
      <c r="AA655" s="2041"/>
      <c r="AB655" s="2041"/>
      <c r="AC655" s="2041"/>
      <c r="AD655" s="2041"/>
      <c r="AE655" s="2041"/>
      <c r="AF655" s="2041"/>
      <c r="AG655" s="2041"/>
      <c r="AH655" s="2041"/>
      <c r="AI655" s="2041"/>
      <c r="AJ655" s="2041"/>
      <c r="AK655" s="2041"/>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61" t="e">
        <f t="shared" si="22"/>
        <v>#VALUE!</v>
      </c>
      <c r="DY655" s="2561"/>
      <c r="DZ655" s="2561"/>
      <c r="EA655" s="2561"/>
      <c r="EB655" s="2561"/>
      <c r="EC655" s="2561" t="e">
        <f t="shared" si="23"/>
        <v>#VALUE!</v>
      </c>
      <c r="ED655" s="2561"/>
      <c r="EE655" s="2561"/>
      <c r="EF655" s="2561"/>
      <c r="EG655" s="2561"/>
      <c r="EH655" s="2561" t="e">
        <f t="shared" si="24"/>
        <v>#VALUE!</v>
      </c>
      <c r="EI655" s="2561"/>
      <c r="EJ655" s="2561"/>
      <c r="EK655" s="2561"/>
      <c r="EL655" s="2561"/>
      <c r="EM655" s="2561" t="e">
        <f t="shared" si="25"/>
        <v>#VALUE!</v>
      </c>
      <c r="EN655" s="2561"/>
      <c r="EO655" s="2561"/>
      <c r="EP655" s="2561"/>
      <c r="EQ655" s="2561"/>
      <c r="ER655" s="2561" t="e">
        <f t="shared" si="26"/>
        <v>#VALUE!</v>
      </c>
      <c r="ES655" s="2561"/>
      <c r="ET655" s="2561"/>
      <c r="EU655" s="2561"/>
      <c r="EV655" s="2561"/>
      <c r="EW655" s="2561" t="e">
        <f t="shared" si="27"/>
        <v>#VALUE!</v>
      </c>
      <c r="EX655" s="2561"/>
      <c r="EY655" s="2561"/>
      <c r="EZ655" s="2561"/>
      <c r="FA655" s="2561"/>
    </row>
    <row r="656" spans="1:157" ht="12.75">
      <c r="A656" s="35"/>
      <c r="B656" s="12" t="s">
        <v>17</v>
      </c>
      <c r="G656" s="2038" t="s">
        <v>2597</v>
      </c>
      <c r="H656" s="2038"/>
      <c r="I656" s="2038"/>
      <c r="J656" s="2038"/>
      <c r="K656" s="2038"/>
      <c r="L656" s="2038"/>
      <c r="M656" s="2038"/>
      <c r="N656" s="2038"/>
      <c r="O656" s="2038"/>
      <c r="P656" s="2038"/>
      <c r="Q656" s="2038"/>
      <c r="R656" s="2038"/>
      <c r="S656" s="14"/>
      <c r="T656" s="35"/>
      <c r="U656" s="12" t="s">
        <v>17</v>
      </c>
      <c r="Z656" s="2041" t="s">
        <v>2541</v>
      </c>
      <c r="AA656" s="2041"/>
      <c r="AB656" s="2041"/>
      <c r="AC656" s="2041"/>
      <c r="AD656" s="2041"/>
      <c r="AE656" s="2041"/>
      <c r="AF656" s="2041"/>
      <c r="AG656" s="2041"/>
      <c r="AH656" s="2041"/>
      <c r="AI656" s="2041"/>
      <c r="AJ656" s="2041"/>
      <c r="AK656" s="2041"/>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61" t="e">
        <f t="shared" si="22"/>
        <v>#VALUE!</v>
      </c>
      <c r="DY656" s="2561"/>
      <c r="DZ656" s="2561"/>
      <c r="EA656" s="2561"/>
      <c r="EB656" s="2561"/>
      <c r="EC656" s="2561" t="e">
        <f t="shared" si="23"/>
        <v>#VALUE!</v>
      </c>
      <c r="ED656" s="2561"/>
      <c r="EE656" s="2561"/>
      <c r="EF656" s="2561"/>
      <c r="EG656" s="2561"/>
      <c r="EH656" s="2561" t="e">
        <f t="shared" si="24"/>
        <v>#VALUE!</v>
      </c>
      <c r="EI656" s="2561"/>
      <c r="EJ656" s="2561"/>
      <c r="EK656" s="2561"/>
      <c r="EL656" s="2561"/>
      <c r="EM656" s="2561" t="e">
        <f t="shared" si="25"/>
        <v>#VALUE!</v>
      </c>
      <c r="EN656" s="2561"/>
      <c r="EO656" s="2561"/>
      <c r="EP656" s="2561"/>
      <c r="EQ656" s="2561"/>
      <c r="ER656" s="2561" t="e">
        <f t="shared" si="26"/>
        <v>#VALUE!</v>
      </c>
      <c r="ES656" s="2561"/>
      <c r="ET656" s="2561"/>
      <c r="EU656" s="2561"/>
      <c r="EV656" s="2561"/>
      <c r="EW656" s="2561" t="e">
        <f t="shared" si="27"/>
        <v>#VALUE!</v>
      </c>
      <c r="EX656" s="2561"/>
      <c r="EY656" s="2561"/>
      <c r="EZ656" s="2561"/>
      <c r="FA656" s="2561"/>
    </row>
    <row r="657" spans="1:157" ht="12.75">
      <c r="A657" s="35"/>
      <c r="B657" s="12" t="s">
        <v>325</v>
      </c>
      <c r="G657" s="2171" t="s">
        <v>2599</v>
      </c>
      <c r="H657" s="2171"/>
      <c r="I657" s="2171"/>
      <c r="J657" s="2171"/>
      <c r="K657" s="2171"/>
      <c r="L657" s="2171"/>
      <c r="O657" s="137" t="s">
        <v>212</v>
      </c>
      <c r="P657" s="2028"/>
      <c r="Q657" s="2028"/>
      <c r="R657" s="2028"/>
      <c r="S657" s="16"/>
      <c r="T657" s="35"/>
      <c r="U657" s="12" t="s">
        <v>325</v>
      </c>
      <c r="Z657" s="2171" t="s">
        <v>2542</v>
      </c>
      <c r="AA657" s="2171"/>
      <c r="AB657" s="2171"/>
      <c r="AC657" s="2171"/>
      <c r="AD657" s="2171"/>
      <c r="AE657" s="2171"/>
      <c r="AH657" s="137" t="s">
        <v>212</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61" t="e">
        <f t="shared" si="22"/>
        <v>#VALUE!</v>
      </c>
      <c r="DY657" s="2561"/>
      <c r="DZ657" s="2561"/>
      <c r="EA657" s="2561"/>
      <c r="EB657" s="2561"/>
      <c r="EC657" s="2561" t="e">
        <f t="shared" si="23"/>
        <v>#VALUE!</v>
      </c>
      <c r="ED657" s="2561"/>
      <c r="EE657" s="2561"/>
      <c r="EF657" s="2561"/>
      <c r="EG657" s="2561"/>
      <c r="EH657" s="2561" t="e">
        <f t="shared" si="24"/>
        <v>#VALUE!</v>
      </c>
      <c r="EI657" s="2561"/>
      <c r="EJ657" s="2561"/>
      <c r="EK657" s="2561"/>
      <c r="EL657" s="2561"/>
      <c r="EM657" s="2561" t="e">
        <f t="shared" si="25"/>
        <v>#VALUE!</v>
      </c>
      <c r="EN657" s="2561"/>
      <c r="EO657" s="2561"/>
      <c r="EP657" s="2561"/>
      <c r="EQ657" s="2561"/>
      <c r="ER657" s="2561" t="e">
        <f t="shared" si="26"/>
        <v>#VALUE!</v>
      </c>
      <c r="ES657" s="2561"/>
      <c r="ET657" s="2561"/>
      <c r="EU657" s="2561"/>
      <c r="EV657" s="2561"/>
      <c r="EW657" s="2561" t="e">
        <f t="shared" si="27"/>
        <v>#VALUE!</v>
      </c>
      <c r="EX657" s="2561"/>
      <c r="EY657" s="2561"/>
      <c r="EZ657" s="2561"/>
      <c r="FA657" s="2561"/>
    </row>
    <row r="658" spans="1:157" ht="12.75">
      <c r="A658" s="35"/>
      <c r="B658" s="12" t="s">
        <v>18</v>
      </c>
      <c r="H658" s="2037" t="s">
        <v>2604</v>
      </c>
      <c r="I658" s="2038"/>
      <c r="J658" s="2038"/>
      <c r="K658" s="2038"/>
      <c r="L658" s="2038"/>
      <c r="M658" s="2038"/>
      <c r="N658" s="2038"/>
      <c r="O658" s="2038"/>
      <c r="P658" s="2038"/>
      <c r="Q658" s="2038"/>
      <c r="R658" s="2038"/>
      <c r="S658" s="14"/>
      <c r="T658" s="35"/>
      <c r="U658" s="12" t="s">
        <v>18</v>
      </c>
      <c r="AA658" s="2038"/>
      <c r="AB658" s="2038"/>
      <c r="AC658" s="2038"/>
      <c r="AD658" s="2038"/>
      <c r="AE658" s="2038"/>
      <c r="AF658" s="2038"/>
      <c r="AG658" s="2038"/>
      <c r="AH658" s="2038"/>
      <c r="AI658" s="2038"/>
      <c r="AJ658" s="2038"/>
      <c r="AK658" s="2038"/>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73">
        <f>SUM(CS648:CW657)</f>
        <v>0</v>
      </c>
      <c r="CT658" s="2573"/>
      <c r="CU658" s="2573"/>
      <c r="CV658" s="2573"/>
      <c r="CW658" s="2573"/>
      <c r="CX658" s="2573">
        <f>SUM(CX648:DB657)</f>
        <v>0</v>
      </c>
      <c r="CY658" s="2573"/>
      <c r="CZ658" s="2573"/>
      <c r="DA658" s="2573"/>
      <c r="DB658" s="2573"/>
      <c r="DC658" s="2573">
        <f>SUM(DC648:DG657)</f>
        <v>0</v>
      </c>
      <c r="DD658" s="2573"/>
      <c r="DE658" s="2573"/>
      <c r="DF658" s="2573"/>
      <c r="DG658" s="2573"/>
      <c r="DH658" s="2573">
        <f>SUM(DH648:DL657)</f>
        <v>0</v>
      </c>
      <c r="DI658" s="2573"/>
      <c r="DJ658" s="2573"/>
      <c r="DK658" s="2573"/>
      <c r="DL658" s="2573"/>
      <c r="DM658" s="2573">
        <f>SUM(DM648:DQ657)</f>
        <v>0</v>
      </c>
      <c r="DN658" s="2573"/>
      <c r="DO658" s="2573"/>
      <c r="DP658" s="2573"/>
      <c r="DQ658" s="2573"/>
      <c r="DR658" s="2573">
        <f>SUM(DR648:DV657)</f>
        <v>0</v>
      </c>
      <c r="DS658" s="2573"/>
      <c r="DT658" s="2573"/>
      <c r="DU658" s="2573"/>
      <c r="DV658" s="2573"/>
      <c r="DX658" s="2561" t="e">
        <f t="shared" si="22"/>
        <v>#VALUE!</v>
      </c>
      <c r="DY658" s="2561"/>
      <c r="DZ658" s="2561"/>
      <c r="EA658" s="2561"/>
      <c r="EB658" s="2561"/>
      <c r="EC658" s="2561" t="e">
        <f t="shared" si="23"/>
        <v>#VALUE!</v>
      </c>
      <c r="ED658" s="2561"/>
      <c r="EE658" s="2561"/>
      <c r="EF658" s="2561"/>
      <c r="EG658" s="2561"/>
      <c r="EH658" s="2561" t="e">
        <f t="shared" si="24"/>
        <v>#VALUE!</v>
      </c>
      <c r="EI658" s="2561"/>
      <c r="EJ658" s="2561"/>
      <c r="EK658" s="2561"/>
      <c r="EL658" s="2561"/>
      <c r="EM658" s="2561" t="e">
        <f t="shared" si="25"/>
        <v>#VALUE!</v>
      </c>
      <c r="EN658" s="2561"/>
      <c r="EO658" s="2561"/>
      <c r="EP658" s="2561"/>
      <c r="EQ658" s="2561"/>
      <c r="ER658" s="2561" t="e">
        <f t="shared" si="26"/>
        <v>#VALUE!</v>
      </c>
      <c r="ES658" s="2561"/>
      <c r="ET658" s="2561"/>
      <c r="EU658" s="2561"/>
      <c r="EV658" s="2561"/>
      <c r="EW658" s="2561" t="e">
        <f t="shared" si="27"/>
        <v>#VALUE!</v>
      </c>
      <c r="EX658" s="2561"/>
      <c r="EY658" s="2561"/>
      <c r="EZ658" s="2561"/>
      <c r="FA658" s="2561"/>
    </row>
    <row r="659" spans="1:157" ht="12.75">
      <c r="A659" s="35"/>
      <c r="B659" s="12" t="s">
        <v>20</v>
      </c>
      <c r="N659" s="2036" t="s">
        <v>577</v>
      </c>
      <c r="O659" s="2036"/>
      <c r="T659" s="35"/>
      <c r="U659" s="12" t="s">
        <v>20</v>
      </c>
      <c r="AG659" s="2036" t="s">
        <v>577</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1" t="e">
        <f t="shared" si="22"/>
        <v>#VALUE!</v>
      </c>
      <c r="DY659" s="2561"/>
      <c r="DZ659" s="2561"/>
      <c r="EA659" s="2561"/>
      <c r="EB659" s="2561"/>
      <c r="EC659" s="2561" t="e">
        <f t="shared" si="23"/>
        <v>#VALUE!</v>
      </c>
      <c r="ED659" s="2561"/>
      <c r="EE659" s="2561"/>
      <c r="EF659" s="2561"/>
      <c r="EG659" s="2561"/>
      <c r="EH659" s="2561" t="e">
        <f t="shared" si="24"/>
        <v>#VALUE!</v>
      </c>
      <c r="EI659" s="2561"/>
      <c r="EJ659" s="2561"/>
      <c r="EK659" s="2561"/>
      <c r="EL659" s="2561"/>
      <c r="EM659" s="2561" t="e">
        <f t="shared" si="25"/>
        <v>#VALUE!</v>
      </c>
      <c r="EN659" s="2561"/>
      <c r="EO659" s="2561"/>
      <c r="EP659" s="2561"/>
      <c r="EQ659" s="2561"/>
      <c r="ER659" s="2561" t="e">
        <f t="shared" si="26"/>
        <v>#VALUE!</v>
      </c>
      <c r="ES659" s="2561"/>
      <c r="ET659" s="2561"/>
      <c r="EU659" s="2561"/>
      <c r="EV659" s="2561"/>
      <c r="EW659" s="2561" t="e">
        <f t="shared" si="27"/>
        <v>#VALUE!</v>
      </c>
      <c r="EX659" s="2561"/>
      <c r="EY659" s="2561"/>
      <c r="EZ659" s="2561"/>
      <c r="FA659" s="2561"/>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2383</v>
      </c>
      <c r="CU660" s="58"/>
      <c r="CV660" s="58"/>
      <c r="CW660" s="58"/>
      <c r="CX660" s="58"/>
      <c r="CY660" s="58"/>
      <c r="CZ660" s="58"/>
      <c r="DA660" s="58"/>
      <c r="DB660" s="58"/>
      <c r="DC660" s="58"/>
      <c r="DD660" s="58"/>
      <c r="DE660" s="58"/>
      <c r="DF660" s="58"/>
      <c r="DQ660" s="136" t="s">
        <v>2395</v>
      </c>
      <c r="DR660" s="2561">
        <f>SUM(CS658:DV658)</f>
        <v>0</v>
      </c>
      <c r="DS660" s="2561"/>
      <c r="DT660" s="2561"/>
      <c r="DU660" s="2561"/>
      <c r="DV660" s="2561"/>
      <c r="DX660" s="2561" t="e">
        <f t="shared" si="22"/>
        <v>#VALUE!</v>
      </c>
      <c r="DY660" s="2561"/>
      <c r="DZ660" s="2561"/>
      <c r="EA660" s="2561"/>
      <c r="EB660" s="2561"/>
      <c r="EC660" s="2561" t="e">
        <f t="shared" si="23"/>
        <v>#VALUE!</v>
      </c>
      <c r="ED660" s="2561"/>
      <c r="EE660" s="2561"/>
      <c r="EF660" s="2561"/>
      <c r="EG660" s="2561"/>
      <c r="EH660" s="2561" t="e">
        <f t="shared" si="24"/>
        <v>#VALUE!</v>
      </c>
      <c r="EI660" s="2561"/>
      <c r="EJ660" s="2561"/>
      <c r="EK660" s="2561"/>
      <c r="EL660" s="2561"/>
      <c r="EM660" s="2561" t="e">
        <f t="shared" si="25"/>
        <v>#VALUE!</v>
      </c>
      <c r="EN660" s="2561"/>
      <c r="EO660" s="2561"/>
      <c r="EP660" s="2561"/>
      <c r="EQ660" s="2561"/>
      <c r="ER660" s="2561" t="e">
        <f t="shared" si="26"/>
        <v>#VALUE!</v>
      </c>
      <c r="ES660" s="2561"/>
      <c r="ET660" s="2561"/>
      <c r="EU660" s="2561"/>
      <c r="EV660" s="2561"/>
      <c r="EW660" s="2561" t="e">
        <f t="shared" si="27"/>
        <v>#VALUE!</v>
      </c>
      <c r="EX660" s="2561"/>
      <c r="EY660" s="2561"/>
      <c r="EZ660" s="2561"/>
      <c r="FA660" s="2561"/>
    </row>
    <row r="661" spans="1:157" ht="12.75">
      <c r="A661" s="87" t="s">
        <v>124</v>
      </c>
      <c r="B661" s="12" t="s">
        <v>495</v>
      </c>
      <c r="G661" s="2039" t="str">
        <f>C639</f>
        <v>CalHFA MIP</v>
      </c>
      <c r="H661" s="2039"/>
      <c r="I661" s="2039"/>
      <c r="J661" s="2039"/>
      <c r="K661" s="2039"/>
      <c r="L661" s="2039"/>
      <c r="M661" s="2039"/>
      <c r="N661" s="2039"/>
      <c r="O661" s="2039"/>
      <c r="P661" s="2039"/>
      <c r="Q661" s="2039"/>
      <c r="R661" s="2039"/>
      <c r="T661" s="87" t="s">
        <v>615</v>
      </c>
      <c r="U661" s="12" t="s">
        <v>495</v>
      </c>
      <c r="Z661" s="2039">
        <f>C640</f>
        <v>0</v>
      </c>
      <c r="AA661" s="2039"/>
      <c r="AB661" s="2039"/>
      <c r="AC661" s="2039"/>
      <c r="AD661" s="2039"/>
      <c r="AE661" s="2039"/>
      <c r="AF661" s="2039"/>
      <c r="AG661" s="2039"/>
      <c r="AH661" s="2039"/>
      <c r="AI661" s="2039"/>
      <c r="AJ661" s="2039"/>
      <c r="AK661" s="2039"/>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61" t="e">
        <f t="shared" si="22"/>
        <v>#VALUE!</v>
      </c>
      <c r="DY661" s="2561"/>
      <c r="DZ661" s="2561"/>
      <c r="EA661" s="2561"/>
      <c r="EB661" s="2561"/>
      <c r="EC661" s="2561" t="e">
        <f t="shared" si="23"/>
        <v>#VALUE!</v>
      </c>
      <c r="ED661" s="2561"/>
      <c r="EE661" s="2561"/>
      <c r="EF661" s="2561"/>
      <c r="EG661" s="2561"/>
      <c r="EH661" s="2561" t="e">
        <f t="shared" si="24"/>
        <v>#VALUE!</v>
      </c>
      <c r="EI661" s="2561"/>
      <c r="EJ661" s="2561"/>
      <c r="EK661" s="2561"/>
      <c r="EL661" s="2561"/>
      <c r="EM661" s="2561" t="e">
        <f t="shared" si="25"/>
        <v>#VALUE!</v>
      </c>
      <c r="EN661" s="2561"/>
      <c r="EO661" s="2561"/>
      <c r="EP661" s="2561"/>
      <c r="EQ661" s="2561"/>
      <c r="ER661" s="2561" t="e">
        <f t="shared" si="26"/>
        <v>#VALUE!</v>
      </c>
      <c r="ES661" s="2561"/>
      <c r="ET661" s="2561"/>
      <c r="EU661" s="2561"/>
      <c r="EV661" s="2561"/>
      <c r="EW661" s="2561" t="e">
        <f t="shared" si="27"/>
        <v>#VALUE!</v>
      </c>
      <c r="EX661" s="2561"/>
      <c r="EY661" s="2561"/>
      <c r="EZ661" s="2561"/>
      <c r="FA661" s="2561"/>
    </row>
    <row r="662" spans="1:157" ht="12.75">
      <c r="A662" s="35"/>
      <c r="B662" s="12" t="s">
        <v>90</v>
      </c>
      <c r="G662" s="2038" t="s">
        <v>2636</v>
      </c>
      <c r="H662" s="2038"/>
      <c r="I662" s="2038"/>
      <c r="J662" s="2038"/>
      <c r="K662" s="2038"/>
      <c r="L662" s="2038"/>
      <c r="M662" s="2038"/>
      <c r="N662" s="2038"/>
      <c r="O662" s="2038"/>
      <c r="P662" s="2038"/>
      <c r="Q662" s="2038"/>
      <c r="R662" s="2038"/>
      <c r="T662" s="35"/>
      <c r="U662" s="12" t="s">
        <v>90</v>
      </c>
      <c r="Z662" s="2038"/>
      <c r="AA662" s="2038"/>
      <c r="AB662" s="2038"/>
      <c r="AC662" s="2038"/>
      <c r="AD662" s="2038"/>
      <c r="AE662" s="2038"/>
      <c r="AF662" s="2038"/>
      <c r="AG662" s="2038"/>
      <c r="AH662" s="2038"/>
      <c r="AI662" s="2038"/>
      <c r="AJ662" s="2038"/>
      <c r="AK662" s="203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1" t="e">
        <f t="shared" si="22"/>
        <v>#VALUE!</v>
      </c>
      <c r="DY662" s="2561"/>
      <c r="DZ662" s="2561"/>
      <c r="EA662" s="2561"/>
      <c r="EB662" s="2561"/>
      <c r="EC662" s="2561" t="e">
        <f t="shared" si="23"/>
        <v>#VALUE!</v>
      </c>
      <c r="ED662" s="2561"/>
      <c r="EE662" s="2561"/>
      <c r="EF662" s="2561"/>
      <c r="EG662" s="2561"/>
      <c r="EH662" s="2561" t="e">
        <f t="shared" si="24"/>
        <v>#VALUE!</v>
      </c>
      <c r="EI662" s="2561"/>
      <c r="EJ662" s="2561"/>
      <c r="EK662" s="2561"/>
      <c r="EL662" s="2561"/>
      <c r="EM662" s="2561" t="e">
        <f t="shared" si="25"/>
        <v>#VALUE!</v>
      </c>
      <c r="EN662" s="2561"/>
      <c r="EO662" s="2561"/>
      <c r="EP662" s="2561"/>
      <c r="EQ662" s="2561"/>
      <c r="ER662" s="2561" t="e">
        <f t="shared" si="26"/>
        <v>#VALUE!</v>
      </c>
      <c r="ES662" s="2561"/>
      <c r="ET662" s="2561"/>
      <c r="EU662" s="2561"/>
      <c r="EV662" s="2561"/>
      <c r="EW662" s="2561" t="e">
        <f t="shared" si="27"/>
        <v>#VALUE!</v>
      </c>
      <c r="EX662" s="2561"/>
      <c r="EY662" s="2561"/>
      <c r="EZ662" s="2561"/>
      <c r="FA662" s="2561"/>
    </row>
    <row r="663" spans="1:157" ht="12.75">
      <c r="A663" s="35"/>
      <c r="B663" s="12" t="s">
        <v>614</v>
      </c>
      <c r="G663" s="2037" t="s">
        <v>2637</v>
      </c>
      <c r="H663" s="2038"/>
      <c r="I663" s="2038"/>
      <c r="J663" s="2038"/>
      <c r="K663" s="2038"/>
      <c r="L663" s="2038"/>
      <c r="M663" s="2038"/>
      <c r="N663" s="2038"/>
      <c r="O663" s="2038"/>
      <c r="P663" s="2038"/>
      <c r="Q663" s="2038"/>
      <c r="R663" s="2038"/>
      <c r="T663" s="35"/>
      <c r="U663" s="12" t="s">
        <v>614</v>
      </c>
      <c r="Z663" s="2041"/>
      <c r="AA663" s="2041"/>
      <c r="AB663" s="2041"/>
      <c r="AC663" s="2041"/>
      <c r="AD663" s="2041"/>
      <c r="AE663" s="2041"/>
      <c r="AF663" s="2041"/>
      <c r="AG663" s="2041"/>
      <c r="AH663" s="2041"/>
      <c r="AI663" s="2041"/>
      <c r="AJ663" s="2041"/>
      <c r="AK663" s="2041"/>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0</v>
      </c>
      <c r="BT663" s="2008"/>
      <c r="BU663" s="2008"/>
      <c r="BV663" s="2008"/>
      <c r="BW663" s="2009"/>
      <c r="BX663" s="2007">
        <f>BX635+BX644+BX658</f>
        <v>6</v>
      </c>
      <c r="BY663" s="2008"/>
      <c r="BZ663" s="2008"/>
      <c r="CA663" s="2008"/>
      <c r="CB663" s="2009"/>
      <c r="CC663" s="2007">
        <f>CC635+CC644+CC658</f>
        <v>128</v>
      </c>
      <c r="CD663" s="2008"/>
      <c r="CE663" s="2008"/>
      <c r="CF663" s="2008"/>
      <c r="CG663" s="2009"/>
      <c r="CH663" s="2007">
        <f>CH635+CH644+CH658</f>
        <v>0</v>
      </c>
      <c r="CI663" s="2008"/>
      <c r="CJ663" s="2008"/>
      <c r="CK663" s="2008"/>
      <c r="CL663" s="2009"/>
      <c r="CM663" s="2017">
        <f>CM658+CM644+CM635</f>
        <v>0</v>
      </c>
      <c r="CN663" s="2189"/>
      <c r="CO663" s="2189"/>
      <c r="CP663" s="2189"/>
      <c r="CQ663" s="2018"/>
      <c r="CR663" s="177"/>
      <c r="CS663" s="1470">
        <f>CS637+CS661</f>
        <v>393</v>
      </c>
      <c r="CT663" s="134" t="s">
        <v>2388</v>
      </c>
      <c r="CU663" s="58"/>
      <c r="CV663" s="58"/>
      <c r="CW663" s="58"/>
      <c r="CX663" s="58"/>
      <c r="CY663" s="58"/>
      <c r="CZ663" s="58"/>
      <c r="DA663" s="58"/>
      <c r="DB663" s="58"/>
      <c r="DC663" s="58"/>
      <c r="DD663" s="58"/>
      <c r="DE663" s="58"/>
      <c r="DF663" s="58"/>
      <c r="DX663" s="2561">
        <f>SUMIF(DX638:EB662,"&gt;0")</f>
        <v>0</v>
      </c>
      <c r="DY663" s="2561"/>
      <c r="DZ663" s="2561"/>
      <c r="EA663" s="2561"/>
      <c r="EB663" s="2561"/>
      <c r="EC663" s="2561">
        <f>SUMIF(EC638:EG662,"&gt;0")</f>
        <v>0</v>
      </c>
      <c r="ED663" s="2561"/>
      <c r="EE663" s="2561"/>
      <c r="EF663" s="2561"/>
      <c r="EG663" s="2561"/>
      <c r="EH663" s="2561">
        <f>SUMIF(EH638:EL662,"&gt;0")</f>
        <v>1456.1666666666665</v>
      </c>
      <c r="EI663" s="2561"/>
      <c r="EJ663" s="2561"/>
      <c r="EK663" s="2561"/>
      <c r="EL663" s="2561"/>
      <c r="EM663" s="2561">
        <f>SUMIF(EM638:EQ662,"&gt;0")</f>
        <v>1676.6929133858268</v>
      </c>
      <c r="EN663" s="2561"/>
      <c r="EO663" s="2561"/>
      <c r="EP663" s="2561"/>
      <c r="EQ663" s="2561"/>
      <c r="ER663" s="2561">
        <f>SUMIF(ER638:EV662,"&gt;0")</f>
        <v>0</v>
      </c>
      <c r="ES663" s="2561"/>
      <c r="ET663" s="2561"/>
      <c r="EU663" s="2561"/>
      <c r="EV663" s="2561"/>
      <c r="EW663" s="2561">
        <f>SUMIF(EW638:FA662,"&gt;0")</f>
        <v>0</v>
      </c>
      <c r="EX663" s="2561"/>
      <c r="EY663" s="2561"/>
      <c r="EZ663" s="2561"/>
      <c r="FA663" s="2561"/>
    </row>
    <row r="664" spans="1:157" ht="12.75">
      <c r="A664" s="35"/>
      <c r="B664" s="12" t="s">
        <v>17</v>
      </c>
      <c r="G664" s="2041" t="s">
        <v>2624</v>
      </c>
      <c r="H664" s="2041"/>
      <c r="I664" s="2041"/>
      <c r="J664" s="2041"/>
      <c r="K664" s="2041"/>
      <c r="L664" s="2041"/>
      <c r="M664" s="2041"/>
      <c r="N664" s="2041"/>
      <c r="O664" s="2041"/>
      <c r="P664" s="2041"/>
      <c r="Q664" s="2041"/>
      <c r="R664" s="2041"/>
      <c r="T664" s="35"/>
      <c r="U664" s="12" t="s">
        <v>17</v>
      </c>
      <c r="Z664" s="2041"/>
      <c r="AA664" s="2041"/>
      <c r="AB664" s="2041"/>
      <c r="AC664" s="2041"/>
      <c r="AD664" s="2041"/>
      <c r="AE664" s="2041"/>
      <c r="AF664" s="2041"/>
      <c r="AG664" s="2041"/>
      <c r="AH664" s="2041"/>
      <c r="AI664" s="2041"/>
      <c r="AJ664" s="2041"/>
      <c r="AK664" s="204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71" t="s">
        <v>2638</v>
      </c>
      <c r="H665" s="2171"/>
      <c r="I665" s="2171"/>
      <c r="J665" s="2171"/>
      <c r="K665" s="2171"/>
      <c r="L665" s="2171"/>
      <c r="O665" s="137" t="s">
        <v>212</v>
      </c>
      <c r="P665" s="2028"/>
      <c r="Q665" s="2028"/>
      <c r="R665" s="2028"/>
      <c r="T665" s="35"/>
      <c r="U665" s="12" t="s">
        <v>325</v>
      </c>
      <c r="Z665" s="2065"/>
      <c r="AA665" s="2065"/>
      <c r="AB665" s="2065"/>
      <c r="AC665" s="2065"/>
      <c r="AD665" s="2065"/>
      <c r="AE665" s="2065"/>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7" t="s">
        <v>2639</v>
      </c>
      <c r="I666" s="2038"/>
      <c r="J666" s="2038"/>
      <c r="K666" s="2038"/>
      <c r="L666" s="2038"/>
      <c r="M666" s="2038"/>
      <c r="N666" s="2038"/>
      <c r="O666" s="2038"/>
      <c r="P666" s="2038"/>
      <c r="Q666" s="2038"/>
      <c r="R666" s="2038"/>
      <c r="T666" s="35"/>
      <c r="U666" s="12" t="s">
        <v>18</v>
      </c>
      <c r="AA666" s="2038"/>
      <c r="AB666" s="2038"/>
      <c r="AC666" s="2038"/>
      <c r="AD666" s="2038"/>
      <c r="AE666" s="2038"/>
      <c r="AF666" s="2038"/>
      <c r="AG666" s="2038"/>
      <c r="AH666" s="2038"/>
      <c r="AI666" s="2038"/>
      <c r="AJ666" s="2038"/>
      <c r="AK666" s="2038"/>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6" t="s">
        <v>577</v>
      </c>
      <c r="O667" s="2036"/>
      <c r="T667" s="35"/>
      <c r="U667" s="12" t="s">
        <v>20</v>
      </c>
      <c r="AG667" s="2036" t="s">
        <v>705</v>
      </c>
      <c r="AH667" s="203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39">
        <f>C641</f>
        <v>0</v>
      </c>
      <c r="H669" s="2039"/>
      <c r="I669" s="2039"/>
      <c r="J669" s="2039"/>
      <c r="K669" s="2039"/>
      <c r="L669" s="2039"/>
      <c r="M669" s="2039"/>
      <c r="N669" s="2039"/>
      <c r="O669" s="2039"/>
      <c r="P669" s="2039"/>
      <c r="Q669" s="2039"/>
      <c r="R669" s="2039"/>
      <c r="T669" s="87" t="s">
        <v>618</v>
      </c>
      <c r="U669" s="12" t="s">
        <v>495</v>
      </c>
      <c r="Z669" s="2039">
        <f>C642</f>
        <v>0</v>
      </c>
      <c r="AA669" s="2039"/>
      <c r="AB669" s="2039"/>
      <c r="AC669" s="2039"/>
      <c r="AD669" s="2039"/>
      <c r="AE669" s="2039"/>
      <c r="AF669" s="2039"/>
      <c r="AG669" s="2039"/>
      <c r="AH669" s="2039"/>
      <c r="AI669" s="2039"/>
      <c r="AJ669" s="2039"/>
      <c r="AK669" s="2039"/>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8"/>
      <c r="H670" s="2038"/>
      <c r="I670" s="2038"/>
      <c r="J670" s="2038"/>
      <c r="K670" s="2038"/>
      <c r="L670" s="2038"/>
      <c r="M670" s="2038"/>
      <c r="N670" s="2038"/>
      <c r="O670" s="2038"/>
      <c r="P670" s="2038"/>
      <c r="Q670" s="2038"/>
      <c r="R670" s="2038"/>
      <c r="T670" s="35"/>
      <c r="U670" s="12" t="s">
        <v>90</v>
      </c>
      <c r="Z670" s="2038"/>
      <c r="AA670" s="2038"/>
      <c r="AB670" s="2038"/>
      <c r="AC670" s="2038"/>
      <c r="AD670" s="2038"/>
      <c r="AE670" s="2038"/>
      <c r="AF670" s="2038"/>
      <c r="AG670" s="2038"/>
      <c r="AH670" s="2038"/>
      <c r="AI670" s="2038"/>
      <c r="AJ670" s="2038"/>
      <c r="AK670" s="2038"/>
      <c r="AZ670" s="58"/>
      <c r="BA670" s="446">
        <f t="shared" ref="BA670:BA694" si="40">IF($G728=0,"N/A",VLOOKUP($T$189,TC_Rent,(MATCH($B728,bedrooms,FALSE))))</f>
        <v>2616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38"/>
      <c r="H671" s="2038"/>
      <c r="I671" s="2038"/>
      <c r="J671" s="2038"/>
      <c r="K671" s="2038"/>
      <c r="L671" s="2038"/>
      <c r="M671" s="2038"/>
      <c r="N671" s="2038"/>
      <c r="O671" s="2038"/>
      <c r="P671" s="2038"/>
      <c r="Q671" s="2038"/>
      <c r="R671" s="2038"/>
      <c r="T671" s="35"/>
      <c r="U671" s="12" t="s">
        <v>614</v>
      </c>
      <c r="Z671" s="2041"/>
      <c r="AA671" s="2041"/>
      <c r="AB671" s="2041"/>
      <c r="AC671" s="2041"/>
      <c r="AD671" s="2041"/>
      <c r="AE671" s="2041"/>
      <c r="AF671" s="2041"/>
      <c r="AG671" s="2041"/>
      <c r="AH671" s="2041"/>
      <c r="AI671" s="2041"/>
      <c r="AJ671" s="2041"/>
      <c r="AK671" s="2041"/>
      <c r="AZ671" s="58"/>
      <c r="BA671" s="446">
        <f t="shared" si="40"/>
        <v>2616</v>
      </c>
      <c r="BB671" s="58"/>
      <c r="BC671" s="58"/>
      <c r="BD671" s="58"/>
      <c r="BE671" s="58"/>
      <c r="BF671" s="382"/>
      <c r="BG671" s="456">
        <f t="shared" ref="BG671:BG695" si="41">G728</f>
        <v>4</v>
      </c>
      <c r="BH671" s="460">
        <f>BG671/$BG$696</f>
        <v>3.007518796992481E-2</v>
      </c>
      <c r="BI671" s="461">
        <f t="shared" ref="BI671:BI695" si="42">IF(BH671=0," ",BH671*AH728)</f>
        <v>2.1052631578947364E-2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8"/>
      <c r="H672" s="2038"/>
      <c r="I672" s="2038"/>
      <c r="J672" s="2038"/>
      <c r="K672" s="2038"/>
      <c r="L672" s="2038"/>
      <c r="M672" s="2038"/>
      <c r="N672" s="2038"/>
      <c r="O672" s="2038"/>
      <c r="P672" s="2038"/>
      <c r="Q672" s="2038"/>
      <c r="R672" s="2038"/>
      <c r="T672" s="35"/>
      <c r="U672" s="12" t="s">
        <v>17</v>
      </c>
      <c r="Z672" s="2041"/>
      <c r="AA672" s="2041"/>
      <c r="AB672" s="2041"/>
      <c r="AC672" s="2041"/>
      <c r="AD672" s="2041"/>
      <c r="AE672" s="2041"/>
      <c r="AF672" s="2041"/>
      <c r="AG672" s="2041"/>
      <c r="AH672" s="2041"/>
      <c r="AI672" s="2041"/>
      <c r="AJ672" s="2041"/>
      <c r="AK672" s="2041"/>
      <c r="AZ672" s="58"/>
      <c r="BA672" s="446">
        <f t="shared" si="40"/>
        <v>2616</v>
      </c>
      <c r="BB672" s="58"/>
      <c r="BC672" s="58"/>
      <c r="BD672" s="58"/>
      <c r="BE672" s="58"/>
      <c r="BF672" s="382"/>
      <c r="BG672" s="457">
        <f t="shared" si="41"/>
        <v>1</v>
      </c>
      <c r="BH672" s="460">
        <f t="shared" ref="BH672:BH695" si="43">BG672/$BG$696</f>
        <v>7.5187969924812026E-3</v>
      </c>
      <c r="BI672" s="461">
        <f t="shared" si="42"/>
        <v>3.7593984962406013E-3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5"/>
      <c r="H673" s="2065"/>
      <c r="I673" s="2065"/>
      <c r="J673" s="2065"/>
      <c r="K673" s="2065"/>
      <c r="L673" s="2065"/>
      <c r="O673" s="137" t="s">
        <v>212</v>
      </c>
      <c r="P673" s="2028"/>
      <c r="Q673" s="2028"/>
      <c r="R673" s="2028"/>
      <c r="T673" s="35"/>
      <c r="U673" s="12" t="s">
        <v>325</v>
      </c>
      <c r="Z673" s="2065"/>
      <c r="AA673" s="2065"/>
      <c r="AB673" s="2065"/>
      <c r="AC673" s="2065"/>
      <c r="AD673" s="2065"/>
      <c r="AE673" s="2065"/>
      <c r="AH673" s="137" t="s">
        <v>212</v>
      </c>
      <c r="AI673" s="2028"/>
      <c r="AJ673" s="2028"/>
      <c r="AK673" s="2028"/>
      <c r="AZ673" s="58"/>
      <c r="BA673" s="446">
        <f t="shared" si="40"/>
        <v>3024</v>
      </c>
      <c r="BB673" s="58"/>
      <c r="BC673" s="58"/>
      <c r="BD673" s="58"/>
      <c r="BE673" s="58"/>
      <c r="BF673" s="382"/>
      <c r="BG673" s="457">
        <f t="shared" si="41"/>
        <v>1</v>
      </c>
      <c r="BH673" s="460">
        <f t="shared" si="43"/>
        <v>7.5187969924812026E-3</v>
      </c>
      <c r="BI673" s="461">
        <f t="shared" si="42"/>
        <v>2.2556390977443606E-3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8"/>
      <c r="I674" s="2038"/>
      <c r="J674" s="2038"/>
      <c r="K674" s="2038"/>
      <c r="L674" s="2038"/>
      <c r="M674" s="2038"/>
      <c r="N674" s="2038"/>
      <c r="O674" s="2038"/>
      <c r="P674" s="2038"/>
      <c r="Q674" s="2038"/>
      <c r="R674" s="2038"/>
      <c r="T674" s="35"/>
      <c r="U674" s="12" t="s">
        <v>18</v>
      </c>
      <c r="AA674" s="2038"/>
      <c r="AB674" s="2038"/>
      <c r="AC674" s="2038"/>
      <c r="AD674" s="2038"/>
      <c r="AE674" s="2038"/>
      <c r="AF674" s="2038"/>
      <c r="AG674" s="2038"/>
      <c r="AH674" s="2038"/>
      <c r="AI674" s="2038"/>
      <c r="AJ674" s="2038"/>
      <c r="AK674" s="2038"/>
      <c r="AZ674" s="58"/>
      <c r="BA674" s="446">
        <f t="shared" si="40"/>
        <v>3024</v>
      </c>
      <c r="BB674" s="58"/>
      <c r="BC674" s="58"/>
      <c r="BD674" s="58"/>
      <c r="BE674" s="58"/>
      <c r="BF674" s="382"/>
      <c r="BG674" s="457">
        <f t="shared" si="41"/>
        <v>52</v>
      </c>
      <c r="BH674" s="460">
        <f t="shared" si="43"/>
        <v>0.39097744360902253</v>
      </c>
      <c r="BI674" s="461">
        <f t="shared" si="42"/>
        <v>0.27368421052631575</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6" t="s">
        <v>705</v>
      </c>
      <c r="O675" s="2036"/>
      <c r="T675" s="35"/>
      <c r="U675" s="12" t="s">
        <v>20</v>
      </c>
      <c r="AG675" s="2036" t="s">
        <v>705</v>
      </c>
      <c r="AH675" s="2036"/>
      <c r="AZ675" s="58"/>
      <c r="BA675" s="446">
        <f t="shared" si="40"/>
        <v>3024</v>
      </c>
      <c r="BB675" s="58"/>
      <c r="BC675" s="58"/>
      <c r="BD675" s="58"/>
      <c r="BE675" s="58"/>
      <c r="BF675" s="382"/>
      <c r="BG675" s="457">
        <f t="shared" si="41"/>
        <v>49</v>
      </c>
      <c r="BH675" s="460">
        <f t="shared" si="43"/>
        <v>0.36842105263157893</v>
      </c>
      <c r="BI675" s="461">
        <f t="shared" si="42"/>
        <v>0.22105263157894736</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3024</v>
      </c>
      <c r="BB676" s="58"/>
      <c r="BC676" s="58"/>
      <c r="BD676" s="58"/>
      <c r="BE676" s="58"/>
      <c r="BF676" s="382"/>
      <c r="BG676" s="457">
        <f t="shared" si="41"/>
        <v>13</v>
      </c>
      <c r="BH676" s="460">
        <f t="shared" si="43"/>
        <v>9.7744360902255634E-2</v>
      </c>
      <c r="BI676" s="461">
        <f t="shared" si="42"/>
        <v>4.8872180451127817E-2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39">
        <f>C643</f>
        <v>0</v>
      </c>
      <c r="H677" s="2039"/>
      <c r="I677" s="2039"/>
      <c r="J677" s="2039"/>
      <c r="K677" s="2039"/>
      <c r="L677" s="2039"/>
      <c r="M677" s="2039"/>
      <c r="N677" s="2039"/>
      <c r="O677" s="2039"/>
      <c r="P677" s="2039"/>
      <c r="Q677" s="2039"/>
      <c r="R677" s="2039"/>
      <c r="T677" s="87" t="s">
        <v>487</v>
      </c>
      <c r="U677" s="12" t="s">
        <v>495</v>
      </c>
      <c r="Z677" s="2039">
        <f>C644</f>
        <v>0</v>
      </c>
      <c r="AA677" s="2039"/>
      <c r="AB677" s="2039"/>
      <c r="AC677" s="2039"/>
      <c r="AD677" s="2039"/>
      <c r="AE677" s="2039"/>
      <c r="AF677" s="2039"/>
      <c r="AG677" s="2039"/>
      <c r="AH677" s="2039"/>
      <c r="AI677" s="2039"/>
      <c r="AJ677" s="2039"/>
      <c r="AK677" s="2039"/>
      <c r="AZ677" s="58"/>
      <c r="BA677" s="446" t="str">
        <f t="shared" si="40"/>
        <v>N/A</v>
      </c>
      <c r="BB677" s="58"/>
      <c r="BC677" s="58"/>
      <c r="BD677" s="58"/>
      <c r="BE677" s="58"/>
      <c r="BF677" s="382"/>
      <c r="BG677" s="457">
        <f t="shared" si="41"/>
        <v>13</v>
      </c>
      <c r="BH677" s="460">
        <f t="shared" si="43"/>
        <v>9.7744360902255634E-2</v>
      </c>
      <c r="BI677" s="461">
        <f t="shared" si="42"/>
        <v>2.9323308270676689E-2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8"/>
      <c r="H678" s="2038"/>
      <c r="I678" s="2038"/>
      <c r="J678" s="2038"/>
      <c r="K678" s="2038"/>
      <c r="L678" s="2038"/>
      <c r="M678" s="2038"/>
      <c r="N678" s="2038"/>
      <c r="O678" s="2038"/>
      <c r="P678" s="2038"/>
      <c r="Q678" s="2038"/>
      <c r="R678" s="2038"/>
      <c r="T678" s="35"/>
      <c r="U678" s="12" t="s">
        <v>90</v>
      </c>
      <c r="Z678" s="2038"/>
      <c r="AA678" s="2038"/>
      <c r="AB678" s="2038"/>
      <c r="AC678" s="2038"/>
      <c r="AD678" s="2038"/>
      <c r="AE678" s="2038"/>
      <c r="AF678" s="2038"/>
      <c r="AG678" s="2038"/>
      <c r="AH678" s="2038"/>
      <c r="AI678" s="2038"/>
      <c r="AJ678" s="2038"/>
      <c r="AK678" s="2038"/>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38"/>
      <c r="H679" s="2038"/>
      <c r="I679" s="2038"/>
      <c r="J679" s="2038"/>
      <c r="K679" s="2038"/>
      <c r="L679" s="2038"/>
      <c r="M679" s="2038"/>
      <c r="N679" s="2038"/>
      <c r="O679" s="2038"/>
      <c r="P679" s="2038"/>
      <c r="Q679" s="2038"/>
      <c r="R679" s="2038"/>
      <c r="T679" s="35"/>
      <c r="U679" s="12" t="s">
        <v>614</v>
      </c>
      <c r="Z679" s="2041"/>
      <c r="AA679" s="2041"/>
      <c r="AB679" s="2041"/>
      <c r="AC679" s="2041"/>
      <c r="AD679" s="2041"/>
      <c r="AE679" s="2041"/>
      <c r="AF679" s="2041"/>
      <c r="AG679" s="2041"/>
      <c r="AH679" s="2041"/>
      <c r="AI679" s="2041"/>
      <c r="AJ679" s="2041"/>
      <c r="AK679" s="2041"/>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8"/>
      <c r="H680" s="2038"/>
      <c r="I680" s="2038"/>
      <c r="J680" s="2038"/>
      <c r="K680" s="2038"/>
      <c r="L680" s="2038"/>
      <c r="M680" s="2038"/>
      <c r="N680" s="2038"/>
      <c r="O680" s="2038"/>
      <c r="P680" s="2038"/>
      <c r="Q680" s="2038"/>
      <c r="R680" s="2038"/>
      <c r="T680" s="35"/>
      <c r="U680" s="12" t="s">
        <v>17</v>
      </c>
      <c r="Z680" s="2041"/>
      <c r="AA680" s="2041"/>
      <c r="AB680" s="2041"/>
      <c r="AC680" s="2041"/>
      <c r="AD680" s="2041"/>
      <c r="AE680" s="2041"/>
      <c r="AF680" s="2041"/>
      <c r="AG680" s="2041"/>
      <c r="AH680" s="2041"/>
      <c r="AI680" s="2041"/>
      <c r="AJ680" s="2041"/>
      <c r="AK680" s="2041"/>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5"/>
      <c r="H681" s="2065"/>
      <c r="I681" s="2065"/>
      <c r="J681" s="2065"/>
      <c r="K681" s="2065"/>
      <c r="L681" s="2065"/>
      <c r="O681" s="137" t="s">
        <v>212</v>
      </c>
      <c r="P681" s="2028"/>
      <c r="Q681" s="2028"/>
      <c r="R681" s="2028"/>
      <c r="T681" s="35"/>
      <c r="U681" s="12" t="s">
        <v>325</v>
      </c>
      <c r="Z681" s="2065"/>
      <c r="AA681" s="2065"/>
      <c r="AB681" s="2065"/>
      <c r="AC681" s="2065"/>
      <c r="AD681" s="2065"/>
      <c r="AE681" s="2065"/>
      <c r="AH681" s="137" t="s">
        <v>212</v>
      </c>
      <c r="AI681" s="2028"/>
      <c r="AJ681" s="2028"/>
      <c r="AK681" s="202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8"/>
      <c r="I682" s="2038"/>
      <c r="J682" s="2038"/>
      <c r="K682" s="2038"/>
      <c r="L682" s="2038"/>
      <c r="M682" s="2038"/>
      <c r="N682" s="2038"/>
      <c r="O682" s="2038"/>
      <c r="P682" s="2038"/>
      <c r="Q682" s="2038"/>
      <c r="R682" s="2038"/>
      <c r="T682" s="35"/>
      <c r="U682" s="12" t="s">
        <v>18</v>
      </c>
      <c r="AA682" s="2038"/>
      <c r="AB682" s="2038"/>
      <c r="AC682" s="2038"/>
      <c r="AD682" s="2038"/>
      <c r="AE682" s="2038"/>
      <c r="AF682" s="2038"/>
      <c r="AG682" s="2038"/>
      <c r="AH682" s="2038"/>
      <c r="AI682" s="2038"/>
      <c r="AJ682" s="2038"/>
      <c r="AK682" s="203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6" t="s">
        <v>705</v>
      </c>
      <c r="O683" s="2036"/>
      <c r="T683" s="35"/>
      <c r="U683" s="12" t="s">
        <v>20</v>
      </c>
      <c r="AG683" s="2036" t="s">
        <v>705</v>
      </c>
      <c r="AH683" s="203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39">
        <f>C645</f>
        <v>0</v>
      </c>
      <c r="H685" s="2039"/>
      <c r="I685" s="2039"/>
      <c r="J685" s="2039"/>
      <c r="K685" s="2039"/>
      <c r="L685" s="2039"/>
      <c r="M685" s="2039"/>
      <c r="N685" s="2039"/>
      <c r="O685" s="2039"/>
      <c r="P685" s="2039"/>
      <c r="Q685" s="2039"/>
      <c r="R685" s="2039"/>
      <c r="T685" s="87" t="s">
        <v>680</v>
      </c>
      <c r="U685" s="12" t="s">
        <v>495</v>
      </c>
      <c r="Z685" s="2039">
        <f>C646</f>
        <v>0</v>
      </c>
      <c r="AA685" s="2039"/>
      <c r="AB685" s="2039"/>
      <c r="AC685" s="2039"/>
      <c r="AD685" s="2039"/>
      <c r="AE685" s="2039"/>
      <c r="AF685" s="2039"/>
      <c r="AG685" s="2039"/>
      <c r="AH685" s="2039"/>
      <c r="AI685" s="2039"/>
      <c r="AJ685" s="2039"/>
      <c r="AK685" s="203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8"/>
      <c r="H686" s="2038"/>
      <c r="I686" s="2038"/>
      <c r="J686" s="2038"/>
      <c r="K686" s="2038"/>
      <c r="L686" s="2038"/>
      <c r="M686" s="2038"/>
      <c r="N686" s="2038"/>
      <c r="O686" s="2038"/>
      <c r="P686" s="2038"/>
      <c r="Q686" s="2038"/>
      <c r="R686" s="2038"/>
      <c r="T686" s="35"/>
      <c r="U686" s="12" t="s">
        <v>90</v>
      </c>
      <c r="Z686" s="2038"/>
      <c r="AA686" s="2038"/>
      <c r="AB686" s="2038"/>
      <c r="AC686" s="2038"/>
      <c r="AD686" s="2038"/>
      <c r="AE686" s="2038"/>
      <c r="AF686" s="2038"/>
      <c r="AG686" s="2038"/>
      <c r="AH686" s="2038"/>
      <c r="AI686" s="2038"/>
      <c r="AJ686" s="2038"/>
      <c r="AK686" s="203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38"/>
      <c r="H687" s="2038"/>
      <c r="I687" s="2038"/>
      <c r="J687" s="2038"/>
      <c r="K687" s="2038"/>
      <c r="L687" s="2038"/>
      <c r="M687" s="2038"/>
      <c r="N687" s="2038"/>
      <c r="O687" s="2038"/>
      <c r="P687" s="2038"/>
      <c r="Q687" s="2038"/>
      <c r="R687" s="2038"/>
      <c r="T687" s="35"/>
      <c r="U687" s="12" t="s">
        <v>614</v>
      </c>
      <c r="Z687" s="2041"/>
      <c r="AA687" s="2041"/>
      <c r="AB687" s="2041"/>
      <c r="AC687" s="2041"/>
      <c r="AD687" s="2041"/>
      <c r="AE687" s="2041"/>
      <c r="AF687" s="2041"/>
      <c r="AG687" s="2041"/>
      <c r="AH687" s="2041"/>
      <c r="AI687" s="2041"/>
      <c r="AJ687" s="2041"/>
      <c r="AK687" s="204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8"/>
      <c r="H688" s="2038"/>
      <c r="I688" s="2038"/>
      <c r="J688" s="2038"/>
      <c r="K688" s="2038"/>
      <c r="L688" s="2038"/>
      <c r="M688" s="2038"/>
      <c r="N688" s="2038"/>
      <c r="O688" s="2038"/>
      <c r="P688" s="2038"/>
      <c r="Q688" s="2038"/>
      <c r="R688" s="2038"/>
      <c r="T688" s="35"/>
      <c r="U688" s="12" t="s">
        <v>17</v>
      </c>
      <c r="Z688" s="2041"/>
      <c r="AA688" s="2041"/>
      <c r="AB688" s="2041"/>
      <c r="AC688" s="2041"/>
      <c r="AD688" s="2041"/>
      <c r="AE688" s="2041"/>
      <c r="AF688" s="2041"/>
      <c r="AG688" s="2041"/>
      <c r="AH688" s="2041"/>
      <c r="AI688" s="2041"/>
      <c r="AJ688" s="2041"/>
      <c r="AK688" s="204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5"/>
      <c r="H689" s="2065"/>
      <c r="I689" s="2065"/>
      <c r="J689" s="2065"/>
      <c r="K689" s="2065"/>
      <c r="L689" s="2065"/>
      <c r="O689" s="137" t="s">
        <v>212</v>
      </c>
      <c r="P689" s="2028"/>
      <c r="Q689" s="2028"/>
      <c r="R689" s="2028"/>
      <c r="T689" s="35"/>
      <c r="U689" s="12" t="s">
        <v>325</v>
      </c>
      <c r="Z689" s="2065"/>
      <c r="AA689" s="2065"/>
      <c r="AB689" s="2065"/>
      <c r="AC689" s="2065"/>
      <c r="AD689" s="2065"/>
      <c r="AE689" s="2065"/>
      <c r="AH689" s="137" t="s">
        <v>212</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8"/>
      <c r="I690" s="2038"/>
      <c r="J690" s="2038"/>
      <c r="K690" s="2038"/>
      <c r="L690" s="2038"/>
      <c r="M690" s="2038"/>
      <c r="N690" s="2038"/>
      <c r="O690" s="2038"/>
      <c r="P690" s="2038"/>
      <c r="Q690" s="2038"/>
      <c r="R690" s="2038"/>
      <c r="T690" s="35"/>
      <c r="U690" s="12" t="s">
        <v>18</v>
      </c>
      <c r="AA690" s="2038"/>
      <c r="AB690" s="2038"/>
      <c r="AC690" s="2038"/>
      <c r="AD690" s="2038"/>
      <c r="AE690" s="2038"/>
      <c r="AF690" s="2038"/>
      <c r="AG690" s="2038"/>
      <c r="AH690" s="2038"/>
      <c r="AI690" s="2038"/>
      <c r="AJ690" s="2038"/>
      <c r="AK690" s="203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6" t="s">
        <v>705</v>
      </c>
      <c r="O691" s="2036"/>
      <c r="T691" s="35"/>
      <c r="U691" s="12" t="s">
        <v>20</v>
      </c>
      <c r="AG691" s="2036" t="s">
        <v>705</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39">
        <f>C647</f>
        <v>0</v>
      </c>
      <c r="H693" s="2039"/>
      <c r="I693" s="2039"/>
      <c r="J693" s="2039"/>
      <c r="K693" s="2039"/>
      <c r="L693" s="2039"/>
      <c r="M693" s="2039"/>
      <c r="N693" s="2039"/>
      <c r="O693" s="2039"/>
      <c r="P693" s="2039"/>
      <c r="Q693" s="2039"/>
      <c r="R693" s="2039"/>
      <c r="T693" s="87" t="s">
        <v>373</v>
      </c>
      <c r="U693" s="12" t="s">
        <v>495</v>
      </c>
      <c r="Z693" s="2039">
        <f>C648</f>
        <v>0</v>
      </c>
      <c r="AA693" s="2039"/>
      <c r="AB693" s="2039"/>
      <c r="AC693" s="2039"/>
      <c r="AD693" s="2039"/>
      <c r="AE693" s="2039"/>
      <c r="AF693" s="2039"/>
      <c r="AG693" s="2039"/>
      <c r="AH693" s="2039"/>
      <c r="AI693" s="2039"/>
      <c r="AJ693" s="2039"/>
      <c r="AK693" s="2039"/>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8"/>
      <c r="H694" s="2038"/>
      <c r="I694" s="2038"/>
      <c r="J694" s="2038"/>
      <c r="K694" s="2038"/>
      <c r="L694" s="2038"/>
      <c r="M694" s="2038"/>
      <c r="N694" s="2038"/>
      <c r="O694" s="2038"/>
      <c r="P694" s="2038"/>
      <c r="Q694" s="2038"/>
      <c r="R694" s="2038"/>
      <c r="T694" s="35"/>
      <c r="U694" s="12" t="s">
        <v>90</v>
      </c>
      <c r="Z694" s="2038"/>
      <c r="AA694" s="2038"/>
      <c r="AB694" s="2038"/>
      <c r="AC694" s="2038"/>
      <c r="AD694" s="2038"/>
      <c r="AE694" s="2038"/>
      <c r="AF694" s="2038"/>
      <c r="AG694" s="2038"/>
      <c r="AH694" s="2038"/>
      <c r="AI694" s="2038"/>
      <c r="AJ694" s="2038"/>
      <c r="AK694" s="2038"/>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38"/>
      <c r="H695" s="2038"/>
      <c r="I695" s="2038"/>
      <c r="J695" s="2038"/>
      <c r="K695" s="2038"/>
      <c r="L695" s="2038"/>
      <c r="M695" s="2038"/>
      <c r="N695" s="2038"/>
      <c r="O695" s="2038"/>
      <c r="P695" s="2038"/>
      <c r="Q695" s="2038"/>
      <c r="R695" s="2038"/>
      <c r="U695" s="12" t="s">
        <v>614</v>
      </c>
      <c r="Z695" s="2041"/>
      <c r="AA695" s="2041"/>
      <c r="AB695" s="2041"/>
      <c r="AC695" s="2041"/>
      <c r="AD695" s="2041"/>
      <c r="AE695" s="2041"/>
      <c r="AF695" s="2041"/>
      <c r="AG695" s="2041"/>
      <c r="AH695" s="2041"/>
      <c r="AI695" s="2041"/>
      <c r="AJ695" s="2041"/>
      <c r="AK695" s="2041"/>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8"/>
      <c r="H696" s="2038"/>
      <c r="I696" s="2038"/>
      <c r="J696" s="2038"/>
      <c r="K696" s="2038"/>
      <c r="L696" s="2038"/>
      <c r="M696" s="2038"/>
      <c r="N696" s="2038"/>
      <c r="O696" s="2038"/>
      <c r="P696" s="2038"/>
      <c r="Q696" s="2038"/>
      <c r="R696" s="2038"/>
      <c r="U696" s="12" t="s">
        <v>17</v>
      </c>
      <c r="Z696" s="2041"/>
      <c r="AA696" s="2041"/>
      <c r="AB696" s="2041"/>
      <c r="AC696" s="2041"/>
      <c r="AD696" s="2041"/>
      <c r="AE696" s="2041"/>
      <c r="AF696" s="2041"/>
      <c r="AG696" s="2041"/>
      <c r="AH696" s="2041"/>
      <c r="AI696" s="2041"/>
      <c r="AJ696" s="2041"/>
      <c r="AK696" s="2041"/>
      <c r="AZ696" s="58"/>
      <c r="BA696" s="58"/>
      <c r="BB696" s="58"/>
      <c r="BC696" s="58"/>
      <c r="BD696" s="58"/>
      <c r="BF696" s="453" t="s">
        <v>967</v>
      </c>
      <c r="BG696" s="462">
        <f>SUM(BG671:BG695)</f>
        <v>133</v>
      </c>
      <c r="BH696" s="463">
        <f>SUM(BH671:BH695)</f>
        <v>1</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5"/>
      <c r="H697" s="2065"/>
      <c r="I697" s="2065"/>
      <c r="J697" s="2065"/>
      <c r="K697" s="2065"/>
      <c r="L697" s="2065"/>
      <c r="O697" s="137" t="s">
        <v>212</v>
      </c>
      <c r="P697" s="2028"/>
      <c r="Q697" s="2028"/>
      <c r="R697" s="2028"/>
      <c r="U697" s="12" t="s">
        <v>325</v>
      </c>
      <c r="Z697" s="2065"/>
      <c r="AA697" s="2065"/>
      <c r="AB697" s="2065"/>
      <c r="AC697" s="2065"/>
      <c r="AD697" s="2065"/>
      <c r="AE697" s="2065"/>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8"/>
      <c r="I698" s="2038"/>
      <c r="J698" s="2038"/>
      <c r="K698" s="2038"/>
      <c r="L698" s="2038"/>
      <c r="M698" s="2038"/>
      <c r="N698" s="2038"/>
      <c r="O698" s="2038"/>
      <c r="P698" s="2038"/>
      <c r="Q698" s="2038"/>
      <c r="R698" s="2038"/>
      <c r="U698" s="12" t="s">
        <v>18</v>
      </c>
      <c r="AA698" s="2038"/>
      <c r="AB698" s="2038"/>
      <c r="AC698" s="2038"/>
      <c r="AD698" s="2038"/>
      <c r="AE698" s="2038"/>
      <c r="AF698" s="2038"/>
      <c r="AG698" s="2038"/>
      <c r="AH698" s="2038"/>
      <c r="AI698" s="2038"/>
      <c r="AJ698" s="2038"/>
      <c r="AK698" s="2038"/>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6" t="s">
        <v>705</v>
      </c>
      <c r="O699" s="2036"/>
      <c r="U699" s="12" t="s">
        <v>20</v>
      </c>
      <c r="AG699" s="2036" t="s">
        <v>705</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577</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3.007518796992481E-2</v>
      </c>
      <c r="BI703" s="461">
        <f t="shared" ref="BI703:BI727" si="45">IF(BH703=0," ",BH703*AM728)</f>
        <v>2.1061828884136945E-2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577</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7.5187969924812026E-3</v>
      </c>
      <c r="BI704" s="461">
        <f t="shared" si="45"/>
        <v>3.7593984962406013E-3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3">
        <v>44341</v>
      </c>
      <c r="AF705" s="2223"/>
      <c r="AG705" s="2223"/>
      <c r="AH705" s="2223"/>
      <c r="AI705" s="222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7.5187969924812026E-3</v>
      </c>
      <c r="BI705" s="461">
        <f t="shared" si="45"/>
        <v>2.2562139293187092E-3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4">
        <v>44419</v>
      </c>
      <c r="AF706" s="2404"/>
      <c r="AG706" s="2404"/>
      <c r="AH706" s="2404"/>
      <c r="AI706" s="240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52</v>
      </c>
      <c r="BH706" s="460">
        <f t="shared" si="46"/>
        <v>0.39097744360902253</v>
      </c>
      <c r="BI706" s="461">
        <f t="shared" si="45"/>
        <v>0.27371006882285076</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49</v>
      </c>
      <c r="BH707" s="460">
        <f t="shared" si="46"/>
        <v>0.36842105263157893</v>
      </c>
      <c r="BI707" s="461">
        <f t="shared" si="45"/>
        <v>0.22112573099415203</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3">
        <v>44593</v>
      </c>
      <c r="AF708" s="2223"/>
      <c r="AG708" s="2223"/>
      <c r="AH708" s="2223"/>
      <c r="AI708" s="222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13</v>
      </c>
      <c r="BH708" s="460">
        <f t="shared" si="46"/>
        <v>9.7744360902255634E-2</v>
      </c>
      <c r="BI708" s="461">
        <f t="shared" si="45"/>
        <v>4.8872180451127817E-2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4">
        <v>0.54979999999999996</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13</v>
      </c>
      <c r="BH709" s="460">
        <f t="shared" si="46"/>
        <v>9.7744360902255634E-2</v>
      </c>
      <c r="BI709" s="461">
        <f t="shared" si="45"/>
        <v>2.9316843696542944E-2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39" t="str">
        <f>H334</f>
        <v>CalHFA</v>
      </c>
      <c r="X710" s="2039"/>
      <c r="Y710" s="2039"/>
      <c r="Z710" s="2039"/>
      <c r="AA710" s="2039"/>
      <c r="AB710" s="2039"/>
      <c r="AC710" s="2039"/>
      <c r="AD710" s="2039"/>
      <c r="AE710" s="2039"/>
      <c r="AF710" s="2039"/>
      <c r="AG710" s="2039"/>
      <c r="AH710" s="2039"/>
      <c r="AI710" s="2039"/>
      <c r="AJ710" s="2039"/>
      <c r="AK710" s="203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705</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8"/>
      <c r="X713" s="2038"/>
      <c r="Y713" s="2038"/>
      <c r="Z713" s="2038"/>
      <c r="AA713" s="2038"/>
      <c r="AB713" s="2038"/>
      <c r="AC713" s="2038"/>
      <c r="AD713" s="2038"/>
      <c r="AE713" s="2038"/>
      <c r="AF713" s="2038"/>
      <c r="AG713" s="2038"/>
      <c r="AH713" s="2038"/>
      <c r="AI713" s="2038"/>
      <c r="AJ713" s="2038"/>
      <c r="AK713" s="203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8"/>
      <c r="K714" s="2038"/>
      <c r="L714" s="2038"/>
      <c r="M714" s="2038"/>
      <c r="N714" s="2038"/>
      <c r="O714" s="2038"/>
      <c r="P714" s="2038"/>
      <c r="Q714" s="2038"/>
      <c r="R714" s="2038"/>
      <c r="S714" s="2038"/>
      <c r="T714" s="2038"/>
      <c r="U714" s="2038"/>
      <c r="V714" s="2038"/>
      <c r="W714" s="2038"/>
      <c r="X714" s="203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5"/>
      <c r="K715" s="2065"/>
      <c r="L715" s="2065"/>
      <c r="M715" s="2065"/>
      <c r="N715" s="2065"/>
      <c r="O715" s="2065"/>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38" t="s">
        <v>316</v>
      </c>
      <c r="X716" s="2038"/>
      <c r="Y716" s="2038"/>
      <c r="Z716" s="2038"/>
      <c r="AA716" s="2038"/>
      <c r="AB716" s="2038"/>
      <c r="AC716" s="2038"/>
      <c r="AD716" s="2038"/>
      <c r="AE716" s="2038"/>
      <c r="AF716" s="2038"/>
      <c r="AG716" s="2038"/>
      <c r="AH716" s="2038"/>
      <c r="AI716" s="2038"/>
      <c r="AJ716" s="2038"/>
      <c r="AK716" s="203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8" t="s">
        <v>343</v>
      </c>
      <c r="F717" s="2038"/>
      <c r="G717" s="2038"/>
      <c r="H717" s="2038"/>
      <c r="I717" s="2038"/>
      <c r="J717" s="2038"/>
      <c r="K717" s="2038"/>
      <c r="L717" s="2038"/>
      <c r="M717" s="2038"/>
      <c r="N717" s="2038"/>
      <c r="O717" s="2038"/>
      <c r="P717" s="2038"/>
      <c r="Q717" s="2038"/>
      <c r="R717" s="2038"/>
      <c r="S717" s="2038"/>
      <c r="T717" s="2038"/>
      <c r="U717" s="2038"/>
      <c r="V717" s="2038"/>
      <c r="W717" s="2038"/>
      <c r="X717" s="2038"/>
      <c r="Y717" s="2038"/>
      <c r="Z717" s="2038"/>
      <c r="AA717" s="2038"/>
      <c r="AB717" s="2038"/>
      <c r="AC717" s="2038"/>
      <c r="AD717" s="2038"/>
      <c r="AE717" s="2038"/>
      <c r="AF717" s="2038"/>
      <c r="AG717" s="2038"/>
      <c r="AH717" s="2038"/>
      <c r="AI717" s="2038"/>
      <c r="AJ717" s="2038"/>
      <c r="AK717" s="203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7" t="s">
        <v>406</v>
      </c>
      <c r="C724" s="2118"/>
      <c r="D724" s="2118"/>
      <c r="E724" s="2118"/>
      <c r="F724" s="2119"/>
      <c r="G724" s="2117" t="s">
        <v>291</v>
      </c>
      <c r="H724" s="2118"/>
      <c r="I724" s="2118"/>
      <c r="J724" s="2119"/>
      <c r="K724" s="2296" t="s">
        <v>2153</v>
      </c>
      <c r="L724" s="2297"/>
      <c r="M724" s="2297"/>
      <c r="N724" s="2298"/>
      <c r="O724" s="2117" t="s">
        <v>477</v>
      </c>
      <c r="P724" s="2118"/>
      <c r="Q724" s="2118"/>
      <c r="R724" s="2118"/>
      <c r="S724" s="2119"/>
      <c r="T724" s="2117" t="s">
        <v>292</v>
      </c>
      <c r="U724" s="2118"/>
      <c r="V724" s="2118"/>
      <c r="W724" s="2118"/>
      <c r="X724" s="2119"/>
      <c r="Y724" s="2117" t="s">
        <v>293</v>
      </c>
      <c r="Z724" s="2118"/>
      <c r="AA724" s="2118"/>
      <c r="AB724" s="2119"/>
      <c r="AC724" s="2117" t="s">
        <v>294</v>
      </c>
      <c r="AD724" s="2118"/>
      <c r="AE724" s="2118"/>
      <c r="AF724" s="2118"/>
      <c r="AG724" s="2119"/>
      <c r="AH724" s="2117" t="s">
        <v>407</v>
      </c>
      <c r="AI724" s="2118"/>
      <c r="AJ724" s="2118"/>
      <c r="AK724" s="2118"/>
      <c r="AL724" s="2119"/>
      <c r="AM724" s="2117" t="s">
        <v>681</v>
      </c>
      <c r="AN724" s="2118"/>
      <c r="AO724" s="211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0"/>
      <c r="C725" s="2121"/>
      <c r="D725" s="2121"/>
      <c r="E725" s="2121"/>
      <c r="F725" s="2122"/>
      <c r="G725" s="2120"/>
      <c r="H725" s="2121"/>
      <c r="I725" s="2121"/>
      <c r="J725" s="2122"/>
      <c r="K725" s="2299"/>
      <c r="L725" s="2300"/>
      <c r="M725" s="2300"/>
      <c r="N725" s="2301"/>
      <c r="O725" s="2120"/>
      <c r="P725" s="2121"/>
      <c r="Q725" s="2121"/>
      <c r="R725" s="2121"/>
      <c r="S725" s="2122"/>
      <c r="T725" s="2120"/>
      <c r="U725" s="2121"/>
      <c r="V725" s="2121"/>
      <c r="W725" s="2121"/>
      <c r="X725" s="2122"/>
      <c r="Y725" s="2120"/>
      <c r="Z725" s="2121"/>
      <c r="AA725" s="2121"/>
      <c r="AB725" s="2122"/>
      <c r="AC725" s="2120"/>
      <c r="AD725" s="2121"/>
      <c r="AE725" s="2121"/>
      <c r="AF725" s="2121"/>
      <c r="AG725" s="2122"/>
      <c r="AH725" s="2120"/>
      <c r="AI725" s="2121"/>
      <c r="AJ725" s="2121"/>
      <c r="AK725" s="2121"/>
      <c r="AL725" s="2122"/>
      <c r="AM725" s="2120"/>
      <c r="AN725" s="2121"/>
      <c r="AO725" s="212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0"/>
      <c r="C726" s="2121"/>
      <c r="D726" s="2121"/>
      <c r="E726" s="2121"/>
      <c r="F726" s="2122"/>
      <c r="G726" s="2120"/>
      <c r="H726" s="2121"/>
      <c r="I726" s="2121"/>
      <c r="J726" s="2122"/>
      <c r="K726" s="2299"/>
      <c r="L726" s="2300"/>
      <c r="M726" s="2300"/>
      <c r="N726" s="2301"/>
      <c r="O726" s="2120"/>
      <c r="P726" s="2121"/>
      <c r="Q726" s="2121"/>
      <c r="R726" s="2121"/>
      <c r="S726" s="2122"/>
      <c r="T726" s="2120"/>
      <c r="U726" s="2121"/>
      <c r="V726" s="2121"/>
      <c r="W726" s="2121"/>
      <c r="X726" s="2122"/>
      <c r="Y726" s="2120"/>
      <c r="Z726" s="2121"/>
      <c r="AA726" s="2121"/>
      <c r="AB726" s="2122"/>
      <c r="AC726" s="2120"/>
      <c r="AD726" s="2121"/>
      <c r="AE726" s="2121"/>
      <c r="AF726" s="2121"/>
      <c r="AG726" s="2122"/>
      <c r="AH726" s="2120"/>
      <c r="AI726" s="2121"/>
      <c r="AJ726" s="2121"/>
      <c r="AK726" s="2121"/>
      <c r="AL726" s="2122"/>
      <c r="AM726" s="2120"/>
      <c r="AN726" s="2121"/>
      <c r="AO726" s="212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3"/>
      <c r="C727" s="2124"/>
      <c r="D727" s="2124"/>
      <c r="E727" s="2124"/>
      <c r="F727" s="2125"/>
      <c r="G727" s="2123"/>
      <c r="H727" s="2124"/>
      <c r="I727" s="2124"/>
      <c r="J727" s="2125"/>
      <c r="K727" s="2299"/>
      <c r="L727" s="2300"/>
      <c r="M727" s="2300"/>
      <c r="N727" s="2301"/>
      <c r="O727" s="2123"/>
      <c r="P727" s="2124"/>
      <c r="Q727" s="2124"/>
      <c r="R727" s="2124"/>
      <c r="S727" s="2125"/>
      <c r="T727" s="2123"/>
      <c r="U727" s="2124"/>
      <c r="V727" s="2124"/>
      <c r="W727" s="2124"/>
      <c r="X727" s="2125"/>
      <c r="Y727" s="2123"/>
      <c r="Z727" s="2124"/>
      <c r="AA727" s="2124"/>
      <c r="AB727" s="2125"/>
      <c r="AC727" s="2123"/>
      <c r="AD727" s="2124"/>
      <c r="AE727" s="2124"/>
      <c r="AF727" s="2124"/>
      <c r="AG727" s="2125"/>
      <c r="AH727" s="2123"/>
      <c r="AI727" s="2124"/>
      <c r="AJ727" s="2124"/>
      <c r="AK727" s="2124"/>
      <c r="AL727" s="2125"/>
      <c r="AM727" s="2123"/>
      <c r="AN727" s="2124"/>
      <c r="AO727" s="212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5" t="s">
        <v>168</v>
      </c>
      <c r="C728" s="2046"/>
      <c r="D728" s="2046"/>
      <c r="E728" s="2046"/>
      <c r="F728" s="2047"/>
      <c r="G728" s="2285">
        <v>4</v>
      </c>
      <c r="H728" s="2286"/>
      <c r="I728" s="2286"/>
      <c r="J728" s="2287"/>
      <c r="K728" s="2077">
        <v>721</v>
      </c>
      <c r="L728" s="2078"/>
      <c r="M728" s="2078"/>
      <c r="N728" s="2079"/>
      <c r="O728" s="2068">
        <v>1718</v>
      </c>
      <c r="P728" s="2069"/>
      <c r="Q728" s="2069"/>
      <c r="R728" s="2069"/>
      <c r="S728" s="2070"/>
      <c r="T728" s="2147">
        <f t="shared" ref="T728:T752" si="47">G728*O728</f>
        <v>6872</v>
      </c>
      <c r="U728" s="2148"/>
      <c r="V728" s="2148"/>
      <c r="W728" s="2148"/>
      <c r="X728" s="2149"/>
      <c r="Y728" s="2068">
        <v>114</v>
      </c>
      <c r="Z728" s="2069"/>
      <c r="AA728" s="2069"/>
      <c r="AB728" s="2070"/>
      <c r="AC728" s="2147">
        <f t="shared" ref="AC728:AC752" si="48">O728+Y728</f>
        <v>1832</v>
      </c>
      <c r="AD728" s="2148"/>
      <c r="AE728" s="2148"/>
      <c r="AF728" s="2148"/>
      <c r="AG728" s="2149"/>
      <c r="AH728" s="2278">
        <v>0.7</v>
      </c>
      <c r="AI728" s="2279"/>
      <c r="AJ728" s="2279"/>
      <c r="AK728" s="2279"/>
      <c r="AL728" s="2280"/>
      <c r="AM728" s="2370">
        <f t="shared" ref="AM728:AM752" si="49">IF($AH728&gt;0,($AC728/$BA670), " ")</f>
        <v>0.70030581039755346</v>
      </c>
      <c r="AN728" s="2371"/>
      <c r="AO728" s="2372"/>
      <c r="AP728" s="239"/>
      <c r="AQ728" s="239"/>
      <c r="AR728" s="239"/>
      <c r="AS728" s="239"/>
      <c r="AT728" s="239"/>
      <c r="AU728" s="239"/>
      <c r="AV728" s="239"/>
      <c r="AW728" s="239"/>
      <c r="AX728" s="239"/>
      <c r="AY728" s="239"/>
      <c r="AZ728" s="58"/>
      <c r="BA728" s="58"/>
      <c r="BB728" s="58"/>
      <c r="BC728" s="58"/>
      <c r="BD728" s="58"/>
      <c r="BE728" s="58"/>
      <c r="BF728" s="58"/>
      <c r="BG728" s="1420">
        <f>SUM(BG703:BG727)</f>
        <v>133</v>
      </c>
      <c r="BH728" s="463">
        <f>SUM(BH703:BH727)</f>
        <v>1</v>
      </c>
      <c r="BI728" s="463">
        <f>SUM(BI703:BI727)</f>
        <v>0.60010226527436983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5" t="s">
        <v>168</v>
      </c>
      <c r="C729" s="2046"/>
      <c r="D729" s="2046"/>
      <c r="E729" s="2046"/>
      <c r="F729" s="2047"/>
      <c r="G729" s="2285">
        <v>1</v>
      </c>
      <c r="H729" s="2286"/>
      <c r="I729" s="2286"/>
      <c r="J729" s="2287"/>
      <c r="K729" s="2077">
        <v>721</v>
      </c>
      <c r="L729" s="2078"/>
      <c r="M729" s="2078"/>
      <c r="N729" s="2079"/>
      <c r="O729" s="2068">
        <v>1194</v>
      </c>
      <c r="P729" s="2069"/>
      <c r="Q729" s="2069"/>
      <c r="R729" s="2069"/>
      <c r="S729" s="2070"/>
      <c r="T729" s="2147">
        <f t="shared" si="47"/>
        <v>1194</v>
      </c>
      <c r="U729" s="2148"/>
      <c r="V729" s="2148"/>
      <c r="W729" s="2148"/>
      <c r="X729" s="2149"/>
      <c r="Y729" s="2068">
        <v>114</v>
      </c>
      <c r="Z729" s="2069"/>
      <c r="AA729" s="2069"/>
      <c r="AB729" s="2070"/>
      <c r="AC729" s="2147">
        <f t="shared" si="48"/>
        <v>1308</v>
      </c>
      <c r="AD729" s="2148"/>
      <c r="AE729" s="2148"/>
      <c r="AF729" s="2148"/>
      <c r="AG729" s="2149"/>
      <c r="AH729" s="2278">
        <v>0.5</v>
      </c>
      <c r="AI729" s="2279"/>
      <c r="AJ729" s="2279"/>
      <c r="AK729" s="2279"/>
      <c r="AL729" s="2280"/>
      <c r="AM729" s="2370">
        <f t="shared" si="49"/>
        <v>0.5</v>
      </c>
      <c r="AN729" s="2371"/>
      <c r="AO729" s="237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5" t="s">
        <v>168</v>
      </c>
      <c r="C730" s="2046"/>
      <c r="D730" s="2046"/>
      <c r="E730" s="2046"/>
      <c r="F730" s="2047"/>
      <c r="G730" s="2285">
        <v>1</v>
      </c>
      <c r="H730" s="2286"/>
      <c r="I730" s="2286"/>
      <c r="J730" s="2287"/>
      <c r="K730" s="2077">
        <v>721</v>
      </c>
      <c r="L730" s="2078"/>
      <c r="M730" s="2078"/>
      <c r="N730" s="2079"/>
      <c r="O730" s="2068">
        <v>671</v>
      </c>
      <c r="P730" s="2069"/>
      <c r="Q730" s="2069"/>
      <c r="R730" s="2069"/>
      <c r="S730" s="2070"/>
      <c r="T730" s="2147">
        <f t="shared" si="47"/>
        <v>671</v>
      </c>
      <c r="U730" s="2148"/>
      <c r="V730" s="2148"/>
      <c r="W730" s="2148"/>
      <c r="X730" s="2149"/>
      <c r="Y730" s="2068">
        <v>114</v>
      </c>
      <c r="Z730" s="2069"/>
      <c r="AA730" s="2069"/>
      <c r="AB730" s="2070"/>
      <c r="AC730" s="2147">
        <f t="shared" si="48"/>
        <v>785</v>
      </c>
      <c r="AD730" s="2148"/>
      <c r="AE730" s="2148"/>
      <c r="AF730" s="2148"/>
      <c r="AG730" s="2149"/>
      <c r="AH730" s="2278">
        <v>0.3</v>
      </c>
      <c r="AI730" s="2279"/>
      <c r="AJ730" s="2279"/>
      <c r="AK730" s="2279"/>
      <c r="AL730" s="2280"/>
      <c r="AM730" s="2370">
        <f t="shared" si="49"/>
        <v>0.30007645259938837</v>
      </c>
      <c r="AN730" s="2371"/>
      <c r="AO730" s="237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5" t="s">
        <v>169</v>
      </c>
      <c r="C731" s="2046"/>
      <c r="D731" s="2046"/>
      <c r="E731" s="2046"/>
      <c r="F731" s="2047"/>
      <c r="G731" s="2285">
        <v>52</v>
      </c>
      <c r="H731" s="2286"/>
      <c r="I731" s="2286"/>
      <c r="J731" s="2287"/>
      <c r="K731" s="2077">
        <v>955</v>
      </c>
      <c r="L731" s="2078"/>
      <c r="M731" s="2078"/>
      <c r="N731" s="2079"/>
      <c r="O731" s="2068">
        <v>1979</v>
      </c>
      <c r="P731" s="2069"/>
      <c r="Q731" s="2069"/>
      <c r="R731" s="2069"/>
      <c r="S731" s="2070"/>
      <c r="T731" s="2147">
        <f t="shared" si="47"/>
        <v>102908</v>
      </c>
      <c r="U731" s="2148"/>
      <c r="V731" s="2148"/>
      <c r="W731" s="2148"/>
      <c r="X731" s="2149"/>
      <c r="Y731" s="2068">
        <v>138</v>
      </c>
      <c r="Z731" s="2069"/>
      <c r="AA731" s="2069"/>
      <c r="AB731" s="2070"/>
      <c r="AC731" s="2147">
        <f t="shared" si="48"/>
        <v>2117</v>
      </c>
      <c r="AD731" s="2148"/>
      <c r="AE731" s="2148"/>
      <c r="AF731" s="2148"/>
      <c r="AG731" s="2149"/>
      <c r="AH731" s="2278">
        <v>0.7</v>
      </c>
      <c r="AI731" s="2279"/>
      <c r="AJ731" s="2279"/>
      <c r="AK731" s="2279"/>
      <c r="AL731" s="2280"/>
      <c r="AM731" s="2370">
        <f t="shared" si="49"/>
        <v>0.70006613756613756</v>
      </c>
      <c r="AN731" s="2371"/>
      <c r="AO731" s="237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5" t="s">
        <v>169</v>
      </c>
      <c r="C732" s="2046"/>
      <c r="D732" s="2046"/>
      <c r="E732" s="2046"/>
      <c r="F732" s="2047"/>
      <c r="G732" s="2285">
        <v>49</v>
      </c>
      <c r="H732" s="2286"/>
      <c r="I732" s="2286"/>
      <c r="J732" s="2287"/>
      <c r="K732" s="2077">
        <v>955</v>
      </c>
      <c r="L732" s="2078"/>
      <c r="M732" s="2078"/>
      <c r="N732" s="2079"/>
      <c r="O732" s="2068">
        <v>1677</v>
      </c>
      <c r="P732" s="2069"/>
      <c r="Q732" s="2069"/>
      <c r="R732" s="2069"/>
      <c r="S732" s="2070"/>
      <c r="T732" s="2147">
        <f t="shared" si="47"/>
        <v>82173</v>
      </c>
      <c r="U732" s="2148"/>
      <c r="V732" s="2148"/>
      <c r="W732" s="2148"/>
      <c r="X732" s="2149"/>
      <c r="Y732" s="2068">
        <v>138</v>
      </c>
      <c r="Z732" s="2069"/>
      <c r="AA732" s="2069"/>
      <c r="AB732" s="2070"/>
      <c r="AC732" s="2147">
        <f t="shared" si="48"/>
        <v>1815</v>
      </c>
      <c r="AD732" s="2148"/>
      <c r="AE732" s="2148"/>
      <c r="AF732" s="2148"/>
      <c r="AG732" s="2149"/>
      <c r="AH732" s="2278">
        <v>0.6</v>
      </c>
      <c r="AI732" s="2279"/>
      <c r="AJ732" s="2279"/>
      <c r="AK732" s="2279"/>
      <c r="AL732" s="2280"/>
      <c r="AM732" s="2370">
        <f t="shared" si="49"/>
        <v>0.60019841269841268</v>
      </c>
      <c r="AN732" s="2371"/>
      <c r="AO732" s="237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5" t="s">
        <v>169</v>
      </c>
      <c r="C733" s="2046"/>
      <c r="D733" s="2046"/>
      <c r="E733" s="2046"/>
      <c r="F733" s="2047"/>
      <c r="G733" s="2285">
        <v>13</v>
      </c>
      <c r="H733" s="2286"/>
      <c r="I733" s="2286"/>
      <c r="J733" s="2287"/>
      <c r="K733" s="2077">
        <v>955</v>
      </c>
      <c r="L733" s="2078"/>
      <c r="M733" s="2078"/>
      <c r="N733" s="2079"/>
      <c r="O733" s="2068">
        <v>1374</v>
      </c>
      <c r="P733" s="2069"/>
      <c r="Q733" s="2069"/>
      <c r="R733" s="2069"/>
      <c r="S733" s="2070"/>
      <c r="T733" s="2147">
        <f t="shared" si="47"/>
        <v>17862</v>
      </c>
      <c r="U733" s="2148"/>
      <c r="V733" s="2148"/>
      <c r="W733" s="2148"/>
      <c r="X733" s="2149"/>
      <c r="Y733" s="2068">
        <v>138</v>
      </c>
      <c r="Z733" s="2069"/>
      <c r="AA733" s="2069"/>
      <c r="AB733" s="2070"/>
      <c r="AC733" s="2147">
        <f t="shared" si="48"/>
        <v>1512</v>
      </c>
      <c r="AD733" s="2148"/>
      <c r="AE733" s="2148"/>
      <c r="AF733" s="2148"/>
      <c r="AG733" s="2149"/>
      <c r="AH733" s="2278">
        <v>0.5</v>
      </c>
      <c r="AI733" s="2279"/>
      <c r="AJ733" s="2279"/>
      <c r="AK733" s="2279"/>
      <c r="AL733" s="2280"/>
      <c r="AM733" s="2370">
        <f t="shared" si="49"/>
        <v>0.5</v>
      </c>
      <c r="AN733" s="2371"/>
      <c r="AO733" s="237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5" t="s">
        <v>169</v>
      </c>
      <c r="C734" s="2046"/>
      <c r="D734" s="2046"/>
      <c r="E734" s="2046"/>
      <c r="F734" s="2047"/>
      <c r="G734" s="2285">
        <v>13</v>
      </c>
      <c r="H734" s="2286"/>
      <c r="I734" s="2286"/>
      <c r="J734" s="2287"/>
      <c r="K734" s="2077">
        <v>955</v>
      </c>
      <c r="L734" s="2078"/>
      <c r="M734" s="2078"/>
      <c r="N734" s="2079"/>
      <c r="O734" s="2068">
        <v>769</v>
      </c>
      <c r="P734" s="2069"/>
      <c r="Q734" s="2069"/>
      <c r="R734" s="2069"/>
      <c r="S734" s="2070"/>
      <c r="T734" s="2147">
        <f t="shared" si="47"/>
        <v>9997</v>
      </c>
      <c r="U734" s="2148"/>
      <c r="V734" s="2148"/>
      <c r="W734" s="2148"/>
      <c r="X734" s="2149"/>
      <c r="Y734" s="2068">
        <v>138</v>
      </c>
      <c r="Z734" s="2069"/>
      <c r="AA734" s="2069"/>
      <c r="AB734" s="2070"/>
      <c r="AC734" s="2147">
        <f t="shared" si="48"/>
        <v>907</v>
      </c>
      <c r="AD734" s="2148"/>
      <c r="AE734" s="2148"/>
      <c r="AF734" s="2148"/>
      <c r="AG734" s="2149"/>
      <c r="AH734" s="2278">
        <v>0.3</v>
      </c>
      <c r="AI734" s="2279"/>
      <c r="AJ734" s="2279"/>
      <c r="AK734" s="2279"/>
      <c r="AL734" s="2280"/>
      <c r="AM734" s="2370">
        <f t="shared" si="49"/>
        <v>0.29993386243386244</v>
      </c>
      <c r="AN734" s="2371"/>
      <c r="AO734" s="237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5"/>
      <c r="C735" s="2046"/>
      <c r="D735" s="2046"/>
      <c r="E735" s="2046"/>
      <c r="F735" s="2047"/>
      <c r="G735" s="2285"/>
      <c r="H735" s="2286"/>
      <c r="I735" s="2286"/>
      <c r="J735" s="2287"/>
      <c r="K735" s="2077"/>
      <c r="L735" s="2078"/>
      <c r="M735" s="2078"/>
      <c r="N735" s="2079"/>
      <c r="O735" s="2068"/>
      <c r="P735" s="2069"/>
      <c r="Q735" s="2069"/>
      <c r="R735" s="2069"/>
      <c r="S735" s="2070"/>
      <c r="T735" s="2147">
        <f t="shared" si="47"/>
        <v>0</v>
      </c>
      <c r="U735" s="2148"/>
      <c r="V735" s="2148"/>
      <c r="W735" s="2148"/>
      <c r="X735" s="2149"/>
      <c r="Y735" s="2068"/>
      <c r="Z735" s="2069"/>
      <c r="AA735" s="2069"/>
      <c r="AB735" s="2070"/>
      <c r="AC735" s="2147">
        <f t="shared" si="48"/>
        <v>0</v>
      </c>
      <c r="AD735" s="2148"/>
      <c r="AE735" s="2148"/>
      <c r="AF735" s="2148"/>
      <c r="AG735" s="2149"/>
      <c r="AH735" s="2278"/>
      <c r="AI735" s="2279"/>
      <c r="AJ735" s="2279"/>
      <c r="AK735" s="2279"/>
      <c r="AL735" s="2280"/>
      <c r="AM735" s="2370" t="str">
        <f t="shared" si="49"/>
        <v xml:space="preserve"> </v>
      </c>
      <c r="AN735" s="2371"/>
      <c r="AO735" s="237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5"/>
      <c r="C736" s="2046"/>
      <c r="D736" s="2046"/>
      <c r="E736" s="2046"/>
      <c r="F736" s="2047"/>
      <c r="G736" s="2285"/>
      <c r="H736" s="2286"/>
      <c r="I736" s="2286"/>
      <c r="J736" s="2287"/>
      <c r="K736" s="2077"/>
      <c r="L736" s="2078"/>
      <c r="M736" s="2078"/>
      <c r="N736" s="2079"/>
      <c r="O736" s="2068"/>
      <c r="P736" s="2069"/>
      <c r="Q736" s="2069"/>
      <c r="R736" s="2069"/>
      <c r="S736" s="2070"/>
      <c r="T736" s="2147">
        <f t="shared" si="47"/>
        <v>0</v>
      </c>
      <c r="U736" s="2148"/>
      <c r="V736" s="2148"/>
      <c r="W736" s="2148"/>
      <c r="X736" s="2149"/>
      <c r="Y736" s="2068"/>
      <c r="Z736" s="2069"/>
      <c r="AA736" s="2069"/>
      <c r="AB736" s="2070"/>
      <c r="AC736" s="2147">
        <f t="shared" si="48"/>
        <v>0</v>
      </c>
      <c r="AD736" s="2148"/>
      <c r="AE736" s="2148"/>
      <c r="AF736" s="2148"/>
      <c r="AG736" s="2149"/>
      <c r="AH736" s="2278"/>
      <c r="AI736" s="2279"/>
      <c r="AJ736" s="2279"/>
      <c r="AK736" s="2279"/>
      <c r="AL736" s="2280"/>
      <c r="AM736" s="2370" t="str">
        <f t="shared" si="49"/>
        <v xml:space="preserve"> </v>
      </c>
      <c r="AN736" s="2371"/>
      <c r="AO736" s="237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5"/>
      <c r="C737" s="2046"/>
      <c r="D737" s="2046"/>
      <c r="E737" s="2046"/>
      <c r="F737" s="2047"/>
      <c r="G737" s="2285"/>
      <c r="H737" s="2286"/>
      <c r="I737" s="2286"/>
      <c r="J737" s="2287"/>
      <c r="K737" s="2077"/>
      <c r="L737" s="2078"/>
      <c r="M737" s="2078"/>
      <c r="N737" s="2079"/>
      <c r="O737" s="2068"/>
      <c r="P737" s="2069"/>
      <c r="Q737" s="2069"/>
      <c r="R737" s="2069"/>
      <c r="S737" s="2070"/>
      <c r="T737" s="2147">
        <f t="shared" si="47"/>
        <v>0</v>
      </c>
      <c r="U737" s="2148"/>
      <c r="V737" s="2148"/>
      <c r="W737" s="2148"/>
      <c r="X737" s="2149"/>
      <c r="Y737" s="2068"/>
      <c r="Z737" s="2069"/>
      <c r="AA737" s="2069"/>
      <c r="AB737" s="2070"/>
      <c r="AC737" s="2147">
        <f t="shared" si="48"/>
        <v>0</v>
      </c>
      <c r="AD737" s="2148"/>
      <c r="AE737" s="2148"/>
      <c r="AF737" s="2148"/>
      <c r="AG737" s="2149"/>
      <c r="AH737" s="2278"/>
      <c r="AI737" s="2279"/>
      <c r="AJ737" s="2279"/>
      <c r="AK737" s="2279"/>
      <c r="AL737" s="2280"/>
      <c r="AM737" s="2370" t="str">
        <f t="shared" si="49"/>
        <v xml:space="preserve"> </v>
      </c>
      <c r="AN737" s="2371"/>
      <c r="AO737" s="237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5"/>
      <c r="C738" s="2046"/>
      <c r="D738" s="2046"/>
      <c r="E738" s="2046"/>
      <c r="F738" s="2047"/>
      <c r="G738" s="2285"/>
      <c r="H738" s="2286"/>
      <c r="I738" s="2286"/>
      <c r="J738" s="2287"/>
      <c r="K738" s="2077"/>
      <c r="L738" s="2078"/>
      <c r="M738" s="2078"/>
      <c r="N738" s="2079"/>
      <c r="O738" s="2068"/>
      <c r="P738" s="2069"/>
      <c r="Q738" s="2069"/>
      <c r="R738" s="2069"/>
      <c r="S738" s="2070"/>
      <c r="T738" s="2147">
        <f t="shared" si="47"/>
        <v>0</v>
      </c>
      <c r="U738" s="2148"/>
      <c r="V738" s="2148"/>
      <c r="W738" s="2148"/>
      <c r="X738" s="2149"/>
      <c r="Y738" s="2068"/>
      <c r="Z738" s="2069"/>
      <c r="AA738" s="2069"/>
      <c r="AB738" s="2070"/>
      <c r="AC738" s="2147">
        <f t="shared" si="48"/>
        <v>0</v>
      </c>
      <c r="AD738" s="2148"/>
      <c r="AE738" s="2148"/>
      <c r="AF738" s="2148"/>
      <c r="AG738" s="2149"/>
      <c r="AH738" s="2278"/>
      <c r="AI738" s="2279"/>
      <c r="AJ738" s="2279"/>
      <c r="AK738" s="2279"/>
      <c r="AL738" s="2280"/>
      <c r="AM738" s="2370" t="str">
        <f t="shared" si="49"/>
        <v xml:space="preserve"> </v>
      </c>
      <c r="AN738" s="2371"/>
      <c r="AO738" s="237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5"/>
      <c r="C739" s="2046"/>
      <c r="D739" s="2046"/>
      <c r="E739" s="2046"/>
      <c r="F739" s="2047"/>
      <c r="G739" s="2285"/>
      <c r="H739" s="2286"/>
      <c r="I739" s="2286"/>
      <c r="J739" s="2287"/>
      <c r="K739" s="2077"/>
      <c r="L739" s="2078"/>
      <c r="M739" s="2078"/>
      <c r="N739" s="2079"/>
      <c r="O739" s="2068"/>
      <c r="P739" s="2069"/>
      <c r="Q739" s="2069"/>
      <c r="R739" s="2069"/>
      <c r="S739" s="2070"/>
      <c r="T739" s="2147">
        <f t="shared" si="47"/>
        <v>0</v>
      </c>
      <c r="U739" s="2148"/>
      <c r="V739" s="2148"/>
      <c r="W739" s="2148"/>
      <c r="X739" s="2149"/>
      <c r="Y739" s="2068">
        <v>0</v>
      </c>
      <c r="Z739" s="2069"/>
      <c r="AA739" s="2069"/>
      <c r="AB739" s="2070"/>
      <c r="AC739" s="2147">
        <f t="shared" si="48"/>
        <v>0</v>
      </c>
      <c r="AD739" s="2148"/>
      <c r="AE739" s="2148"/>
      <c r="AF739" s="2148"/>
      <c r="AG739" s="2149"/>
      <c r="AH739" s="2278">
        <v>0</v>
      </c>
      <c r="AI739" s="2279"/>
      <c r="AJ739" s="2279"/>
      <c r="AK739" s="2279"/>
      <c r="AL739" s="2280"/>
      <c r="AM739" s="2370" t="str">
        <f t="shared" si="49"/>
        <v xml:space="preserve"> </v>
      </c>
      <c r="AN739" s="2371"/>
      <c r="AO739" s="237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5"/>
      <c r="C740" s="2046"/>
      <c r="D740" s="2046"/>
      <c r="E740" s="2046"/>
      <c r="F740" s="2047"/>
      <c r="G740" s="2285"/>
      <c r="H740" s="2286"/>
      <c r="I740" s="2286"/>
      <c r="J740" s="2287"/>
      <c r="K740" s="2077"/>
      <c r="L740" s="2078"/>
      <c r="M740" s="2078"/>
      <c r="N740" s="2079"/>
      <c r="O740" s="2068"/>
      <c r="P740" s="2069"/>
      <c r="Q740" s="2069"/>
      <c r="R740" s="2069"/>
      <c r="S740" s="2070"/>
      <c r="T740" s="2147">
        <f t="shared" si="47"/>
        <v>0</v>
      </c>
      <c r="U740" s="2148"/>
      <c r="V740" s="2148"/>
      <c r="W740" s="2148"/>
      <c r="X740" s="2149"/>
      <c r="Y740" s="2068">
        <v>0</v>
      </c>
      <c r="Z740" s="2069"/>
      <c r="AA740" s="2069"/>
      <c r="AB740" s="2070"/>
      <c r="AC740" s="2147">
        <f t="shared" si="48"/>
        <v>0</v>
      </c>
      <c r="AD740" s="2148"/>
      <c r="AE740" s="2148"/>
      <c r="AF740" s="2148"/>
      <c r="AG740" s="2149"/>
      <c r="AH740" s="2278">
        <v>0</v>
      </c>
      <c r="AI740" s="2279"/>
      <c r="AJ740" s="2279"/>
      <c r="AK740" s="2279"/>
      <c r="AL740" s="2280"/>
      <c r="AM740" s="2370" t="str">
        <f t="shared" si="49"/>
        <v xml:space="preserve"> </v>
      </c>
      <c r="AN740" s="2371"/>
      <c r="AO740" s="237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5"/>
      <c r="C741" s="2046"/>
      <c r="D741" s="2046"/>
      <c r="E741" s="2046"/>
      <c r="F741" s="2047"/>
      <c r="G741" s="2285"/>
      <c r="H741" s="2286"/>
      <c r="I741" s="2286"/>
      <c r="J741" s="2287"/>
      <c r="K741" s="2077"/>
      <c r="L741" s="2078"/>
      <c r="M741" s="2078"/>
      <c r="N741" s="2079"/>
      <c r="O741" s="2068"/>
      <c r="P741" s="2069"/>
      <c r="Q741" s="2069"/>
      <c r="R741" s="2069"/>
      <c r="S741" s="2070"/>
      <c r="T741" s="2147">
        <f t="shared" si="47"/>
        <v>0</v>
      </c>
      <c r="U741" s="2148"/>
      <c r="V741" s="2148"/>
      <c r="W741" s="2148"/>
      <c r="X741" s="2149"/>
      <c r="Y741" s="2068">
        <v>0</v>
      </c>
      <c r="Z741" s="2069"/>
      <c r="AA741" s="2069"/>
      <c r="AB741" s="2070"/>
      <c r="AC741" s="2147">
        <f t="shared" si="48"/>
        <v>0</v>
      </c>
      <c r="AD741" s="2148"/>
      <c r="AE741" s="2148"/>
      <c r="AF741" s="2148"/>
      <c r="AG741" s="2149"/>
      <c r="AH741" s="2278">
        <v>0</v>
      </c>
      <c r="AI741" s="2279"/>
      <c r="AJ741" s="2279"/>
      <c r="AK741" s="2279"/>
      <c r="AL741" s="2280"/>
      <c r="AM741" s="2370" t="str">
        <f t="shared" si="49"/>
        <v xml:space="preserve"> </v>
      </c>
      <c r="AN741" s="2371"/>
      <c r="AO741" s="237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5"/>
      <c r="C742" s="2046"/>
      <c r="D742" s="2046"/>
      <c r="E742" s="2046"/>
      <c r="F742" s="2047"/>
      <c r="G742" s="2285"/>
      <c r="H742" s="2286"/>
      <c r="I742" s="2286"/>
      <c r="J742" s="2287"/>
      <c r="K742" s="2077"/>
      <c r="L742" s="2078"/>
      <c r="M742" s="2078"/>
      <c r="N742" s="2079"/>
      <c r="O742" s="2068"/>
      <c r="P742" s="2069"/>
      <c r="Q742" s="2069"/>
      <c r="R742" s="2069"/>
      <c r="S742" s="2070"/>
      <c r="T742" s="2147">
        <f t="shared" si="47"/>
        <v>0</v>
      </c>
      <c r="U742" s="2148"/>
      <c r="V742" s="2148"/>
      <c r="W742" s="2148"/>
      <c r="X742" s="2149"/>
      <c r="Y742" s="2068">
        <v>0</v>
      </c>
      <c r="Z742" s="2069"/>
      <c r="AA742" s="2069"/>
      <c r="AB742" s="2070"/>
      <c r="AC742" s="2147">
        <f t="shared" si="48"/>
        <v>0</v>
      </c>
      <c r="AD742" s="2148"/>
      <c r="AE742" s="2148"/>
      <c r="AF742" s="2148"/>
      <c r="AG742" s="2149"/>
      <c r="AH742" s="2278">
        <v>0</v>
      </c>
      <c r="AI742" s="2279"/>
      <c r="AJ742" s="2279"/>
      <c r="AK742" s="2279"/>
      <c r="AL742" s="2280"/>
      <c r="AM742" s="2370" t="str">
        <f t="shared" si="49"/>
        <v xml:space="preserve"> </v>
      </c>
      <c r="AN742" s="2371"/>
      <c r="AO742" s="237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5"/>
      <c r="C743" s="2046"/>
      <c r="D743" s="2046"/>
      <c r="E743" s="2046"/>
      <c r="F743" s="2047"/>
      <c r="G743" s="2285"/>
      <c r="H743" s="2286"/>
      <c r="I743" s="2286"/>
      <c r="J743" s="2287"/>
      <c r="K743" s="2077"/>
      <c r="L743" s="2078"/>
      <c r="M743" s="2078"/>
      <c r="N743" s="2079"/>
      <c r="O743" s="2068"/>
      <c r="P743" s="2069"/>
      <c r="Q743" s="2069"/>
      <c r="R743" s="2069"/>
      <c r="S743" s="2070"/>
      <c r="T743" s="2147">
        <f t="shared" si="47"/>
        <v>0</v>
      </c>
      <c r="U743" s="2148"/>
      <c r="V743" s="2148"/>
      <c r="W743" s="2148"/>
      <c r="X743" s="2149"/>
      <c r="Y743" s="2068">
        <v>0</v>
      </c>
      <c r="Z743" s="2069"/>
      <c r="AA743" s="2069"/>
      <c r="AB743" s="2070"/>
      <c r="AC743" s="2147">
        <f t="shared" si="48"/>
        <v>0</v>
      </c>
      <c r="AD743" s="2148"/>
      <c r="AE743" s="2148"/>
      <c r="AF743" s="2148"/>
      <c r="AG743" s="2149"/>
      <c r="AH743" s="2278">
        <v>0</v>
      </c>
      <c r="AI743" s="2279"/>
      <c r="AJ743" s="2279"/>
      <c r="AK743" s="2279"/>
      <c r="AL743" s="2280"/>
      <c r="AM743" s="2370" t="str">
        <f t="shared" si="49"/>
        <v xml:space="preserve"> </v>
      </c>
      <c r="AN743" s="2371"/>
      <c r="AO743" s="237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5"/>
      <c r="C744" s="2046"/>
      <c r="D744" s="2046"/>
      <c r="E744" s="2046"/>
      <c r="F744" s="2047"/>
      <c r="G744" s="2285"/>
      <c r="H744" s="2286"/>
      <c r="I744" s="2286"/>
      <c r="J744" s="2287"/>
      <c r="K744" s="2077"/>
      <c r="L744" s="2078"/>
      <c r="M744" s="2078"/>
      <c r="N744" s="2079"/>
      <c r="O744" s="2068"/>
      <c r="P744" s="2069"/>
      <c r="Q744" s="2069"/>
      <c r="R744" s="2069"/>
      <c r="S744" s="2070"/>
      <c r="T744" s="2147">
        <f t="shared" si="47"/>
        <v>0</v>
      </c>
      <c r="U744" s="2148"/>
      <c r="V744" s="2148"/>
      <c r="W744" s="2148"/>
      <c r="X744" s="2149"/>
      <c r="Y744" s="2068">
        <v>0</v>
      </c>
      <c r="Z744" s="2069"/>
      <c r="AA744" s="2069"/>
      <c r="AB744" s="2070"/>
      <c r="AC744" s="2147">
        <f t="shared" si="48"/>
        <v>0</v>
      </c>
      <c r="AD744" s="2148"/>
      <c r="AE744" s="2148"/>
      <c r="AF744" s="2148"/>
      <c r="AG744" s="2149"/>
      <c r="AH744" s="2278">
        <v>0</v>
      </c>
      <c r="AI744" s="2279"/>
      <c r="AJ744" s="2279"/>
      <c r="AK744" s="2279"/>
      <c r="AL744" s="2280"/>
      <c r="AM744" s="2370" t="str">
        <f t="shared" si="49"/>
        <v xml:space="preserve"> </v>
      </c>
      <c r="AN744" s="2371"/>
      <c r="AO744" s="237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5"/>
      <c r="C745" s="2046"/>
      <c r="D745" s="2046"/>
      <c r="E745" s="2046"/>
      <c r="F745" s="2047"/>
      <c r="G745" s="2285"/>
      <c r="H745" s="2286"/>
      <c r="I745" s="2286"/>
      <c r="J745" s="2287"/>
      <c r="K745" s="2077"/>
      <c r="L745" s="2078"/>
      <c r="M745" s="2078"/>
      <c r="N745" s="2079"/>
      <c r="O745" s="2068"/>
      <c r="P745" s="2069"/>
      <c r="Q745" s="2069"/>
      <c r="R745" s="2069"/>
      <c r="S745" s="2070"/>
      <c r="T745" s="2147">
        <f t="shared" si="47"/>
        <v>0</v>
      </c>
      <c r="U745" s="2148"/>
      <c r="V745" s="2148"/>
      <c r="W745" s="2148"/>
      <c r="X745" s="2149"/>
      <c r="Y745" s="2068">
        <v>0</v>
      </c>
      <c r="Z745" s="2069"/>
      <c r="AA745" s="2069"/>
      <c r="AB745" s="2070"/>
      <c r="AC745" s="2147">
        <f t="shared" si="48"/>
        <v>0</v>
      </c>
      <c r="AD745" s="2148"/>
      <c r="AE745" s="2148"/>
      <c r="AF745" s="2148"/>
      <c r="AG745" s="2149"/>
      <c r="AH745" s="2278">
        <v>0</v>
      </c>
      <c r="AI745" s="2279"/>
      <c r="AJ745" s="2279"/>
      <c r="AK745" s="2279"/>
      <c r="AL745" s="2280"/>
      <c r="AM745" s="2370" t="str">
        <f t="shared" si="49"/>
        <v xml:space="preserve"> </v>
      </c>
      <c r="AN745" s="2371"/>
      <c r="AO745" s="237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5"/>
      <c r="C746" s="2046"/>
      <c r="D746" s="2046"/>
      <c r="E746" s="2046"/>
      <c r="F746" s="2047"/>
      <c r="G746" s="2285"/>
      <c r="H746" s="2286"/>
      <c r="I746" s="2286"/>
      <c r="J746" s="2287"/>
      <c r="K746" s="2077"/>
      <c r="L746" s="2078"/>
      <c r="M746" s="2078"/>
      <c r="N746" s="2079"/>
      <c r="O746" s="2068"/>
      <c r="P746" s="2069"/>
      <c r="Q746" s="2069"/>
      <c r="R746" s="2069"/>
      <c r="S746" s="2070"/>
      <c r="T746" s="2147">
        <f t="shared" si="47"/>
        <v>0</v>
      </c>
      <c r="U746" s="2148"/>
      <c r="V746" s="2148"/>
      <c r="W746" s="2148"/>
      <c r="X746" s="2149"/>
      <c r="Y746" s="2068">
        <v>0</v>
      </c>
      <c r="Z746" s="2069"/>
      <c r="AA746" s="2069"/>
      <c r="AB746" s="2070"/>
      <c r="AC746" s="2147">
        <f t="shared" si="48"/>
        <v>0</v>
      </c>
      <c r="AD746" s="2148"/>
      <c r="AE746" s="2148"/>
      <c r="AF746" s="2148"/>
      <c r="AG746" s="2149"/>
      <c r="AH746" s="2278">
        <v>0</v>
      </c>
      <c r="AI746" s="2279"/>
      <c r="AJ746" s="2279"/>
      <c r="AK746" s="2279"/>
      <c r="AL746" s="2280"/>
      <c r="AM746" s="2370" t="str">
        <f t="shared" si="49"/>
        <v xml:space="preserve"> </v>
      </c>
      <c r="AN746" s="2371"/>
      <c r="AO746" s="237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5"/>
      <c r="C747" s="2046"/>
      <c r="D747" s="2046"/>
      <c r="E747" s="2046"/>
      <c r="F747" s="2047"/>
      <c r="G747" s="2285"/>
      <c r="H747" s="2286"/>
      <c r="I747" s="2286"/>
      <c r="J747" s="2287"/>
      <c r="K747" s="2077"/>
      <c r="L747" s="2078"/>
      <c r="M747" s="2078"/>
      <c r="N747" s="2079"/>
      <c r="O747" s="2068"/>
      <c r="P747" s="2069"/>
      <c r="Q747" s="2069"/>
      <c r="R747" s="2069"/>
      <c r="S747" s="2070"/>
      <c r="T747" s="2147">
        <f t="shared" si="47"/>
        <v>0</v>
      </c>
      <c r="U747" s="2148"/>
      <c r="V747" s="2148"/>
      <c r="W747" s="2148"/>
      <c r="X747" s="2149"/>
      <c r="Y747" s="2068">
        <v>0</v>
      </c>
      <c r="Z747" s="2069"/>
      <c r="AA747" s="2069"/>
      <c r="AB747" s="2070"/>
      <c r="AC747" s="2147">
        <f t="shared" si="48"/>
        <v>0</v>
      </c>
      <c r="AD747" s="2148"/>
      <c r="AE747" s="2148"/>
      <c r="AF747" s="2148"/>
      <c r="AG747" s="2149"/>
      <c r="AH747" s="2278">
        <v>0</v>
      </c>
      <c r="AI747" s="2279"/>
      <c r="AJ747" s="2279"/>
      <c r="AK747" s="2279"/>
      <c r="AL747" s="2280"/>
      <c r="AM747" s="2370" t="str">
        <f t="shared" si="49"/>
        <v xml:space="preserve"> </v>
      </c>
      <c r="AN747" s="2371"/>
      <c r="AO747" s="237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5"/>
      <c r="C748" s="2046"/>
      <c r="D748" s="2046"/>
      <c r="E748" s="2046"/>
      <c r="F748" s="2047"/>
      <c r="G748" s="2285"/>
      <c r="H748" s="2286"/>
      <c r="I748" s="2286"/>
      <c r="J748" s="2287"/>
      <c r="K748" s="2077"/>
      <c r="L748" s="2078"/>
      <c r="M748" s="2078"/>
      <c r="N748" s="2079"/>
      <c r="O748" s="2068"/>
      <c r="P748" s="2069"/>
      <c r="Q748" s="2069"/>
      <c r="R748" s="2069"/>
      <c r="S748" s="2070"/>
      <c r="T748" s="2147">
        <f t="shared" si="47"/>
        <v>0</v>
      </c>
      <c r="U748" s="2148"/>
      <c r="V748" s="2148"/>
      <c r="W748" s="2148"/>
      <c r="X748" s="2149"/>
      <c r="Y748" s="2068">
        <v>0</v>
      </c>
      <c r="Z748" s="2069"/>
      <c r="AA748" s="2069"/>
      <c r="AB748" s="2070"/>
      <c r="AC748" s="2147">
        <f t="shared" si="48"/>
        <v>0</v>
      </c>
      <c r="AD748" s="2148"/>
      <c r="AE748" s="2148"/>
      <c r="AF748" s="2148"/>
      <c r="AG748" s="2149"/>
      <c r="AH748" s="2278">
        <v>0</v>
      </c>
      <c r="AI748" s="2279"/>
      <c r="AJ748" s="2279"/>
      <c r="AK748" s="2279"/>
      <c r="AL748" s="2280"/>
      <c r="AM748" s="2370" t="str">
        <f t="shared" si="49"/>
        <v xml:space="preserve"> </v>
      </c>
      <c r="AN748" s="2371"/>
      <c r="AO748" s="237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5"/>
      <c r="C749" s="2046"/>
      <c r="D749" s="2046"/>
      <c r="E749" s="2046"/>
      <c r="F749" s="2047"/>
      <c r="G749" s="2285"/>
      <c r="H749" s="2286"/>
      <c r="I749" s="2286"/>
      <c r="J749" s="2287"/>
      <c r="K749" s="2077"/>
      <c r="L749" s="2078"/>
      <c r="M749" s="2078"/>
      <c r="N749" s="2079"/>
      <c r="O749" s="2068"/>
      <c r="P749" s="2069"/>
      <c r="Q749" s="2069"/>
      <c r="R749" s="2069"/>
      <c r="S749" s="2070"/>
      <c r="T749" s="2147">
        <f t="shared" si="47"/>
        <v>0</v>
      </c>
      <c r="U749" s="2148"/>
      <c r="V749" s="2148"/>
      <c r="W749" s="2148"/>
      <c r="X749" s="2149"/>
      <c r="Y749" s="2068">
        <v>0</v>
      </c>
      <c r="Z749" s="2069"/>
      <c r="AA749" s="2069"/>
      <c r="AB749" s="2070"/>
      <c r="AC749" s="2147">
        <f t="shared" si="48"/>
        <v>0</v>
      </c>
      <c r="AD749" s="2148"/>
      <c r="AE749" s="2148"/>
      <c r="AF749" s="2148"/>
      <c r="AG749" s="2149"/>
      <c r="AH749" s="2278">
        <v>0</v>
      </c>
      <c r="AI749" s="2279"/>
      <c r="AJ749" s="2279"/>
      <c r="AK749" s="2279"/>
      <c r="AL749" s="2280"/>
      <c r="AM749" s="2370" t="str">
        <f t="shared" si="49"/>
        <v xml:space="preserve"> </v>
      </c>
      <c r="AN749" s="2371"/>
      <c r="AO749" s="237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85"/>
      <c r="H750" s="2286"/>
      <c r="I750" s="2286"/>
      <c r="J750" s="2287"/>
      <c r="K750" s="2077"/>
      <c r="L750" s="2078"/>
      <c r="M750" s="2078"/>
      <c r="N750" s="2079"/>
      <c r="O750" s="2068"/>
      <c r="P750" s="2069"/>
      <c r="Q750" s="2069"/>
      <c r="R750" s="2069"/>
      <c r="S750" s="2070"/>
      <c r="T750" s="2147">
        <f t="shared" si="47"/>
        <v>0</v>
      </c>
      <c r="U750" s="2148"/>
      <c r="V750" s="2148"/>
      <c r="W750" s="2148"/>
      <c r="X750" s="2149"/>
      <c r="Y750" s="2068">
        <v>0</v>
      </c>
      <c r="Z750" s="2069"/>
      <c r="AA750" s="2069"/>
      <c r="AB750" s="2070"/>
      <c r="AC750" s="2147">
        <f t="shared" si="48"/>
        <v>0</v>
      </c>
      <c r="AD750" s="2148"/>
      <c r="AE750" s="2148"/>
      <c r="AF750" s="2148"/>
      <c r="AG750" s="2149"/>
      <c r="AH750" s="2278">
        <v>0</v>
      </c>
      <c r="AI750" s="2279"/>
      <c r="AJ750" s="2279"/>
      <c r="AK750" s="2279"/>
      <c r="AL750" s="2280"/>
      <c r="AM750" s="2370" t="str">
        <f t="shared" si="49"/>
        <v xml:space="preserve"> </v>
      </c>
      <c r="AN750" s="2371"/>
      <c r="AO750" s="237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5"/>
      <c r="C751" s="2046"/>
      <c r="D751" s="2046"/>
      <c r="E751" s="2046"/>
      <c r="F751" s="2047"/>
      <c r="G751" s="2285"/>
      <c r="H751" s="2286"/>
      <c r="I751" s="2286"/>
      <c r="J751" s="2287"/>
      <c r="K751" s="2077"/>
      <c r="L751" s="2078"/>
      <c r="M751" s="2078"/>
      <c r="N751" s="2079"/>
      <c r="O751" s="2068"/>
      <c r="P751" s="2069"/>
      <c r="Q751" s="2069"/>
      <c r="R751" s="2069"/>
      <c r="S751" s="2070"/>
      <c r="T751" s="2147">
        <f t="shared" si="47"/>
        <v>0</v>
      </c>
      <c r="U751" s="2148"/>
      <c r="V751" s="2148"/>
      <c r="W751" s="2148"/>
      <c r="X751" s="2149"/>
      <c r="Y751" s="2068">
        <v>0</v>
      </c>
      <c r="Z751" s="2069"/>
      <c r="AA751" s="2069"/>
      <c r="AB751" s="2070"/>
      <c r="AC751" s="2147">
        <f t="shared" si="48"/>
        <v>0</v>
      </c>
      <c r="AD751" s="2148"/>
      <c r="AE751" s="2148"/>
      <c r="AF751" s="2148"/>
      <c r="AG751" s="2149"/>
      <c r="AH751" s="2278">
        <v>0</v>
      </c>
      <c r="AI751" s="2279"/>
      <c r="AJ751" s="2279"/>
      <c r="AK751" s="2279"/>
      <c r="AL751" s="2280"/>
      <c r="AM751" s="2370" t="str">
        <f t="shared" si="49"/>
        <v xml:space="preserve"> </v>
      </c>
      <c r="AN751" s="2371"/>
      <c r="AO751" s="237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5"/>
      <c r="C752" s="2046"/>
      <c r="D752" s="2046"/>
      <c r="E752" s="2046"/>
      <c r="F752" s="2047"/>
      <c r="G752" s="2285"/>
      <c r="H752" s="2286"/>
      <c r="I752" s="2286"/>
      <c r="J752" s="2287"/>
      <c r="K752" s="2077"/>
      <c r="L752" s="2078"/>
      <c r="M752" s="2078"/>
      <c r="N752" s="2079"/>
      <c r="O752" s="2068"/>
      <c r="P752" s="2069"/>
      <c r="Q752" s="2069"/>
      <c r="R752" s="2069"/>
      <c r="S752" s="2070"/>
      <c r="T752" s="2147">
        <f t="shared" si="47"/>
        <v>0</v>
      </c>
      <c r="U752" s="2148"/>
      <c r="V752" s="2148"/>
      <c r="W752" s="2148"/>
      <c r="X752" s="2149"/>
      <c r="Y752" s="2068">
        <v>0</v>
      </c>
      <c r="Z752" s="2069"/>
      <c r="AA752" s="2069"/>
      <c r="AB752" s="2070"/>
      <c r="AC752" s="2147">
        <f t="shared" si="48"/>
        <v>0</v>
      </c>
      <c r="AD752" s="2148"/>
      <c r="AE752" s="2148"/>
      <c r="AF752" s="2148"/>
      <c r="AG752" s="2149"/>
      <c r="AH752" s="2278">
        <v>0</v>
      </c>
      <c r="AI752" s="2279"/>
      <c r="AJ752" s="2279"/>
      <c r="AK752" s="2279"/>
      <c r="AL752" s="2280"/>
      <c r="AM752" s="2370" t="str">
        <f t="shared" si="49"/>
        <v xml:space="preserve"> </v>
      </c>
      <c r="AN752" s="2371"/>
      <c r="AO752" s="237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3" t="s">
        <v>130</v>
      </c>
      <c r="C753" s="2194"/>
      <c r="D753" s="2194"/>
      <c r="E753" s="2194"/>
      <c r="F753" s="2196"/>
      <c r="G753" s="2269">
        <f>SUM(G728:J752)</f>
        <v>133</v>
      </c>
      <c r="H753" s="2270"/>
      <c r="I753" s="2270"/>
      <c r="J753" s="2271"/>
      <c r="O753" s="1585" t="s">
        <v>129</v>
      </c>
      <c r="P753" s="1586"/>
      <c r="Q753" s="1586"/>
      <c r="R753" s="1586"/>
      <c r="S753" s="1587"/>
      <c r="T753" s="2147">
        <f>SUM(T728:X752)</f>
        <v>221677</v>
      </c>
      <c r="U753" s="2148"/>
      <c r="V753" s="2148"/>
      <c r="W753" s="2148"/>
      <c r="X753" s="2149"/>
      <c r="AC753" s="1589" t="s">
        <v>968</v>
      </c>
      <c r="AD753" s="1588"/>
      <c r="AE753" s="1588"/>
      <c r="AF753" s="1588"/>
      <c r="AG753" s="1590"/>
      <c r="AH753" s="2373">
        <f>BI696</f>
        <v>0.6</v>
      </c>
      <c r="AI753" s="2374"/>
      <c r="AJ753" s="2374"/>
      <c r="AK753" s="2374"/>
      <c r="AL753" s="2375"/>
      <c r="AM753" s="2373">
        <f>BI728</f>
        <v>0.60010226527436983</v>
      </c>
      <c r="AN753" s="2374"/>
      <c r="AO753" s="237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0" t="s">
        <v>625</v>
      </c>
      <c r="AG755" s="2440"/>
      <c r="AH755" s="244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7" t="s">
        <v>406</v>
      </c>
      <c r="K768" s="2118"/>
      <c r="L768" s="2118"/>
      <c r="M768" s="2118"/>
      <c r="N768" s="2119"/>
      <c r="O768" s="2311" t="s">
        <v>291</v>
      </c>
      <c r="P768" s="2311"/>
      <c r="Q768" s="2311"/>
      <c r="R768" s="2311"/>
      <c r="S768" s="2311"/>
      <c r="T768" s="2296" t="s">
        <v>2153</v>
      </c>
      <c r="U768" s="2297"/>
      <c r="V768" s="2297"/>
      <c r="W768" s="2298"/>
      <c r="X768" s="2117" t="s">
        <v>477</v>
      </c>
      <c r="Y768" s="2118"/>
      <c r="Z768" s="2118"/>
      <c r="AA768" s="2118"/>
      <c r="AB768" s="2119"/>
      <c r="AC768" s="2117" t="s">
        <v>292</v>
      </c>
      <c r="AD768" s="2118"/>
      <c r="AE768" s="2118"/>
      <c r="AF768" s="2118"/>
      <c r="AG768" s="211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0"/>
      <c r="K769" s="2121"/>
      <c r="L769" s="2121"/>
      <c r="M769" s="2121"/>
      <c r="N769" s="2122"/>
      <c r="O769" s="2311"/>
      <c r="P769" s="2311"/>
      <c r="Q769" s="2311"/>
      <c r="R769" s="2311"/>
      <c r="S769" s="2311"/>
      <c r="T769" s="2299"/>
      <c r="U769" s="2300"/>
      <c r="V769" s="2300"/>
      <c r="W769" s="2301"/>
      <c r="X769" s="2120"/>
      <c r="Y769" s="2121"/>
      <c r="Z769" s="2121"/>
      <c r="AA769" s="2121"/>
      <c r="AB769" s="2122"/>
      <c r="AC769" s="2120"/>
      <c r="AD769" s="2121"/>
      <c r="AE769" s="2121"/>
      <c r="AF769" s="2121"/>
      <c r="AG769" s="212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0"/>
      <c r="K770" s="2121"/>
      <c r="L770" s="2121"/>
      <c r="M770" s="2121"/>
      <c r="N770" s="2122"/>
      <c r="O770" s="2311"/>
      <c r="P770" s="2311"/>
      <c r="Q770" s="2311"/>
      <c r="R770" s="2311"/>
      <c r="S770" s="2311"/>
      <c r="T770" s="2299"/>
      <c r="U770" s="2300"/>
      <c r="V770" s="2300"/>
      <c r="W770" s="2301"/>
      <c r="X770" s="2120"/>
      <c r="Y770" s="2121"/>
      <c r="Z770" s="2121"/>
      <c r="AA770" s="2121"/>
      <c r="AB770" s="2122"/>
      <c r="AC770" s="2120"/>
      <c r="AD770" s="2121"/>
      <c r="AE770" s="2121"/>
      <c r="AF770" s="2121"/>
      <c r="AG770" s="212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3"/>
      <c r="K771" s="2124"/>
      <c r="L771" s="2124"/>
      <c r="M771" s="2124"/>
      <c r="N771" s="2125"/>
      <c r="O771" s="2311"/>
      <c r="P771" s="2311"/>
      <c r="Q771" s="2311"/>
      <c r="R771" s="2311"/>
      <c r="S771" s="2311"/>
      <c r="T771" s="2302"/>
      <c r="U771" s="2303"/>
      <c r="V771" s="2303"/>
      <c r="W771" s="2304"/>
      <c r="X771" s="2123"/>
      <c r="Y771" s="2124"/>
      <c r="Z771" s="2124"/>
      <c r="AA771" s="2124"/>
      <c r="AB771" s="2125"/>
      <c r="AC771" s="2123"/>
      <c r="AD771" s="2124"/>
      <c r="AE771" s="2124"/>
      <c r="AF771" s="2124"/>
      <c r="AG771" s="212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5" t="s">
        <v>169</v>
      </c>
      <c r="K772" s="2046"/>
      <c r="L772" s="2046"/>
      <c r="M772" s="2046"/>
      <c r="N772" s="2047"/>
      <c r="O772" s="2084">
        <v>1</v>
      </c>
      <c r="P772" s="2084"/>
      <c r="Q772" s="2084"/>
      <c r="R772" s="2084"/>
      <c r="S772" s="2084"/>
      <c r="T772" s="2077">
        <v>914</v>
      </c>
      <c r="U772" s="2078"/>
      <c r="V772" s="2078"/>
      <c r="W772" s="2079"/>
      <c r="X772" s="2068"/>
      <c r="Y772" s="2069"/>
      <c r="Z772" s="2069"/>
      <c r="AA772" s="2069"/>
      <c r="AB772" s="2070"/>
      <c r="AC772" s="2147">
        <f>X772*O772</f>
        <v>0</v>
      </c>
      <c r="AD772" s="2148"/>
      <c r="AE772" s="2148"/>
      <c r="AF772" s="2148"/>
      <c r="AG772" s="214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084"/>
      <c r="P773" s="2084"/>
      <c r="Q773" s="2084"/>
      <c r="R773" s="2084"/>
      <c r="S773" s="2084"/>
      <c r="T773" s="2077"/>
      <c r="U773" s="2078"/>
      <c r="V773" s="2078"/>
      <c r="W773" s="2079"/>
      <c r="X773" s="2068"/>
      <c r="Y773" s="2069"/>
      <c r="Z773" s="2069"/>
      <c r="AA773" s="2069"/>
      <c r="AB773" s="2070"/>
      <c r="AC773" s="2147">
        <f>X773*O773</f>
        <v>0</v>
      </c>
      <c r="AD773" s="2148"/>
      <c r="AE773" s="2148"/>
      <c r="AF773" s="2148"/>
      <c r="AG773" s="214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084"/>
      <c r="P774" s="2084"/>
      <c r="Q774" s="2084"/>
      <c r="R774" s="2084"/>
      <c r="S774" s="2084"/>
      <c r="T774" s="2077"/>
      <c r="U774" s="2078"/>
      <c r="V774" s="2078"/>
      <c r="W774" s="2079"/>
      <c r="X774" s="2068"/>
      <c r="Y774" s="2069"/>
      <c r="Z774" s="2069"/>
      <c r="AA774" s="2069"/>
      <c r="AB774" s="2070"/>
      <c r="AC774" s="2147">
        <f>X774*O774</f>
        <v>0</v>
      </c>
      <c r="AD774" s="2148"/>
      <c r="AE774" s="2148"/>
      <c r="AF774" s="2148"/>
      <c r="AG774" s="214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084"/>
      <c r="P775" s="2084"/>
      <c r="Q775" s="2084"/>
      <c r="R775" s="2084"/>
      <c r="S775" s="2084"/>
      <c r="T775" s="2077"/>
      <c r="U775" s="2078"/>
      <c r="V775" s="2078"/>
      <c r="W775" s="2079"/>
      <c r="X775" s="2068"/>
      <c r="Y775" s="2069"/>
      <c r="Z775" s="2069"/>
      <c r="AA775" s="2069"/>
      <c r="AB775" s="2070"/>
      <c r="AC775" s="2147">
        <f>X775*O775</f>
        <v>0</v>
      </c>
      <c r="AD775" s="2148"/>
      <c r="AE775" s="2148"/>
      <c r="AF775" s="2148"/>
      <c r="AG775" s="214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3" t="s">
        <v>130</v>
      </c>
      <c r="K776" s="2194"/>
      <c r="L776" s="2194"/>
      <c r="M776" s="2194"/>
      <c r="N776" s="2196"/>
      <c r="O776" s="2313">
        <f>SUM(O772:S775)</f>
        <v>1</v>
      </c>
      <c r="P776" s="2314"/>
      <c r="Q776" s="2314"/>
      <c r="R776" s="2314"/>
      <c r="S776" s="2315"/>
      <c r="X776" s="2393" t="s">
        <v>129</v>
      </c>
      <c r="Y776" s="2394"/>
      <c r="Z776" s="2394"/>
      <c r="AA776" s="2394"/>
      <c r="AB776" s="2395"/>
      <c r="AC776" s="2147">
        <f>SUM(AC772:AG775)</f>
        <v>0</v>
      </c>
      <c r="AD776" s="2148"/>
      <c r="AE776" s="2148"/>
      <c r="AF776" s="2148"/>
      <c r="AG776" s="214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4" t="s">
        <v>705</v>
      </c>
      <c r="K778" s="206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7" t="s">
        <v>406</v>
      </c>
      <c r="K782" s="2118"/>
      <c r="L782" s="2118"/>
      <c r="M782" s="2118"/>
      <c r="N782" s="2119"/>
      <c r="O782" s="2311" t="s">
        <v>291</v>
      </c>
      <c r="P782" s="2311"/>
      <c r="Q782" s="2311"/>
      <c r="R782" s="2311"/>
      <c r="S782" s="2311"/>
      <c r="T782" s="2296" t="s">
        <v>2153</v>
      </c>
      <c r="U782" s="2297"/>
      <c r="V782" s="2297"/>
      <c r="W782" s="2298"/>
      <c r="X782" s="2117" t="s">
        <v>477</v>
      </c>
      <c r="Y782" s="2118"/>
      <c r="Z782" s="2118"/>
      <c r="AA782" s="2118"/>
      <c r="AB782" s="2119"/>
      <c r="AC782" s="2117" t="s">
        <v>292</v>
      </c>
      <c r="AD782" s="2118"/>
      <c r="AE782" s="2118"/>
      <c r="AF782" s="2118"/>
      <c r="AG782" s="2119"/>
      <c r="AH782" s="2277" t="s">
        <v>2393</v>
      </c>
      <c r="AI782" s="2118"/>
      <c r="AJ782" s="2118"/>
      <c r="AK782" s="2118"/>
      <c r="AL782" s="211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0"/>
      <c r="K783" s="2121"/>
      <c r="L783" s="2121"/>
      <c r="M783" s="2121"/>
      <c r="N783" s="2122"/>
      <c r="O783" s="2311"/>
      <c r="P783" s="2311"/>
      <c r="Q783" s="2311"/>
      <c r="R783" s="2311"/>
      <c r="S783" s="2311"/>
      <c r="T783" s="2299"/>
      <c r="U783" s="2300"/>
      <c r="V783" s="2300"/>
      <c r="W783" s="2301"/>
      <c r="X783" s="2120"/>
      <c r="Y783" s="2121"/>
      <c r="Z783" s="2121"/>
      <c r="AA783" s="2121"/>
      <c r="AB783" s="2122"/>
      <c r="AC783" s="2120"/>
      <c r="AD783" s="2121"/>
      <c r="AE783" s="2121"/>
      <c r="AF783" s="2121"/>
      <c r="AG783" s="2122"/>
      <c r="AH783" s="2120"/>
      <c r="AI783" s="2121"/>
      <c r="AJ783" s="2121"/>
      <c r="AK783" s="2121"/>
      <c r="AL783" s="212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0"/>
      <c r="K784" s="2121"/>
      <c r="L784" s="2121"/>
      <c r="M784" s="2121"/>
      <c r="N784" s="2122"/>
      <c r="O784" s="2311"/>
      <c r="P784" s="2311"/>
      <c r="Q784" s="2311"/>
      <c r="R784" s="2311"/>
      <c r="S784" s="2311"/>
      <c r="T784" s="2299"/>
      <c r="U784" s="2300"/>
      <c r="V784" s="2300"/>
      <c r="W784" s="2301"/>
      <c r="X784" s="2120"/>
      <c r="Y784" s="2121"/>
      <c r="Z784" s="2121"/>
      <c r="AA784" s="2121"/>
      <c r="AB784" s="2122"/>
      <c r="AC784" s="2120"/>
      <c r="AD784" s="2121"/>
      <c r="AE784" s="2121"/>
      <c r="AF784" s="2121"/>
      <c r="AG784" s="2122"/>
      <c r="AH784" s="2120"/>
      <c r="AI784" s="2121"/>
      <c r="AJ784" s="2121"/>
      <c r="AK784" s="2121"/>
      <c r="AL784" s="212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3"/>
      <c r="K785" s="2124"/>
      <c r="L785" s="2124"/>
      <c r="M785" s="2124"/>
      <c r="N785" s="2125"/>
      <c r="O785" s="2311"/>
      <c r="P785" s="2311"/>
      <c r="Q785" s="2311"/>
      <c r="R785" s="2311"/>
      <c r="S785" s="2311"/>
      <c r="T785" s="2302"/>
      <c r="U785" s="2303"/>
      <c r="V785" s="2303"/>
      <c r="W785" s="2304"/>
      <c r="X785" s="2123"/>
      <c r="Y785" s="2124"/>
      <c r="Z785" s="2124"/>
      <c r="AA785" s="2124"/>
      <c r="AB785" s="2125"/>
      <c r="AC785" s="2123"/>
      <c r="AD785" s="2124"/>
      <c r="AE785" s="2124"/>
      <c r="AF785" s="2124"/>
      <c r="AG785" s="2125"/>
      <c r="AH785" s="2123"/>
      <c r="AI785" s="2124"/>
      <c r="AJ785" s="2124"/>
      <c r="AK785" s="2124"/>
      <c r="AL785" s="212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084"/>
      <c r="P786" s="2084"/>
      <c r="Q786" s="2084"/>
      <c r="R786" s="2084"/>
      <c r="S786" s="2084"/>
      <c r="T786" s="2077"/>
      <c r="U786" s="2078"/>
      <c r="V786" s="2078"/>
      <c r="W786" s="2079"/>
      <c r="X786" s="2068"/>
      <c r="Y786" s="2069"/>
      <c r="Z786" s="2069"/>
      <c r="AA786" s="2069"/>
      <c r="AB786" s="2070"/>
      <c r="AC786" s="2147">
        <f t="shared" ref="AC786:AC795" si="50">X786*O786</f>
        <v>0</v>
      </c>
      <c r="AD786" s="2148"/>
      <c r="AE786" s="2148"/>
      <c r="AF786" s="2148"/>
      <c r="AG786" s="2149"/>
      <c r="AH786" s="2278"/>
      <c r="AI786" s="2279"/>
      <c r="AJ786" s="2279"/>
      <c r="AK786" s="2279"/>
      <c r="AL786" s="228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084"/>
      <c r="P787" s="2084"/>
      <c r="Q787" s="2084"/>
      <c r="R787" s="2084"/>
      <c r="S787" s="2084"/>
      <c r="T787" s="2077"/>
      <c r="U787" s="2078"/>
      <c r="V787" s="2078"/>
      <c r="W787" s="2079"/>
      <c r="X787" s="2068"/>
      <c r="Y787" s="2069"/>
      <c r="Z787" s="2069"/>
      <c r="AA787" s="2069"/>
      <c r="AB787" s="2070"/>
      <c r="AC787" s="2147">
        <f t="shared" si="50"/>
        <v>0</v>
      </c>
      <c r="AD787" s="2148"/>
      <c r="AE787" s="2148"/>
      <c r="AF787" s="2148"/>
      <c r="AG787" s="2149"/>
      <c r="AH787" s="2278"/>
      <c r="AI787" s="2279"/>
      <c r="AJ787" s="2279"/>
      <c r="AK787" s="2279"/>
      <c r="AL787" s="228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084"/>
      <c r="P788" s="2084"/>
      <c r="Q788" s="2084"/>
      <c r="R788" s="2084"/>
      <c r="S788" s="2084"/>
      <c r="T788" s="2077"/>
      <c r="U788" s="2078"/>
      <c r="V788" s="2078"/>
      <c r="W788" s="2079"/>
      <c r="X788" s="2068"/>
      <c r="Y788" s="2069"/>
      <c r="Z788" s="2069"/>
      <c r="AA788" s="2069"/>
      <c r="AB788" s="2070"/>
      <c r="AC788" s="2147">
        <f t="shared" si="50"/>
        <v>0</v>
      </c>
      <c r="AD788" s="2148"/>
      <c r="AE788" s="2148"/>
      <c r="AF788" s="2148"/>
      <c r="AG788" s="2149"/>
      <c r="AH788" s="2278"/>
      <c r="AI788" s="2279"/>
      <c r="AJ788" s="2279"/>
      <c r="AK788" s="2279"/>
      <c r="AL788" s="228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084"/>
      <c r="P789" s="2084"/>
      <c r="Q789" s="2084"/>
      <c r="R789" s="2084"/>
      <c r="S789" s="2084"/>
      <c r="T789" s="2077"/>
      <c r="U789" s="2078"/>
      <c r="V789" s="2078"/>
      <c r="W789" s="2079"/>
      <c r="X789" s="2068"/>
      <c r="Y789" s="2069"/>
      <c r="Z789" s="2069"/>
      <c r="AA789" s="2069"/>
      <c r="AB789" s="2070"/>
      <c r="AC789" s="2147">
        <f t="shared" si="50"/>
        <v>0</v>
      </c>
      <c r="AD789" s="2148"/>
      <c r="AE789" s="2148"/>
      <c r="AF789" s="2148"/>
      <c r="AG789" s="2149"/>
      <c r="AH789" s="2278"/>
      <c r="AI789" s="2279"/>
      <c r="AJ789" s="2279"/>
      <c r="AK789" s="2279"/>
      <c r="AL789" s="228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084"/>
      <c r="P790" s="2084"/>
      <c r="Q790" s="2084"/>
      <c r="R790" s="2084"/>
      <c r="S790" s="2084"/>
      <c r="T790" s="2077"/>
      <c r="U790" s="2078"/>
      <c r="V790" s="2078"/>
      <c r="W790" s="2079"/>
      <c r="X790" s="2068"/>
      <c r="Y790" s="2069"/>
      <c r="Z790" s="2069"/>
      <c r="AA790" s="2069"/>
      <c r="AB790" s="2070"/>
      <c r="AC790" s="2147">
        <f t="shared" si="50"/>
        <v>0</v>
      </c>
      <c r="AD790" s="2148"/>
      <c r="AE790" s="2148"/>
      <c r="AF790" s="2148"/>
      <c r="AG790" s="2149"/>
      <c r="AH790" s="2278"/>
      <c r="AI790" s="2279"/>
      <c r="AJ790" s="2279"/>
      <c r="AK790" s="2279"/>
      <c r="AL790" s="228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084"/>
      <c r="P791" s="2084"/>
      <c r="Q791" s="2084"/>
      <c r="R791" s="2084"/>
      <c r="S791" s="2084"/>
      <c r="T791" s="2077"/>
      <c r="U791" s="2078"/>
      <c r="V791" s="2078"/>
      <c r="W791" s="2079"/>
      <c r="X791" s="2068"/>
      <c r="Y791" s="2069"/>
      <c r="Z791" s="2069"/>
      <c r="AA791" s="2069"/>
      <c r="AB791" s="2070"/>
      <c r="AC791" s="2147">
        <f t="shared" si="50"/>
        <v>0</v>
      </c>
      <c r="AD791" s="2148"/>
      <c r="AE791" s="2148"/>
      <c r="AF791" s="2148"/>
      <c r="AG791" s="2149"/>
      <c r="AH791" s="2278"/>
      <c r="AI791" s="2279"/>
      <c r="AJ791" s="2279"/>
      <c r="AK791" s="2279"/>
      <c r="AL791" s="228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084"/>
      <c r="P792" s="2084"/>
      <c r="Q792" s="2084"/>
      <c r="R792" s="2084"/>
      <c r="S792" s="2084"/>
      <c r="T792" s="2077"/>
      <c r="U792" s="2078"/>
      <c r="V792" s="2078"/>
      <c r="W792" s="2079"/>
      <c r="X792" s="2068"/>
      <c r="Y792" s="2069"/>
      <c r="Z792" s="2069"/>
      <c r="AA792" s="2069"/>
      <c r="AB792" s="2070"/>
      <c r="AC792" s="2147">
        <f t="shared" si="50"/>
        <v>0</v>
      </c>
      <c r="AD792" s="2148"/>
      <c r="AE792" s="2148"/>
      <c r="AF792" s="2148"/>
      <c r="AG792" s="2149"/>
      <c r="AH792" s="2278"/>
      <c r="AI792" s="2279"/>
      <c r="AJ792" s="2279"/>
      <c r="AK792" s="2279"/>
      <c r="AL792" s="228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084"/>
      <c r="P793" s="2084"/>
      <c r="Q793" s="2084"/>
      <c r="R793" s="2084"/>
      <c r="S793" s="2084"/>
      <c r="T793" s="2077"/>
      <c r="U793" s="2078"/>
      <c r="V793" s="2078"/>
      <c r="W793" s="2079"/>
      <c r="X793" s="2068"/>
      <c r="Y793" s="2069"/>
      <c r="Z793" s="2069"/>
      <c r="AA793" s="2069"/>
      <c r="AB793" s="2070"/>
      <c r="AC793" s="2147">
        <f t="shared" si="50"/>
        <v>0</v>
      </c>
      <c r="AD793" s="2148"/>
      <c r="AE793" s="2148"/>
      <c r="AF793" s="2148"/>
      <c r="AG793" s="2149"/>
      <c r="AH793" s="2278"/>
      <c r="AI793" s="2279"/>
      <c r="AJ793" s="2279"/>
      <c r="AK793" s="2279"/>
      <c r="AL793" s="228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084"/>
      <c r="P794" s="2084"/>
      <c r="Q794" s="2084"/>
      <c r="R794" s="2084"/>
      <c r="S794" s="2084"/>
      <c r="T794" s="2077"/>
      <c r="U794" s="2078"/>
      <c r="V794" s="2078"/>
      <c r="W794" s="2079"/>
      <c r="X794" s="2068"/>
      <c r="Y794" s="2069"/>
      <c r="Z794" s="2069"/>
      <c r="AA794" s="2069"/>
      <c r="AB794" s="2070"/>
      <c r="AC794" s="2147">
        <f t="shared" si="50"/>
        <v>0</v>
      </c>
      <c r="AD794" s="2148"/>
      <c r="AE794" s="2148"/>
      <c r="AF794" s="2148"/>
      <c r="AG794" s="2149"/>
      <c r="AH794" s="2278"/>
      <c r="AI794" s="2279"/>
      <c r="AJ794" s="2279"/>
      <c r="AK794" s="2279"/>
      <c r="AL794" s="228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084"/>
      <c r="P795" s="2084"/>
      <c r="Q795" s="2084"/>
      <c r="R795" s="2084"/>
      <c r="S795" s="2084"/>
      <c r="T795" s="2077"/>
      <c r="U795" s="2078"/>
      <c r="V795" s="2078"/>
      <c r="W795" s="2079"/>
      <c r="X795" s="2068"/>
      <c r="Y795" s="2069"/>
      <c r="Z795" s="2069"/>
      <c r="AA795" s="2069"/>
      <c r="AB795" s="2070"/>
      <c r="AC795" s="2147">
        <f t="shared" si="50"/>
        <v>0</v>
      </c>
      <c r="AD795" s="2148"/>
      <c r="AE795" s="2148"/>
      <c r="AF795" s="2148"/>
      <c r="AG795" s="2149"/>
      <c r="AH795" s="2278"/>
      <c r="AI795" s="2279"/>
      <c r="AJ795" s="2279"/>
      <c r="AK795" s="2279"/>
      <c r="AL795" s="228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3" t="s">
        <v>130</v>
      </c>
      <c r="K796" s="2194"/>
      <c r="L796" s="2194"/>
      <c r="M796" s="2194"/>
      <c r="N796" s="2196"/>
      <c r="O796" s="2312">
        <f>SUM(O786:S795)</f>
        <v>0</v>
      </c>
      <c r="P796" s="2312"/>
      <c r="Q796" s="2312"/>
      <c r="R796" s="2312"/>
      <c r="S796" s="2312"/>
      <c r="X796" s="1602" t="s">
        <v>129</v>
      </c>
      <c r="Y796" s="1603"/>
      <c r="Z796" s="1603"/>
      <c r="AA796" s="1603"/>
      <c r="AB796" s="1604"/>
      <c r="AC796" s="2147">
        <f>SUM(AC786:AG795)</f>
        <v>0</v>
      </c>
      <c r="AD796" s="2148"/>
      <c r="AE796" s="2148"/>
      <c r="AF796" s="2148"/>
      <c r="AG796" s="214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0">
        <f>T753+AC776+AC796</f>
        <v>221677</v>
      </c>
      <c r="Z798" s="2140"/>
      <c r="AA798" s="2140"/>
      <c r="AB798" s="2140"/>
      <c r="AC798" s="214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0">
        <f>(T753+AC776+AC796)*12</f>
        <v>2660124</v>
      </c>
      <c r="Z799" s="2140"/>
      <c r="AA799" s="2140"/>
      <c r="AB799" s="2140"/>
      <c r="AC799" s="2140"/>
      <c r="AZ799" s="58"/>
      <c r="BA799" s="51" t="s">
        <v>666</v>
      </c>
      <c r="BB799" s="51"/>
      <c r="BC799" s="51"/>
      <c r="BD799" s="51"/>
      <c r="BE799" s="51"/>
      <c r="BF799" s="51"/>
      <c r="BG799" s="51"/>
      <c r="BH799" s="51"/>
      <c r="BI799" s="51"/>
      <c r="BJ799" s="51"/>
      <c r="BK799" s="51"/>
      <c r="BL799" s="51"/>
      <c r="BM799" s="51"/>
      <c r="BN799" s="2368" t="s">
        <v>501</v>
      </c>
      <c r="BO799" s="2369"/>
      <c r="BP799" s="58"/>
      <c r="BQ799" s="58"/>
      <c r="BR799" s="58"/>
      <c r="BS799" s="51" t="s">
        <v>668</v>
      </c>
      <c r="BT799" s="51"/>
      <c r="BU799" s="51"/>
      <c r="BV799" s="51"/>
      <c r="BW799" s="51"/>
      <c r="BX799" s="51"/>
      <c r="BY799" s="51"/>
      <c r="BZ799" s="51"/>
      <c r="CA799" s="51"/>
      <c r="CB799" s="2365" t="str">
        <f>T189</f>
        <v>Sonoma</v>
      </c>
      <c r="CC799" s="2366"/>
      <c r="CD799" s="2366"/>
      <c r="CE799" s="2366"/>
      <c r="CF799" s="2366"/>
      <c r="CG799" s="2366"/>
      <c r="CH799" s="236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3"/>
      <c r="AA804" s="2274"/>
      <c r="AB804" s="2274"/>
      <c r="AC804" s="2274"/>
      <c r="AD804" s="2274"/>
      <c r="AE804" s="22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6"/>
      <c r="AA805" s="2274"/>
      <c r="AB805" s="2274"/>
      <c r="AC805" s="2274"/>
      <c r="AD805" s="2274"/>
      <c r="AE805" s="22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0">
        <v>0</v>
      </c>
      <c r="AA806" s="2335"/>
      <c r="AB806" s="2335"/>
      <c r="AC806" s="2335"/>
      <c r="AD806" s="2335"/>
      <c r="AE806" s="233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1">
        <f>'Subsidy Contract Calculation'!I30</f>
        <v>0</v>
      </c>
      <c r="AA807" s="2142"/>
      <c r="AB807" s="2142"/>
      <c r="AC807" s="2142"/>
      <c r="AD807" s="2142"/>
      <c r="AE807" s="214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19296</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6" t="s">
        <v>2605</v>
      </c>
      <c r="Q814" s="2317"/>
      <c r="R814" s="2317"/>
      <c r="S814" s="2317"/>
      <c r="T814" s="2317"/>
      <c r="U814" s="2317"/>
      <c r="V814" s="2317"/>
      <c r="W814" s="2317"/>
      <c r="X814" s="2317"/>
      <c r="Y814" s="2318"/>
      <c r="Z814" s="2030">
        <v>6432</v>
      </c>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1">
        <f>SUM(Z811:AE814)</f>
        <v>25728</v>
      </c>
      <c r="AA815" s="2142"/>
      <c r="AB815" s="2142"/>
      <c r="AC815" s="2142"/>
      <c r="AD815" s="2142"/>
      <c r="AE815" s="214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1">
        <f>Z815+Y799+Z807</f>
        <v>2685852</v>
      </c>
      <c r="AA816" s="2142"/>
      <c r="AB816" s="2142"/>
      <c r="AC816" s="2142"/>
      <c r="AD816" s="2142"/>
      <c r="AE816" s="214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1" t="s">
        <v>131</v>
      </c>
      <c r="N821" s="2281"/>
      <c r="O821" s="2281"/>
      <c r="P821" s="2282"/>
      <c r="Q821" s="2288" t="s">
        <v>298</v>
      </c>
      <c r="R821" s="2288"/>
      <c r="S821" s="2288"/>
      <c r="T821" s="2288"/>
      <c r="U821" s="2288" t="s">
        <v>299</v>
      </c>
      <c r="V821" s="2288"/>
      <c r="W821" s="2288"/>
      <c r="X821" s="2288"/>
      <c r="Y821" s="2288" t="s">
        <v>300</v>
      </c>
      <c r="Z821" s="2288"/>
      <c r="AA821" s="2288"/>
      <c r="AB821" s="2288"/>
      <c r="AC821" s="2288" t="s">
        <v>371</v>
      </c>
      <c r="AD821" s="2288"/>
      <c r="AE821" s="2288"/>
      <c r="AF821" s="2288"/>
      <c r="AG821" s="2436" t="s">
        <v>344</v>
      </c>
      <c r="AH821" s="2436"/>
      <c r="AI821" s="2436"/>
      <c r="AJ821" s="243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3"/>
      <c r="N822" s="2283"/>
      <c r="O822" s="2283"/>
      <c r="P822" s="2284"/>
      <c r="Q822" s="2288"/>
      <c r="R822" s="2288"/>
      <c r="S822" s="2288"/>
      <c r="T822" s="2288"/>
      <c r="U822" s="2288"/>
      <c r="V822" s="2288"/>
      <c r="W822" s="2288"/>
      <c r="X822" s="2288"/>
      <c r="Y822" s="2288"/>
      <c r="Z822" s="2288"/>
      <c r="AA822" s="2288"/>
      <c r="AB822" s="2288"/>
      <c r="AC822" s="2288"/>
      <c r="AD822" s="2288"/>
      <c r="AE822" s="2288"/>
      <c r="AF822" s="2288"/>
      <c r="AG822" s="2436"/>
      <c r="AH822" s="2436"/>
      <c r="AI822" s="2436"/>
      <c r="AJ822" s="243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1" t="s">
        <v>43</v>
      </c>
      <c r="D823" s="2362"/>
      <c r="E823" s="2362"/>
      <c r="F823" s="2362"/>
      <c r="G823" s="2362"/>
      <c r="H823" s="2362"/>
      <c r="I823" s="80"/>
      <c r="J823" s="80"/>
      <c r="K823" s="80"/>
      <c r="L823" s="81"/>
      <c r="M823" s="2272"/>
      <c r="N823" s="2272"/>
      <c r="O823" s="2272"/>
      <c r="P823" s="2272"/>
      <c r="Q823" s="2272"/>
      <c r="R823" s="2272"/>
      <c r="S823" s="2272"/>
      <c r="T823" s="2272"/>
      <c r="U823" s="2272">
        <v>65</v>
      </c>
      <c r="V823" s="2272"/>
      <c r="W823" s="2272"/>
      <c r="X823" s="2272"/>
      <c r="Y823" s="2272">
        <v>81</v>
      </c>
      <c r="Z823" s="2272"/>
      <c r="AA823" s="2272"/>
      <c r="AB823" s="2272"/>
      <c r="AC823" s="2258"/>
      <c r="AD823" s="2259"/>
      <c r="AE823" s="2259"/>
      <c r="AF823" s="2260"/>
      <c r="AG823" s="2258"/>
      <c r="AH823" s="2259"/>
      <c r="AI823" s="2259"/>
      <c r="AJ823" s="226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3" t="s">
        <v>44</v>
      </c>
      <c r="D824" s="2071"/>
      <c r="E824" s="2071"/>
      <c r="F824" s="2071"/>
      <c r="G824" s="2071"/>
      <c r="H824" s="2071"/>
      <c r="I824" s="77"/>
      <c r="J824" s="77"/>
      <c r="K824" s="77"/>
      <c r="L824" s="78"/>
      <c r="M824" s="2272"/>
      <c r="N824" s="2272"/>
      <c r="O824" s="2272"/>
      <c r="P824" s="2272"/>
      <c r="Q824" s="2272"/>
      <c r="R824" s="2272"/>
      <c r="S824" s="2272"/>
      <c r="T824" s="2272"/>
      <c r="U824" s="2272"/>
      <c r="V824" s="2272"/>
      <c r="W824" s="2272"/>
      <c r="X824" s="2272"/>
      <c r="Y824" s="2272"/>
      <c r="Z824" s="2272"/>
      <c r="AA824" s="2272"/>
      <c r="AB824" s="2272"/>
      <c r="AC824" s="2258"/>
      <c r="AD824" s="2259"/>
      <c r="AE824" s="2259"/>
      <c r="AF824" s="2260"/>
      <c r="AG824" s="2258"/>
      <c r="AH824" s="2259"/>
      <c r="AI824" s="2259"/>
      <c r="AJ824" s="226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3" t="s">
        <v>45</v>
      </c>
      <c r="D825" s="2071"/>
      <c r="E825" s="2071"/>
      <c r="F825" s="2071"/>
      <c r="G825" s="2071"/>
      <c r="H825" s="2071"/>
      <c r="I825" s="96"/>
      <c r="J825" s="96"/>
      <c r="K825" s="96"/>
      <c r="L825" s="97"/>
      <c r="M825" s="2272"/>
      <c r="N825" s="2272"/>
      <c r="O825" s="2272"/>
      <c r="P825" s="2272"/>
      <c r="Q825" s="2272"/>
      <c r="R825" s="2272"/>
      <c r="S825" s="2272"/>
      <c r="T825" s="2272"/>
      <c r="U825" s="2272">
        <v>14</v>
      </c>
      <c r="V825" s="2272"/>
      <c r="W825" s="2272"/>
      <c r="X825" s="2272"/>
      <c r="Y825" s="2272">
        <v>18</v>
      </c>
      <c r="Z825" s="2272"/>
      <c r="AA825" s="2272"/>
      <c r="AB825" s="2272"/>
      <c r="AC825" s="2258"/>
      <c r="AD825" s="2259"/>
      <c r="AE825" s="2259"/>
      <c r="AF825" s="2260"/>
      <c r="AG825" s="2258"/>
      <c r="AH825" s="2259"/>
      <c r="AI825" s="2259"/>
      <c r="AJ825" s="226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3" t="s">
        <v>819</v>
      </c>
      <c r="D826" s="2071"/>
      <c r="E826" s="2071"/>
      <c r="F826" s="2071"/>
      <c r="G826" s="2071"/>
      <c r="H826" s="2071"/>
      <c r="I826" s="96"/>
      <c r="J826" s="96"/>
      <c r="K826" s="96"/>
      <c r="L826" s="97"/>
      <c r="M826" s="2272"/>
      <c r="N826" s="2272"/>
      <c r="O826" s="2272"/>
      <c r="P826" s="2272"/>
      <c r="Q826" s="2272"/>
      <c r="R826" s="2272"/>
      <c r="S826" s="2272"/>
      <c r="T826" s="2272"/>
      <c r="U826" s="2272"/>
      <c r="V826" s="2272"/>
      <c r="W826" s="2272"/>
      <c r="X826" s="2272"/>
      <c r="Y826" s="2272"/>
      <c r="Z826" s="2272"/>
      <c r="AA826" s="2272"/>
      <c r="AB826" s="2272"/>
      <c r="AC826" s="2258"/>
      <c r="AD826" s="2259"/>
      <c r="AE826" s="2259"/>
      <c r="AF826" s="2260"/>
      <c r="AG826" s="2258"/>
      <c r="AH826" s="2259"/>
      <c r="AI826" s="2259"/>
      <c r="AJ826" s="226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3" t="s">
        <v>491</v>
      </c>
      <c r="D827" s="2071"/>
      <c r="E827" s="2071"/>
      <c r="F827" s="2071"/>
      <c r="G827" s="2071"/>
      <c r="H827" s="2071"/>
      <c r="I827" s="96"/>
      <c r="J827" s="96"/>
      <c r="K827" s="96"/>
      <c r="L827" s="97"/>
      <c r="M827" s="2272"/>
      <c r="N827" s="2272"/>
      <c r="O827" s="2272"/>
      <c r="P827" s="2272"/>
      <c r="Q827" s="2272"/>
      <c r="R827" s="2272"/>
      <c r="S827" s="2272"/>
      <c r="T827" s="2272"/>
      <c r="U827" s="2272">
        <v>35</v>
      </c>
      <c r="V827" s="2272"/>
      <c r="W827" s="2272"/>
      <c r="X827" s="2272"/>
      <c r="Y827" s="2272">
        <v>39</v>
      </c>
      <c r="Z827" s="2272"/>
      <c r="AA827" s="2272"/>
      <c r="AB827" s="2272"/>
      <c r="AC827" s="2258"/>
      <c r="AD827" s="2259"/>
      <c r="AE827" s="2259"/>
      <c r="AF827" s="2260"/>
      <c r="AG827" s="2258"/>
      <c r="AH827" s="2259"/>
      <c r="AI827" s="2259"/>
      <c r="AJ827" s="226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5" t="s">
        <v>840</v>
      </c>
      <c r="D828" s="2071"/>
      <c r="E828" s="2071"/>
      <c r="F828" s="2071"/>
      <c r="G828" s="2071"/>
      <c r="H828" s="2071"/>
      <c r="I828" s="96"/>
      <c r="J828" s="96"/>
      <c r="K828" s="96"/>
      <c r="L828" s="97"/>
      <c r="M828" s="2272"/>
      <c r="N828" s="2272"/>
      <c r="O828" s="2272"/>
      <c r="P828" s="2272"/>
      <c r="Q828" s="2272"/>
      <c r="R828" s="2272"/>
      <c r="S828" s="2272"/>
      <c r="T828" s="2272"/>
      <c r="U828" s="2272"/>
      <c r="V828" s="2272"/>
      <c r="W828" s="2272"/>
      <c r="X828" s="2272"/>
      <c r="Y828" s="2272"/>
      <c r="Z828" s="2272"/>
      <c r="AA828" s="2272"/>
      <c r="AB828" s="2272"/>
      <c r="AC828" s="2258"/>
      <c r="AD828" s="2259"/>
      <c r="AE828" s="2259"/>
      <c r="AF828" s="2260"/>
      <c r="AG828" s="2258"/>
      <c r="AH828" s="2259"/>
      <c r="AI828" s="2259"/>
      <c r="AJ828" s="226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93" t="s">
        <v>343</v>
      </c>
      <c r="G829" s="2294"/>
      <c r="H829" s="2294"/>
      <c r="I829" s="2294"/>
      <c r="J829" s="2294"/>
      <c r="K829" s="2294"/>
      <c r="L829" s="2295"/>
      <c r="M829" s="2272"/>
      <c r="N829" s="2272"/>
      <c r="O829" s="2272"/>
      <c r="P829" s="2272"/>
      <c r="Q829" s="2272"/>
      <c r="R829" s="2272"/>
      <c r="S829" s="2272"/>
      <c r="T829" s="2272"/>
      <c r="U829" s="2272"/>
      <c r="V829" s="2272"/>
      <c r="W829" s="2272"/>
      <c r="X829" s="2272"/>
      <c r="Y829" s="2272"/>
      <c r="Z829" s="2272"/>
      <c r="AA829" s="2272"/>
      <c r="AB829" s="2272"/>
      <c r="AC829" s="2258"/>
      <c r="AD829" s="2259"/>
      <c r="AE829" s="2259"/>
      <c r="AF829" s="2260"/>
      <c r="AG829" s="2258"/>
      <c r="AH829" s="2259"/>
      <c r="AI829" s="2259"/>
      <c r="AJ829" s="226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3" t="s">
        <v>129</v>
      </c>
      <c r="D830" s="2194"/>
      <c r="E830" s="2194"/>
      <c r="F830" s="2194"/>
      <c r="G830" s="2194"/>
      <c r="H830" s="2194"/>
      <c r="I830" s="2194"/>
      <c r="J830" s="2194"/>
      <c r="K830" s="2194"/>
      <c r="L830" s="2196"/>
      <c r="M830" s="2290">
        <f>SUM(M823:P829)</f>
        <v>0</v>
      </c>
      <c r="N830" s="2290"/>
      <c r="O830" s="2290"/>
      <c r="P830" s="2290"/>
      <c r="Q830" s="2290">
        <f>SUM(Q823:T829)</f>
        <v>0</v>
      </c>
      <c r="R830" s="2290"/>
      <c r="S830" s="2290"/>
      <c r="T830" s="2290"/>
      <c r="U830" s="2290">
        <f>SUM(U823:X829)</f>
        <v>114</v>
      </c>
      <c r="V830" s="2290"/>
      <c r="W830" s="2290"/>
      <c r="X830" s="2290"/>
      <c r="Y830" s="2290">
        <f>SUM(Y823:AB829)</f>
        <v>138</v>
      </c>
      <c r="Z830" s="2290"/>
      <c r="AA830" s="2290"/>
      <c r="AB830" s="2290"/>
      <c r="AC830" s="2290">
        <f>SUM(AC823:AF829)</f>
        <v>0</v>
      </c>
      <c r="AD830" s="2290"/>
      <c r="AE830" s="2290"/>
      <c r="AF830" s="2290"/>
      <c r="AG830" s="2290">
        <f>SUM(AG823:AJ829)</f>
        <v>0</v>
      </c>
      <c r="AH830" s="2290"/>
      <c r="AI830" s="2290"/>
      <c r="AJ830" s="229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5" t="s">
        <v>2606</v>
      </c>
      <c r="D835" s="2346"/>
      <c r="E835" s="2346"/>
      <c r="F835" s="2346"/>
      <c r="G835" s="2346"/>
      <c r="H835" s="2346"/>
      <c r="I835" s="2346"/>
      <c r="J835" s="2346"/>
      <c r="K835" s="2346"/>
      <c r="L835" s="2346"/>
      <c r="M835" s="2346"/>
      <c r="N835" s="2346"/>
      <c r="O835" s="2346"/>
      <c r="P835" s="2346"/>
      <c r="Q835" s="2346"/>
      <c r="R835" s="2346"/>
      <c r="S835" s="2346"/>
      <c r="T835" s="2346"/>
      <c r="U835" s="2346"/>
      <c r="V835" s="2346"/>
      <c r="W835" s="2346"/>
      <c r="X835" s="2346"/>
      <c r="Y835" s="2346"/>
      <c r="Z835" s="2346"/>
      <c r="AA835" s="2346"/>
      <c r="AB835" s="2346"/>
      <c r="AC835" s="2346"/>
      <c r="AD835" s="2346"/>
      <c r="AE835" s="2346"/>
      <c r="AF835" s="2346"/>
      <c r="AG835" s="2346"/>
      <c r="AH835" s="2346"/>
      <c r="AI835" s="2346"/>
      <c r="AJ835" s="23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9"/>
      <c r="X840" s="2139"/>
      <c r="Y840" s="2139"/>
      <c r="Z840" s="2139"/>
      <c r="AA840" s="2139"/>
      <c r="AB840" s="2139"/>
      <c r="AC840" s="21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9">
        <v>10000</v>
      </c>
      <c r="X841" s="2139"/>
      <c r="Y841" s="2139"/>
      <c r="Z841" s="2139"/>
      <c r="AA841" s="2139"/>
      <c r="AB841" s="2139"/>
      <c r="AC841" s="21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9">
        <v>15000</v>
      </c>
      <c r="X842" s="2139"/>
      <c r="Y842" s="2139"/>
      <c r="Z842" s="2139"/>
      <c r="AA842" s="2139"/>
      <c r="AB842" s="2139"/>
      <c r="AC842" s="21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9"/>
      <c r="X843" s="2139"/>
      <c r="Y843" s="2139"/>
      <c r="Z843" s="2139"/>
      <c r="AA843" s="2139"/>
      <c r="AB843" s="2139"/>
      <c r="AC843" s="21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0" t="s">
        <v>2607</v>
      </c>
      <c r="N844" s="2294"/>
      <c r="O844" s="2294"/>
      <c r="P844" s="2294"/>
      <c r="Q844" s="2294"/>
      <c r="R844" s="2294"/>
      <c r="S844" s="2294"/>
      <c r="T844" s="2294"/>
      <c r="U844" s="2294"/>
      <c r="V844" s="2295"/>
      <c r="W844" s="2139">
        <v>10000</v>
      </c>
      <c r="X844" s="2139"/>
      <c r="Y844" s="2139"/>
      <c r="Z844" s="2139"/>
      <c r="AA844" s="2139"/>
      <c r="AB844" s="2139"/>
      <c r="AC844" s="21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3">
        <f>ROUNDDOWN(BC932*2,2)</f>
        <v>0</v>
      </c>
      <c r="BJ844" s="2403"/>
      <c r="BK844" s="2403"/>
      <c r="BL844" s="2403"/>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1">
        <f>SUM(W840:AC844)</f>
        <v>35000</v>
      </c>
      <c r="X845" s="2142"/>
      <c r="Y845" s="2142"/>
      <c r="Z845" s="2142"/>
      <c r="AA845" s="2142"/>
      <c r="AB845" s="2142"/>
      <c r="AC845" s="214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3" t="s">
        <v>355</v>
      </c>
      <c r="K847" s="2194"/>
      <c r="L847" s="2194"/>
      <c r="M847" s="2194"/>
      <c r="N847" s="2194"/>
      <c r="O847" s="2194"/>
      <c r="P847" s="2194"/>
      <c r="Q847" s="2194"/>
      <c r="R847" s="2194"/>
      <c r="S847" s="2194"/>
      <c r="T847" s="2194"/>
      <c r="U847" s="2194"/>
      <c r="V847" s="2196"/>
      <c r="W847" s="2030">
        <f>60*134*12</f>
        <v>96480</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91"/>
      <c r="X849" s="2291"/>
      <c r="Y849" s="2291"/>
      <c r="Z849" s="2291"/>
      <c r="AA849" s="2291"/>
      <c r="AB849" s="2291"/>
      <c r="AC849" s="229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1">
        <v>70000</v>
      </c>
      <c r="X850" s="2291"/>
      <c r="Y850" s="2291"/>
      <c r="Z850" s="2291"/>
      <c r="AA850" s="2291"/>
      <c r="AB850" s="2291"/>
      <c r="AC850" s="229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1">
        <v>80000</v>
      </c>
      <c r="X851" s="2291"/>
      <c r="Y851" s="2291"/>
      <c r="Z851" s="2291"/>
      <c r="AA851" s="2291"/>
      <c r="AB851" s="2291"/>
      <c r="AC851" s="229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9"/>
      <c r="BH851" s="2319"/>
      <c r="BI851" s="2319"/>
      <c r="BJ851" s="2319"/>
      <c r="BK851" s="2319"/>
      <c r="BL851" s="2319"/>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1">
        <v>80000</v>
      </c>
      <c r="X852" s="2291"/>
      <c r="Y852" s="2291"/>
      <c r="Z852" s="2291"/>
      <c r="AA852" s="2291"/>
      <c r="AB852" s="2291"/>
      <c r="AC852" s="229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5">
        <f>SUM(W849:AC852)</f>
        <v>230000</v>
      </c>
      <c r="X853" s="2305"/>
      <c r="Y853" s="2305"/>
      <c r="Z853" s="2305"/>
      <c r="AA853" s="2305"/>
      <c r="AB853" s="2305"/>
      <c r="AC853" s="230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2">
        <f>SUM(AZ821:AZ849)</f>
        <v>7.5000000000000011E-2</v>
      </c>
      <c r="BA854" s="2292"/>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4">
        <v>55000</v>
      </c>
      <c r="X855" s="2145"/>
      <c r="Y855" s="2145"/>
      <c r="Z855" s="2145"/>
      <c r="AA855" s="2145"/>
      <c r="AB855" s="2145"/>
      <c r="AC855" s="214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52">
        <v>1</v>
      </c>
      <c r="U856" s="2197"/>
      <c r="V856" s="235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4">
        <v>55000</v>
      </c>
      <c r="X857" s="2145"/>
      <c r="Y857" s="2145"/>
      <c r="Z857" s="2145"/>
      <c r="AA857" s="2145"/>
      <c r="AB857" s="2145"/>
      <c r="AC857" s="214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52">
        <v>1</v>
      </c>
      <c r="U858" s="2197"/>
      <c r="V858" s="235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0" t="s">
        <v>2608</v>
      </c>
      <c r="N859" s="2294"/>
      <c r="O859" s="2294"/>
      <c r="P859" s="2294"/>
      <c r="Q859" s="2294"/>
      <c r="R859" s="2294"/>
      <c r="S859" s="2294"/>
      <c r="T859" s="2294"/>
      <c r="U859" s="2294"/>
      <c r="V859" s="2295"/>
      <c r="W859" s="2144">
        <v>30000</v>
      </c>
      <c r="X859" s="2145"/>
      <c r="Y859" s="2145"/>
      <c r="Z859" s="2145"/>
      <c r="AA859" s="2145"/>
      <c r="AB859" s="2145"/>
      <c r="AC859" s="214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37">
        <f>SUM(W855:AC859)</f>
        <v>140000</v>
      </c>
      <c r="X860" s="2438"/>
      <c r="Y860" s="2438"/>
      <c r="Z860" s="2438"/>
      <c r="AA860" s="2438"/>
      <c r="AB860" s="2438"/>
      <c r="AC860" s="243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4">
        <v>30000</v>
      </c>
      <c r="X861" s="2145"/>
      <c r="Y861" s="2145"/>
      <c r="Z861" s="2145"/>
      <c r="AA861" s="2145"/>
      <c r="AB861" s="2145"/>
      <c r="AC861" s="214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39">
        <v>35000</v>
      </c>
      <c r="X863" s="2139"/>
      <c r="Y863" s="2139"/>
      <c r="Z863" s="2139"/>
      <c r="AA863" s="2139"/>
      <c r="AB863" s="2139"/>
      <c r="AC863" s="213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9">
        <v>55000</v>
      </c>
      <c r="X864" s="2139"/>
      <c r="Y864" s="2139"/>
      <c r="Z864" s="2139"/>
      <c r="AA864" s="2139"/>
      <c r="AB864" s="2139"/>
      <c r="AC864" s="213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9">
        <v>45000</v>
      </c>
      <c r="X865" s="2139"/>
      <c r="Y865" s="2139"/>
      <c r="Z865" s="2139"/>
      <c r="AA865" s="2139"/>
      <c r="AB865" s="2139"/>
      <c r="AC865" s="213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9">
        <v>25000</v>
      </c>
      <c r="X866" s="2139"/>
      <c r="Y866" s="2139"/>
      <c r="Z866" s="2139"/>
      <c r="AA866" s="2139"/>
      <c r="AB866" s="2139"/>
      <c r="AC866" s="213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9">
        <v>35000</v>
      </c>
      <c r="X867" s="2139"/>
      <c r="Y867" s="2139"/>
      <c r="Z867" s="2139"/>
      <c r="AA867" s="2139"/>
      <c r="AB867" s="2139"/>
      <c r="AC867" s="21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9">
        <v>25000</v>
      </c>
      <c r="X868" s="2139"/>
      <c r="Y868" s="2139"/>
      <c r="Z868" s="2139"/>
      <c r="AA868" s="2139"/>
      <c r="AB868" s="2139"/>
      <c r="AC868" s="21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0" t="s">
        <v>2609</v>
      </c>
      <c r="N869" s="2294"/>
      <c r="O869" s="2294"/>
      <c r="P869" s="2294"/>
      <c r="Q869" s="2294"/>
      <c r="R869" s="2294"/>
      <c r="S869" s="2294"/>
      <c r="T869" s="2294"/>
      <c r="U869" s="2294"/>
      <c r="V869" s="2295"/>
      <c r="W869" s="2139">
        <v>19020</v>
      </c>
      <c r="X869" s="2139"/>
      <c r="Y869" s="2139"/>
      <c r="Z869" s="2139"/>
      <c r="AA869" s="2139"/>
      <c r="AB869" s="2139"/>
      <c r="AC869" s="213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0">
        <f>SUM(W863:AC869)</f>
        <v>239020</v>
      </c>
      <c r="X870" s="2140"/>
      <c r="Y870" s="2140"/>
      <c r="Z870" s="2140"/>
      <c r="AA870" s="2140"/>
      <c r="AB870" s="2140"/>
      <c r="AC870" s="214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293" t="s">
        <v>343</v>
      </c>
      <c r="N872" s="2294"/>
      <c r="O872" s="2294"/>
      <c r="P872" s="2294"/>
      <c r="Q872" s="2294"/>
      <c r="R872" s="2294"/>
      <c r="S872" s="2294"/>
      <c r="T872" s="2294"/>
      <c r="U872" s="2294"/>
      <c r="V872" s="2295"/>
      <c r="W872" s="2030"/>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93" t="s">
        <v>343</v>
      </c>
      <c r="N873" s="2294"/>
      <c r="O873" s="2294"/>
      <c r="P873" s="2294"/>
      <c r="Q873" s="2294"/>
      <c r="R873" s="2294"/>
      <c r="S873" s="2294"/>
      <c r="T873" s="2294"/>
      <c r="U873" s="2294"/>
      <c r="V873" s="2295"/>
      <c r="W873" s="2030"/>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3" t="s">
        <v>343</v>
      </c>
      <c r="N874" s="2294"/>
      <c r="O874" s="2294"/>
      <c r="P874" s="2294"/>
      <c r="Q874" s="2294"/>
      <c r="R874" s="2294"/>
      <c r="S874" s="2294"/>
      <c r="T874" s="2294"/>
      <c r="U874" s="2294"/>
      <c r="V874" s="2295"/>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3" t="s">
        <v>343</v>
      </c>
      <c r="N875" s="2294"/>
      <c r="O875" s="2294"/>
      <c r="P875" s="2294"/>
      <c r="Q875" s="2294"/>
      <c r="R875" s="2294"/>
      <c r="S875" s="2294"/>
      <c r="T875" s="2294"/>
      <c r="U875" s="2294"/>
      <c r="V875" s="2295"/>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3" t="s">
        <v>343</v>
      </c>
      <c r="N876" s="2294"/>
      <c r="O876" s="2294"/>
      <c r="P876" s="2294"/>
      <c r="Q876" s="2294"/>
      <c r="R876" s="2294"/>
      <c r="S876" s="2294"/>
      <c r="T876" s="2294"/>
      <c r="U876" s="2294"/>
      <c r="V876" s="2295"/>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1">
        <f>SUM(W872:AC876)</f>
        <v>0</v>
      </c>
      <c r="X877" s="2142"/>
      <c r="Y877" s="2142"/>
      <c r="Z877" s="2142"/>
      <c r="AA877" s="2142"/>
      <c r="AB877" s="2142"/>
      <c r="AC877" s="214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2">
        <f>W845+W853+W860+W861+W870+W877+W847</f>
        <v>770500</v>
      </c>
      <c r="AD881" s="2142"/>
      <c r="AE881" s="2142"/>
      <c r="AF881" s="2142"/>
      <c r="AG881" s="2142"/>
      <c r="AH881" s="214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50">
        <f>O796+O776+G753</f>
        <v>134</v>
      </c>
      <c r="AD882" s="2350"/>
      <c r="AE882" s="2350"/>
      <c r="AF882" s="2350"/>
      <c r="AG882" s="2350"/>
      <c r="AH882" s="235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8" t="s">
        <v>33</v>
      </c>
      <c r="F883" s="2348"/>
      <c r="G883" s="2348"/>
      <c r="H883" s="2348"/>
      <c r="I883" s="2348"/>
      <c r="J883" s="2348"/>
      <c r="K883" s="2348"/>
      <c r="L883" s="2348"/>
      <c r="M883" s="2348"/>
      <c r="N883" s="2348"/>
      <c r="O883" s="2348"/>
      <c r="P883" s="2348"/>
      <c r="Q883" s="2348"/>
      <c r="R883" s="2348"/>
      <c r="S883" s="2348"/>
      <c r="T883" s="2348"/>
      <c r="U883" s="2348"/>
      <c r="V883" s="2348"/>
      <c r="W883" s="2348"/>
      <c r="X883" s="2348"/>
      <c r="Y883" s="2348"/>
      <c r="Z883" s="2348"/>
      <c r="AA883" s="2348"/>
      <c r="AB883" s="2349"/>
      <c r="AC883" s="2140">
        <f>IF(ISERROR((ROUNDDOWN(AC881/AC882,0))),0,(ROUNDDOWN(AC881/AC882,0)))</f>
        <v>5750</v>
      </c>
      <c r="AD883" s="2140"/>
      <c r="AE883" s="2140"/>
      <c r="AF883" s="2140"/>
      <c r="AG883" s="2140"/>
      <c r="AH883" s="214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433">
        <f>'Sources and Uses Budget'!C75</f>
        <v>755988</v>
      </c>
      <c r="AD884" s="2434"/>
      <c r="AE884" s="2434"/>
      <c r="AF884" s="2434"/>
      <c r="AG884" s="2434"/>
      <c r="AH884" s="243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2"/>
      <c r="AD885" s="2139"/>
      <c r="AE885" s="2139"/>
      <c r="AF885" s="2139"/>
      <c r="AG885" s="2139"/>
      <c r="AH885" s="21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1">
        <v>26600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v>33500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2152</v>
      </c>
      <c r="AC888" s="2258">
        <v>7500</v>
      </c>
      <c r="AD888" s="2259"/>
      <c r="AE888" s="2259"/>
      <c r="AF888" s="2259"/>
      <c r="AG888" s="2259"/>
      <c r="AH888" s="226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3" t="s">
        <v>1034</v>
      </c>
      <c r="D891" s="2134"/>
      <c r="E891" s="2134"/>
      <c r="F891" s="2134"/>
      <c r="G891" s="2134"/>
      <c r="H891" s="2134"/>
      <c r="I891" s="2134"/>
      <c r="J891" s="2134"/>
      <c r="K891" s="2134"/>
      <c r="L891" s="2134"/>
      <c r="M891" s="2134"/>
      <c r="N891" s="2134"/>
      <c r="O891" s="2134"/>
      <c r="P891" s="2134"/>
      <c r="Q891" s="2134"/>
      <c r="R891" s="2134"/>
      <c r="S891" s="2134"/>
      <c r="T891" s="2134"/>
      <c r="U891" s="2134"/>
      <c r="V891" s="2134"/>
      <c r="W891" s="2134"/>
      <c r="X891" s="2134"/>
      <c r="Y891" s="2134"/>
      <c r="Z891" s="2134"/>
      <c r="AA891" s="2134"/>
      <c r="AB891" s="2135"/>
      <c r="AC891" s="2139"/>
      <c r="AD891" s="2139"/>
      <c r="AE891" s="2139"/>
      <c r="AF891" s="2139"/>
      <c r="AG891" s="2139"/>
      <c r="AH891" s="21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3" t="s">
        <v>1034</v>
      </c>
      <c r="D892" s="2134"/>
      <c r="E892" s="2134"/>
      <c r="F892" s="2134"/>
      <c r="G892" s="2134"/>
      <c r="H892" s="2134"/>
      <c r="I892" s="2134"/>
      <c r="J892" s="2134"/>
      <c r="K892" s="2134"/>
      <c r="L892" s="2134"/>
      <c r="M892" s="2134"/>
      <c r="N892" s="2134"/>
      <c r="O892" s="2134"/>
      <c r="P892" s="2134"/>
      <c r="Q892" s="2134"/>
      <c r="R892" s="2134"/>
      <c r="S892" s="2134"/>
      <c r="T892" s="2134"/>
      <c r="U892" s="2134"/>
      <c r="V892" s="2134"/>
      <c r="W892" s="2134"/>
      <c r="X892" s="2134"/>
      <c r="Y892" s="2134"/>
      <c r="Z892" s="2134"/>
      <c r="AA892" s="2134"/>
      <c r="AB892" s="2135"/>
      <c r="AC892" s="2139"/>
      <c r="AD892" s="2139"/>
      <c r="AE892" s="2139"/>
      <c r="AF892" s="2139"/>
      <c r="AG892" s="2139"/>
      <c r="AH892" s="21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1">
        <f>Z896-(Z897+Z898)</f>
        <v>0</v>
      </c>
      <c r="AA899" s="2142"/>
      <c r="AB899" s="2142"/>
      <c r="AC899" s="2142"/>
      <c r="AD899" s="2142"/>
      <c r="AE899" s="214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7"/>
      <c r="BE901" s="230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9"/>
      <c r="BE902" s="230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8"/>
      <c r="BE903" s="230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8"/>
      <c r="BE904" s="230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8"/>
      <c r="BE905" s="230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7"/>
      <c r="BE906" s="230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5" t="s">
        <v>101</v>
      </c>
      <c r="B907" s="2085"/>
      <c r="C907" s="2085"/>
      <c r="D907" s="2085"/>
      <c r="E907" s="2085"/>
      <c r="F907" s="2085"/>
      <c r="G907" s="2085"/>
      <c r="H907" s="2085"/>
      <c r="I907" s="2085"/>
      <c r="J907" s="2085"/>
      <c r="K907" s="2085"/>
      <c r="L907" s="2085"/>
      <c r="M907" s="2085"/>
      <c r="N907" s="2085"/>
      <c r="O907" s="2085"/>
      <c r="P907" s="2085"/>
      <c r="Q907" s="2085"/>
      <c r="R907" s="2085"/>
      <c r="S907" s="2085"/>
      <c r="T907" s="2085"/>
      <c r="U907" s="2085"/>
      <c r="V907" s="2085"/>
      <c r="W907" s="2085"/>
      <c r="X907" s="2085"/>
      <c r="Y907" s="2085"/>
      <c r="Z907" s="2085"/>
      <c r="AA907" s="2085"/>
      <c r="AB907" s="2085"/>
      <c r="AC907" s="2085"/>
      <c r="AD907" s="2085"/>
      <c r="AE907" s="2085"/>
      <c r="AF907" s="2085"/>
      <c r="AG907" s="2085"/>
      <c r="AH907" s="2085"/>
      <c r="AI907" s="2085"/>
      <c r="AJ907" s="2085"/>
      <c r="AK907" s="2085"/>
      <c r="AL907" s="2085"/>
      <c r="AM907" s="144"/>
      <c r="AN907" s="144"/>
      <c r="AO907" s="144"/>
      <c r="AP907" s="144"/>
      <c r="AQ907" s="144"/>
      <c r="AR907" s="144"/>
      <c r="AS907" s="144"/>
      <c r="AT907" s="144"/>
      <c r="AU907" s="144"/>
      <c r="AV907" s="144"/>
      <c r="AW907" s="144"/>
      <c r="AX907" s="144"/>
      <c r="AY907" s="144"/>
      <c r="AZ907" s="61"/>
      <c r="BA907" s="25"/>
      <c r="BB907" s="127"/>
      <c r="BC907" s="1607"/>
      <c r="BD907" s="2306"/>
      <c r="BE907" s="2306"/>
      <c r="BF907" s="230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6"/>
      <c r="B908" s="2086"/>
      <c r="C908" s="2086"/>
      <c r="D908" s="2086"/>
      <c r="E908" s="2086"/>
      <c r="F908" s="2086"/>
      <c r="G908" s="2086"/>
      <c r="H908" s="2086"/>
      <c r="I908" s="2086"/>
      <c r="J908" s="2086"/>
      <c r="K908" s="2086"/>
      <c r="L908" s="2086"/>
      <c r="M908" s="2086"/>
      <c r="N908" s="2086"/>
      <c r="O908" s="2086"/>
      <c r="P908" s="2086"/>
      <c r="Q908" s="2086"/>
      <c r="R908" s="2086"/>
      <c r="S908" s="2086"/>
      <c r="T908" s="2086"/>
      <c r="U908" s="2086"/>
      <c r="V908" s="2086"/>
      <c r="W908" s="2086"/>
      <c r="X908" s="2086"/>
      <c r="Y908" s="2086"/>
      <c r="Z908" s="2086"/>
      <c r="AA908" s="2086"/>
      <c r="AB908" s="2086"/>
      <c r="AC908" s="2086"/>
      <c r="AD908" s="2086"/>
      <c r="AE908" s="2086"/>
      <c r="AF908" s="2086"/>
      <c r="AG908" s="2086"/>
      <c r="AH908" s="2086"/>
      <c r="AI908" s="2086"/>
      <c r="AJ908" s="2086"/>
      <c r="AK908" s="2086"/>
      <c r="AL908" s="2086"/>
      <c r="AM908" s="144"/>
      <c r="AN908" s="144"/>
      <c r="AO908" s="144"/>
      <c r="AP908" s="144"/>
      <c r="AQ908" s="144"/>
      <c r="AR908" s="144"/>
      <c r="AS908" s="144"/>
      <c r="AT908" s="144"/>
      <c r="AU908" s="144"/>
      <c r="AV908" s="144"/>
      <c r="AW908" s="144"/>
      <c r="AX908" s="144"/>
      <c r="AY908" s="144"/>
      <c r="AZ908" s="61"/>
      <c r="BA908" s="25"/>
      <c r="BB908" s="127"/>
      <c r="BC908" s="1607"/>
      <c r="BD908" s="2289"/>
      <c r="BE908" s="2289"/>
      <c r="BF908" s="228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8"/>
      <c r="BE909" s="230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7"/>
      <c r="BE910" s="230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7" t="s">
        <v>849</v>
      </c>
      <c r="G912" s="2508"/>
      <c r="H912" s="2508"/>
      <c r="I912" s="2508"/>
      <c r="J912" s="2508"/>
      <c r="K912" s="2508"/>
      <c r="L912" s="2508"/>
      <c r="M912" s="2508"/>
      <c r="N912" s="2508"/>
      <c r="O912" s="2508"/>
      <c r="P912" s="2508"/>
      <c r="Q912" s="2508"/>
      <c r="R912" s="2508"/>
      <c r="S912" s="2508"/>
      <c r="T912" s="2509"/>
      <c r="U912" s="2251" t="s">
        <v>32</v>
      </c>
      <c r="V912" s="2174"/>
      <c r="W912" s="2174"/>
      <c r="X912" s="2174"/>
      <c r="Y912" s="2174"/>
      <c r="Z912" s="2174"/>
      <c r="AA912" s="73"/>
      <c r="AB912" s="161"/>
      <c r="AC912" s="161"/>
      <c r="AD912" s="161"/>
      <c r="AE912" s="161"/>
      <c r="AF912" s="162"/>
      <c r="AZ912" s="61"/>
      <c r="BA912" s="1606"/>
      <c r="BB912" s="127"/>
      <c r="BC912" s="127"/>
      <c r="BD912" s="2307"/>
      <c r="BE912" s="230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2" t="s">
        <v>878</v>
      </c>
      <c r="G913" s="2253"/>
      <c r="H913" s="2253"/>
      <c r="I913" s="2253"/>
      <c r="J913" s="2253"/>
      <c r="K913" s="2253"/>
      <c r="L913" s="2253"/>
      <c r="M913" s="2253"/>
      <c r="N913" s="2253"/>
      <c r="O913" s="2253"/>
      <c r="P913" s="2253"/>
      <c r="Q913" s="2253"/>
      <c r="R913" s="2253"/>
      <c r="S913" s="2253"/>
      <c r="T913" s="2254"/>
      <c r="U913" s="2252"/>
      <c r="V913" s="2253"/>
      <c r="W913" s="2253"/>
      <c r="X913" s="2253"/>
      <c r="Y913" s="2253"/>
      <c r="Z913" s="225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5"/>
      <c r="G914" s="2256"/>
      <c r="H914" s="2256"/>
      <c r="I914" s="2256"/>
      <c r="J914" s="2256"/>
      <c r="K914" s="2256"/>
      <c r="L914" s="2256"/>
      <c r="M914" s="2256"/>
      <c r="N914" s="2256"/>
      <c r="O914" s="2256"/>
      <c r="P914" s="2256"/>
      <c r="Q914" s="2256"/>
      <c r="R914" s="2256"/>
      <c r="S914" s="2256"/>
      <c r="T914" s="2257"/>
      <c r="U914" s="2255"/>
      <c r="V914" s="2256"/>
      <c r="W914" s="2256"/>
      <c r="X914" s="2256"/>
      <c r="Y914" s="2256"/>
      <c r="Z914" s="2256"/>
      <c r="AA914" s="164"/>
      <c r="AB914" s="2338" t="s">
        <v>409</v>
      </c>
      <c r="AC914" s="2338"/>
      <c r="AD914" s="2338"/>
      <c r="AE914" s="233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5" t="s">
        <v>577</v>
      </c>
      <c r="V915" s="2060"/>
      <c r="W915" s="2060"/>
      <c r="X915" s="2060"/>
      <c r="Y915" s="2060"/>
      <c r="Z915" s="2061"/>
      <c r="AA915" s="2320">
        <f>AM564</f>
        <v>42808977</v>
      </c>
      <c r="AB915" s="2042"/>
      <c r="AC915" s="2042"/>
      <c r="AD915" s="2042"/>
      <c r="AE915" s="2042"/>
      <c r="AF915" s="232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5" t="s">
        <v>577</v>
      </c>
      <c r="V916" s="2060"/>
      <c r="W916" s="2060"/>
      <c r="X916" s="2060"/>
      <c r="Y916" s="2060"/>
      <c r="Z916" s="2061"/>
      <c r="AA916" s="2320">
        <f>AM565</f>
        <v>22800000</v>
      </c>
      <c r="AB916" s="2042"/>
      <c r="AC916" s="2042"/>
      <c r="AD916" s="2042"/>
      <c r="AE916" s="2042"/>
      <c r="AF916" s="232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5" t="s">
        <v>625</v>
      </c>
      <c r="V917" s="2060"/>
      <c r="W917" s="2060"/>
      <c r="X917" s="2060"/>
      <c r="Y917" s="2060"/>
      <c r="Z917" s="2061"/>
      <c r="AA917" s="2320"/>
      <c r="AB917" s="2042"/>
      <c r="AC917" s="2042"/>
      <c r="AD917" s="2042"/>
      <c r="AE917" s="2042"/>
      <c r="AF917" s="232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5" t="s">
        <v>625</v>
      </c>
      <c r="V918" s="2060"/>
      <c r="W918" s="2060"/>
      <c r="X918" s="2060"/>
      <c r="Y918" s="2060"/>
      <c r="Z918" s="2061"/>
      <c r="AA918" s="2320"/>
      <c r="AB918" s="2042"/>
      <c r="AC918" s="2042"/>
      <c r="AD918" s="2042"/>
      <c r="AE918" s="2042"/>
      <c r="AF918" s="232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5" t="s">
        <v>625</v>
      </c>
      <c r="V919" s="2060"/>
      <c r="W919" s="2060"/>
      <c r="X919" s="2060"/>
      <c r="Y919" s="2060"/>
      <c r="Z919" s="2061"/>
      <c r="AA919" s="2320"/>
      <c r="AB919" s="2042"/>
      <c r="AC919" s="2042"/>
      <c r="AD919" s="2042"/>
      <c r="AE919" s="2042"/>
      <c r="AF919" s="232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5" t="s">
        <v>625</v>
      </c>
      <c r="V920" s="2060"/>
      <c r="W920" s="2060"/>
      <c r="X920" s="2060"/>
      <c r="Y920" s="2060"/>
      <c r="Z920" s="2061"/>
      <c r="AA920" s="2320"/>
      <c r="AB920" s="2042"/>
      <c r="AC920" s="2042"/>
      <c r="AD920" s="2042"/>
      <c r="AE920" s="2042"/>
      <c r="AF920" s="232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5" t="s">
        <v>625</v>
      </c>
      <c r="V921" s="2060"/>
      <c r="W921" s="2060"/>
      <c r="X921" s="2060"/>
      <c r="Y921" s="2060"/>
      <c r="Z921" s="2061"/>
      <c r="AA921" s="2320"/>
      <c r="AB921" s="2042"/>
      <c r="AC921" s="2042"/>
      <c r="AD921" s="2042"/>
      <c r="AE921" s="2042"/>
      <c r="AF921" s="232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5" t="s">
        <v>625</v>
      </c>
      <c r="V922" s="2060"/>
      <c r="W922" s="2060"/>
      <c r="X922" s="2060"/>
      <c r="Y922" s="2060"/>
      <c r="Z922" s="2061"/>
      <c r="AA922" s="2320"/>
      <c r="AB922" s="2042"/>
      <c r="AC922" s="2042"/>
      <c r="AD922" s="2042"/>
      <c r="AE922" s="2042"/>
      <c r="AF922" s="232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5" t="s">
        <v>625</v>
      </c>
      <c r="V923" s="2060"/>
      <c r="W923" s="2060"/>
      <c r="X923" s="2060"/>
      <c r="Y923" s="2060"/>
      <c r="Z923" s="2061"/>
      <c r="AA923" s="2320"/>
      <c r="AB923" s="2042"/>
      <c r="AC923" s="2042"/>
      <c r="AD923" s="2042"/>
      <c r="AE923" s="2042"/>
      <c r="AF923" s="232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5" t="s">
        <v>625</v>
      </c>
      <c r="V924" s="2060"/>
      <c r="W924" s="2060"/>
      <c r="X924" s="2060"/>
      <c r="Y924" s="2060"/>
      <c r="Z924" s="2061"/>
      <c r="AA924" s="2320"/>
      <c r="AB924" s="2042"/>
      <c r="AC924" s="2042"/>
      <c r="AD924" s="2042"/>
      <c r="AE924" s="2042"/>
      <c r="AF924" s="232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25" t="s">
        <v>577</v>
      </c>
      <c r="V925" s="2060"/>
      <c r="W925" s="2060"/>
      <c r="X925" s="2060"/>
      <c r="Y925" s="2060"/>
      <c r="Z925" s="2061"/>
      <c r="AA925" s="2320">
        <v>3900000</v>
      </c>
      <c r="AB925" s="2042"/>
      <c r="AC925" s="2042"/>
      <c r="AD925" s="2042"/>
      <c r="AE925" s="2042"/>
      <c r="AF925" s="232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5" t="s">
        <v>625</v>
      </c>
      <c r="V926" s="2060"/>
      <c r="W926" s="2060"/>
      <c r="X926" s="2060"/>
      <c r="Y926" s="2060"/>
      <c r="Z926" s="2061"/>
      <c r="AA926" s="2320"/>
      <c r="AB926" s="2042"/>
      <c r="AC926" s="2042"/>
      <c r="AD926" s="2042"/>
      <c r="AE926" s="2042"/>
      <c r="AF926" s="232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5" t="s">
        <v>625</v>
      </c>
      <c r="V927" s="2060"/>
      <c r="W927" s="2060"/>
      <c r="X927" s="2060"/>
      <c r="Y927" s="2060"/>
      <c r="Z927" s="2061"/>
      <c r="AA927" s="2320"/>
      <c r="AB927" s="2042"/>
      <c r="AC927" s="2042"/>
      <c r="AD927" s="2042"/>
      <c r="AE927" s="2042"/>
      <c r="AF927" s="232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25" t="s">
        <v>625</v>
      </c>
      <c r="V928" s="2060"/>
      <c r="W928" s="2060"/>
      <c r="X928" s="2060"/>
      <c r="Y928" s="2060"/>
      <c r="Z928" s="2061"/>
      <c r="AA928" s="2320"/>
      <c r="AB928" s="2042"/>
      <c r="AC928" s="2042"/>
      <c r="AD928" s="2042"/>
      <c r="AE928" s="2042"/>
      <c r="AF928" s="232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25" t="s">
        <v>625</v>
      </c>
      <c r="V929" s="2060"/>
      <c r="W929" s="2060"/>
      <c r="X929" s="2060"/>
      <c r="Y929" s="2060"/>
      <c r="Z929" s="2061"/>
      <c r="AA929" s="2320"/>
      <c r="AB929" s="2042"/>
      <c r="AC929" s="2042"/>
      <c r="AD929" s="2042"/>
      <c r="AE929" s="2042"/>
      <c r="AF929" s="232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5" t="s">
        <v>705</v>
      </c>
      <c r="Q930" s="2060"/>
      <c r="R930" s="2060"/>
      <c r="S930" s="2060"/>
      <c r="T930" s="2061"/>
      <c r="U930" s="2325" t="s">
        <v>625</v>
      </c>
      <c r="V930" s="2060"/>
      <c r="W930" s="2060"/>
      <c r="X930" s="2060"/>
      <c r="Y930" s="2060"/>
      <c r="Z930" s="2061"/>
      <c r="AA930" s="2320"/>
      <c r="AB930" s="2042"/>
      <c r="AC930" s="2042"/>
      <c r="AD930" s="2042"/>
      <c r="AE930" s="2042"/>
      <c r="AF930" s="232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6" t="s">
        <v>343</v>
      </c>
      <c r="J931" s="2505"/>
      <c r="K931" s="2505"/>
      <c r="L931" s="2505"/>
      <c r="M931" s="2505"/>
      <c r="N931" s="2505"/>
      <c r="O931" s="2505"/>
      <c r="P931" s="2505"/>
      <c r="Q931" s="2505"/>
      <c r="R931" s="2505"/>
      <c r="S931" s="2505"/>
      <c r="T931" s="2506"/>
      <c r="U931" s="2325" t="s">
        <v>625</v>
      </c>
      <c r="V931" s="2060"/>
      <c r="W931" s="2060"/>
      <c r="X931" s="2060"/>
      <c r="Y931" s="2060"/>
      <c r="Z931" s="2061"/>
      <c r="AA931" s="2320"/>
      <c r="AB931" s="2042"/>
      <c r="AC931" s="2042"/>
      <c r="AD931" s="2042"/>
      <c r="AE931" s="2042"/>
      <c r="AF931" s="232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6" t="s">
        <v>343</v>
      </c>
      <c r="J932" s="2505"/>
      <c r="K932" s="2505"/>
      <c r="L932" s="2505"/>
      <c r="M932" s="2505"/>
      <c r="N932" s="2505"/>
      <c r="O932" s="2505"/>
      <c r="P932" s="2505"/>
      <c r="Q932" s="2505"/>
      <c r="R932" s="2505"/>
      <c r="S932" s="2505"/>
      <c r="T932" s="2506"/>
      <c r="U932" s="2325" t="s">
        <v>625</v>
      </c>
      <c r="V932" s="2060"/>
      <c r="W932" s="2060"/>
      <c r="X932" s="2060"/>
      <c r="Y932" s="2060"/>
      <c r="Z932" s="2061"/>
      <c r="AA932" s="2320"/>
      <c r="AB932" s="2042"/>
      <c r="AC932" s="2042"/>
      <c r="AD932" s="2042"/>
      <c r="AE932" s="2042"/>
      <c r="AF932" s="232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37" t="s">
        <v>343</v>
      </c>
      <c r="J933" s="2317"/>
      <c r="K933" s="2317"/>
      <c r="L933" s="2317"/>
      <c r="M933" s="2317"/>
      <c r="N933" s="2317"/>
      <c r="O933" s="2317"/>
      <c r="P933" s="2317"/>
      <c r="Q933" s="2317"/>
      <c r="R933" s="2317"/>
      <c r="S933" s="2317"/>
      <c r="T933" s="2318"/>
      <c r="U933" s="2325" t="s">
        <v>625</v>
      </c>
      <c r="V933" s="2060"/>
      <c r="W933" s="2060"/>
      <c r="X933" s="2060"/>
      <c r="Y933" s="2060"/>
      <c r="Z933" s="2061"/>
      <c r="AA933" s="2320"/>
      <c r="AB933" s="2042"/>
      <c r="AC933" s="2042"/>
      <c r="AD933" s="2042"/>
      <c r="AE933" s="2042"/>
      <c r="AF933" s="232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37" t="s">
        <v>343</v>
      </c>
      <c r="J934" s="2317"/>
      <c r="K934" s="2317"/>
      <c r="L934" s="2317"/>
      <c r="M934" s="2317"/>
      <c r="N934" s="2317"/>
      <c r="O934" s="2317"/>
      <c r="P934" s="2317"/>
      <c r="Q934" s="2317"/>
      <c r="R934" s="2317"/>
      <c r="S934" s="2317"/>
      <c r="T934" s="2318"/>
      <c r="U934" s="2325" t="s">
        <v>625</v>
      </c>
      <c r="V934" s="2060"/>
      <c r="W934" s="2060"/>
      <c r="X934" s="2060"/>
      <c r="Y934" s="2060"/>
      <c r="Z934" s="2061"/>
      <c r="AA934" s="2320"/>
      <c r="AB934" s="2042"/>
      <c r="AC934" s="2042"/>
      <c r="AD934" s="2042"/>
      <c r="AE934" s="2042"/>
      <c r="AF934" s="232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4"/>
      <c r="N939" s="2335"/>
      <c r="O939" s="2335"/>
      <c r="P939" s="2335"/>
      <c r="Q939" s="2335"/>
      <c r="R939" s="2335"/>
      <c r="S939" s="2336"/>
      <c r="U939" s="103" t="s">
        <v>11</v>
      </c>
      <c r="V939" s="77"/>
      <c r="W939" s="77"/>
      <c r="X939" s="77"/>
      <c r="Y939" s="77"/>
      <c r="Z939" s="77"/>
      <c r="AA939" s="77"/>
      <c r="AB939" s="77"/>
      <c r="AC939" s="77"/>
      <c r="AD939" s="78"/>
      <c r="AE939" s="2334"/>
      <c r="AF939" s="2335"/>
      <c r="AG939" s="2335"/>
      <c r="AH939" s="2335"/>
      <c r="AI939" s="2335"/>
      <c r="AJ939" s="2335"/>
      <c r="AK939" s="233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2"/>
      <c r="N940" s="2323"/>
      <c r="O940" s="2323"/>
      <c r="P940" s="2323"/>
      <c r="Q940" s="2323"/>
      <c r="R940" s="2323"/>
      <c r="S940" s="2324"/>
      <c r="U940" s="103" t="s">
        <v>12</v>
      </c>
      <c r="V940" s="77"/>
      <c r="W940" s="77"/>
      <c r="X940" s="77"/>
      <c r="Y940" s="77"/>
      <c r="Z940" s="77"/>
      <c r="AA940" s="77"/>
      <c r="AB940" s="77"/>
      <c r="AC940" s="77"/>
      <c r="AD940" s="78"/>
      <c r="AE940" s="2322"/>
      <c r="AF940" s="2323"/>
      <c r="AG940" s="2323"/>
      <c r="AH940" s="2323"/>
      <c r="AI940" s="2323"/>
      <c r="AJ940" s="2323"/>
      <c r="AK940" s="232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6" t="s">
        <v>316</v>
      </c>
      <c r="K941" s="2327"/>
      <c r="L941" s="2327"/>
      <c r="M941" s="2327"/>
      <c r="N941" s="2327"/>
      <c r="O941" s="2327"/>
      <c r="P941" s="2327"/>
      <c r="Q941" s="2327"/>
      <c r="R941" s="2327"/>
      <c r="S941" s="2328"/>
      <c r="U941" s="103" t="s">
        <v>944</v>
      </c>
      <c r="V941" s="77"/>
      <c r="W941" s="77"/>
      <c r="AB941" s="2326" t="s">
        <v>316</v>
      </c>
      <c r="AC941" s="2327"/>
      <c r="AD941" s="2327"/>
      <c r="AE941" s="2327"/>
      <c r="AF941" s="2327"/>
      <c r="AG941" s="2327"/>
      <c r="AH941" s="2327"/>
      <c r="AI941" s="2327"/>
      <c r="AJ941" s="2327"/>
      <c r="AK941" s="232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5"/>
      <c r="N942" s="2358"/>
      <c r="O942" s="2358"/>
      <c r="P942" s="2358"/>
      <c r="Q942" s="2358"/>
      <c r="R942" s="2358"/>
      <c r="S942" s="2359"/>
      <c r="U942" s="103" t="s">
        <v>13</v>
      </c>
      <c r="V942" s="77"/>
      <c r="W942" s="77"/>
      <c r="X942" s="77"/>
      <c r="Y942" s="77"/>
      <c r="Z942" s="77"/>
      <c r="AA942" s="77"/>
      <c r="AB942" s="77"/>
      <c r="AC942" s="77"/>
      <c r="AD942" s="78"/>
      <c r="AE942" s="2357"/>
      <c r="AF942" s="2358"/>
      <c r="AG942" s="2358"/>
      <c r="AH942" s="2358"/>
      <c r="AI942" s="2358"/>
      <c r="AJ942" s="2358"/>
      <c r="AK942" s="235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3"/>
      <c r="N943" s="2274"/>
      <c r="O943" s="2274"/>
      <c r="P943" s="2274"/>
      <c r="Q943" s="2274"/>
      <c r="R943" s="2274"/>
      <c r="S943" s="2275"/>
      <c r="U943" s="103" t="s">
        <v>14</v>
      </c>
      <c r="V943" s="77"/>
      <c r="W943" s="77"/>
      <c r="X943" s="77"/>
      <c r="Y943" s="77"/>
      <c r="Z943" s="77"/>
      <c r="AA943" s="77"/>
      <c r="AB943" s="77"/>
      <c r="AC943" s="77"/>
      <c r="AD943" s="78"/>
      <c r="AE943" s="2273"/>
      <c r="AF943" s="2274"/>
      <c r="AG943" s="2274"/>
      <c r="AH943" s="2274"/>
      <c r="AI943" s="2274"/>
      <c r="AJ943" s="2274"/>
      <c r="AK943" s="22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0"/>
      <c r="N944" s="2042"/>
      <c r="O944" s="2042"/>
      <c r="P944" s="2042"/>
      <c r="Q944" s="2042"/>
      <c r="R944" s="2042"/>
      <c r="S944" s="2321"/>
      <c r="U944" s="103" t="s">
        <v>15</v>
      </c>
      <c r="V944" s="77"/>
      <c r="W944" s="77"/>
      <c r="X944" s="77"/>
      <c r="Y944" s="77"/>
      <c r="Z944" s="77"/>
      <c r="AA944" s="77"/>
      <c r="AB944" s="77"/>
      <c r="AC944" s="77"/>
      <c r="AD944" s="78"/>
      <c r="AE944" s="2320"/>
      <c r="AF944" s="2042"/>
      <c r="AG944" s="2042"/>
      <c r="AH944" s="2042"/>
      <c r="AI944" s="2042"/>
      <c r="AJ944" s="2042"/>
      <c r="AK944" s="232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0"/>
      <c r="N945" s="2042"/>
      <c r="O945" s="2042"/>
      <c r="P945" s="2042"/>
      <c r="Q945" s="2042"/>
      <c r="R945" s="2042"/>
      <c r="S945" s="2321"/>
      <c r="U945" s="103" t="s">
        <v>16</v>
      </c>
      <c r="V945" s="77"/>
      <c r="W945" s="77"/>
      <c r="X945" s="77"/>
      <c r="Y945" s="77"/>
      <c r="Z945" s="77"/>
      <c r="AA945" s="77"/>
      <c r="AB945" s="77"/>
      <c r="AC945" s="77"/>
      <c r="AD945" s="78"/>
      <c r="AE945" s="2320"/>
      <c r="AF945" s="2042"/>
      <c r="AG945" s="2042"/>
      <c r="AH945" s="2042"/>
      <c r="AI945" s="2042"/>
      <c r="AJ945" s="2042"/>
      <c r="AK945" s="232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54"/>
      <c r="N946" s="2355"/>
      <c r="O946" s="2355"/>
      <c r="P946" s="2355"/>
      <c r="Q946" s="2355"/>
      <c r="R946" s="2355"/>
      <c r="S946" s="2356"/>
      <c r="U946" s="103" t="s">
        <v>604</v>
      </c>
      <c r="V946" s="77"/>
      <c r="W946" s="77"/>
      <c r="X946" s="77"/>
      <c r="Y946" s="77"/>
      <c r="Z946" s="77"/>
      <c r="AA946" s="77"/>
      <c r="AB946" s="77"/>
      <c r="AC946" s="77"/>
      <c r="AD946" s="78"/>
      <c r="AE946" s="2354"/>
      <c r="AF946" s="2355"/>
      <c r="AG946" s="2355"/>
      <c r="AH946" s="2355"/>
      <c r="AI946" s="2355"/>
      <c r="AJ946" s="2355"/>
      <c r="AK946" s="235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9"/>
      <c r="N951" s="2265"/>
      <c r="O951" s="2265"/>
      <c r="P951" s="2265"/>
      <c r="Q951" s="2265"/>
      <c r="R951" s="2265"/>
      <c r="S951" s="2330"/>
      <c r="T951" s="103" t="s">
        <v>847</v>
      </c>
      <c r="U951" s="77"/>
      <c r="V951" s="77"/>
      <c r="W951" s="77"/>
      <c r="X951" s="77"/>
      <c r="Y951" s="77"/>
      <c r="Z951" s="78"/>
      <c r="AA951" s="2329"/>
      <c r="AB951" s="2265"/>
      <c r="AC951" s="2265"/>
      <c r="AD951" s="2265"/>
      <c r="AE951" s="2265"/>
      <c r="AF951" s="2265"/>
      <c r="AG951" s="233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9"/>
      <c r="N952" s="2265"/>
      <c r="O952" s="2265"/>
      <c r="P952" s="2265"/>
      <c r="Q952" s="2265"/>
      <c r="R952" s="2265"/>
      <c r="S952" s="2330"/>
      <c r="T952" s="103" t="s">
        <v>846</v>
      </c>
      <c r="U952" s="77"/>
      <c r="V952" s="77"/>
      <c r="W952" s="77"/>
      <c r="X952" s="77"/>
      <c r="Y952" s="77"/>
      <c r="Z952" s="78"/>
      <c r="AA952" s="2329"/>
      <c r="AB952" s="2265"/>
      <c r="AC952" s="2265"/>
      <c r="AD952" s="2265"/>
      <c r="AE952" s="2265"/>
      <c r="AF952" s="2265"/>
      <c r="AG952" s="233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9" t="s">
        <v>625</v>
      </c>
      <c r="N953" s="2340"/>
      <c r="O953" s="2340"/>
      <c r="P953" s="2340"/>
      <c r="Q953" s="2340"/>
      <c r="R953" s="2340"/>
      <c r="S953" s="2341"/>
      <c r="T953" s="76" t="s">
        <v>346</v>
      </c>
      <c r="U953" s="77"/>
      <c r="V953" s="77"/>
      <c r="W953" s="77"/>
      <c r="X953" s="77"/>
      <c r="Y953" s="77"/>
      <c r="Z953" s="78"/>
      <c r="AA953" s="2329"/>
      <c r="AB953" s="2265"/>
      <c r="AC953" s="2265"/>
      <c r="AD953" s="2265"/>
      <c r="AE953" s="2265"/>
      <c r="AF953" s="2265"/>
      <c r="AG953" s="233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9"/>
      <c r="N954" s="2265"/>
      <c r="O954" s="2265"/>
      <c r="P954" s="2265"/>
      <c r="Q954" s="2265"/>
      <c r="R954" s="2265"/>
      <c r="S954" s="2330"/>
      <c r="T954" s="76" t="s">
        <v>347</v>
      </c>
      <c r="U954" s="77"/>
      <c r="V954" s="77"/>
      <c r="W954" s="77"/>
      <c r="X954" s="77"/>
      <c r="Y954" s="77"/>
      <c r="Z954" s="78"/>
      <c r="AA954" s="2329"/>
      <c r="AB954" s="2265"/>
      <c r="AC954" s="2265"/>
      <c r="AD954" s="2265"/>
      <c r="AE954" s="2265"/>
      <c r="AF954" s="2265"/>
      <c r="AG954" s="233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9"/>
      <c r="N955" s="2265"/>
      <c r="O955" s="2265"/>
      <c r="P955" s="2265"/>
      <c r="Q955" s="2265"/>
      <c r="R955" s="2265"/>
      <c r="S955" s="2330"/>
      <c r="T955" s="76" t="s">
        <v>393</v>
      </c>
      <c r="U955" s="77"/>
      <c r="V955" s="77"/>
      <c r="W955" s="77"/>
      <c r="X955" s="77"/>
      <c r="Y955" s="77"/>
      <c r="Z955" s="78"/>
      <c r="AA955" s="2329"/>
      <c r="AB955" s="2265"/>
      <c r="AC955" s="2265"/>
      <c r="AD955" s="2265"/>
      <c r="AE955" s="2265"/>
      <c r="AF955" s="2265"/>
      <c r="AG955" s="233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2" t="s">
        <v>316</v>
      </c>
      <c r="N956" s="2343"/>
      <c r="O956" s="2343"/>
      <c r="P956" s="2343"/>
      <c r="Q956" s="2343"/>
      <c r="R956" s="2343"/>
      <c r="S956" s="2344"/>
      <c r="T956" s="2331"/>
      <c r="U956" s="2332"/>
      <c r="V956" s="2332"/>
      <c r="W956" s="2332"/>
      <c r="X956" s="2332"/>
      <c r="Y956" s="2332"/>
      <c r="Z956" s="2333"/>
      <c r="AA956" s="2329"/>
      <c r="AB956" s="2265"/>
      <c r="AC956" s="2265"/>
      <c r="AD956" s="2265"/>
      <c r="AE956" s="2265"/>
      <c r="AF956" s="2265"/>
      <c r="AG956" s="233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9"/>
      <c r="N957" s="2265"/>
      <c r="O957" s="2265"/>
      <c r="P957" s="2265"/>
      <c r="Q957" s="2265"/>
      <c r="R957" s="2265"/>
      <c r="S957" s="2330"/>
      <c r="T957" s="2331"/>
      <c r="U957" s="2332"/>
      <c r="V957" s="2332"/>
      <c r="W957" s="2332"/>
      <c r="X957" s="2332"/>
      <c r="Y957" s="2332"/>
      <c r="Z957" s="2333"/>
      <c r="AA957" s="2329"/>
      <c r="AB957" s="2265"/>
      <c r="AC957" s="2265"/>
      <c r="AD957" s="2265"/>
      <c r="AE957" s="2265"/>
      <c r="AF957" s="2265"/>
      <c r="AG957" s="233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5" t="s">
        <v>705</v>
      </c>
      <c r="P958" s="2116"/>
      <c r="Q958" s="139"/>
      <c r="R958" s="139"/>
      <c r="S958" s="140"/>
      <c r="T958" s="71" t="s">
        <v>175</v>
      </c>
      <c r="U958" s="72"/>
      <c r="V958" s="72"/>
      <c r="W958" s="2293" t="s">
        <v>343</v>
      </c>
      <c r="X958" s="2294"/>
      <c r="Y958" s="2294"/>
      <c r="Z958" s="2294"/>
      <c r="AA958" s="2294"/>
      <c r="AB958" s="2294"/>
      <c r="AC958" s="2294"/>
      <c r="AD958" s="2294"/>
      <c r="AE958" s="2294"/>
      <c r="AF958" s="2294"/>
      <c r="AG958" s="229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1" t="s">
        <v>34</v>
      </c>
      <c r="G959" s="2362"/>
      <c r="H959" s="2362"/>
      <c r="I959" s="2362"/>
      <c r="J959" s="2362"/>
      <c r="K959" s="2362"/>
      <c r="L959" s="2362"/>
      <c r="M959" s="2329"/>
      <c r="N959" s="2265"/>
      <c r="O959" s="2265"/>
      <c r="P959" s="2265"/>
      <c r="Q959" s="2265"/>
      <c r="R959" s="2265"/>
      <c r="S959" s="2330"/>
      <c r="T959" s="79"/>
      <c r="U959" s="80"/>
      <c r="V959" s="80"/>
      <c r="W959" s="80"/>
      <c r="X959" s="80"/>
      <c r="Y959" s="80"/>
      <c r="Z959" s="188" t="s">
        <v>139</v>
      </c>
      <c r="AA959" s="2502"/>
      <c r="AB959" s="2503"/>
      <c r="AC959" s="2503"/>
      <c r="AD959" s="2503"/>
      <c r="AE959" s="2503"/>
      <c r="AF959" s="2503"/>
      <c r="AG959" s="250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2" t="s">
        <v>580</v>
      </c>
      <c r="B963" s="2392"/>
      <c r="C963" s="2392"/>
      <c r="D963" s="2392"/>
      <c r="E963" s="2392"/>
      <c r="F963" s="2392"/>
      <c r="G963" s="2392"/>
      <c r="H963" s="2392"/>
      <c r="I963" s="2392"/>
      <c r="J963" s="2392"/>
      <c r="K963" s="2392"/>
      <c r="L963" s="2392"/>
      <c r="M963" s="2392"/>
      <c r="N963" s="2392"/>
      <c r="O963" s="2392"/>
      <c r="P963" s="2392"/>
      <c r="Q963" s="2392"/>
      <c r="R963" s="2392"/>
      <c r="S963" s="2392"/>
      <c r="T963" s="2392"/>
      <c r="U963" s="2392"/>
      <c r="V963" s="2392"/>
      <c r="W963" s="2392"/>
      <c r="X963" s="2392"/>
      <c r="Y963" s="2392"/>
      <c r="Z963" s="2392"/>
      <c r="AA963" s="2392"/>
      <c r="AB963" s="2392"/>
      <c r="AC963" s="2392"/>
      <c r="AD963" s="2392"/>
      <c r="AE963" s="2392"/>
      <c r="AF963" s="2392"/>
      <c r="AG963" s="2392"/>
      <c r="AH963" s="2392"/>
      <c r="AI963" s="2392"/>
      <c r="AJ963" s="2392"/>
      <c r="AK963" s="2392"/>
      <c r="AL963" s="2392"/>
      <c r="AM963" s="2392"/>
      <c r="AN963" s="2392"/>
      <c r="AO963" s="2392"/>
      <c r="AP963" s="2392"/>
      <c r="AQ963" s="2392"/>
      <c r="AR963" s="2392"/>
      <c r="AS963" s="239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2"/>
      <c r="B964" s="2392"/>
      <c r="C964" s="2392"/>
      <c r="D964" s="2392"/>
      <c r="E964" s="2392"/>
      <c r="F964" s="2392"/>
      <c r="G964" s="2392"/>
      <c r="H964" s="2392"/>
      <c r="I964" s="2392"/>
      <c r="J964" s="2392"/>
      <c r="K964" s="2392"/>
      <c r="L964" s="2392"/>
      <c r="M964" s="2392"/>
      <c r="N964" s="2392"/>
      <c r="O964" s="2392"/>
      <c r="P964" s="2392"/>
      <c r="Q964" s="2392"/>
      <c r="R964" s="2392"/>
      <c r="S964" s="2392"/>
      <c r="T964" s="2392"/>
      <c r="U964" s="2392"/>
      <c r="V964" s="2392"/>
      <c r="W964" s="2392"/>
      <c r="X964" s="2392"/>
      <c r="Y964" s="2392"/>
      <c r="Z964" s="2392"/>
      <c r="AA964" s="2392"/>
      <c r="AB964" s="2392"/>
      <c r="AC964" s="2392"/>
      <c r="AD964" s="2392"/>
      <c r="AE964" s="2392"/>
      <c r="AF964" s="2392"/>
      <c r="AG964" s="2392"/>
      <c r="AH964" s="2392"/>
      <c r="AI964" s="2392"/>
      <c r="AJ964" s="2392"/>
      <c r="AK964" s="2392"/>
      <c r="AL964" s="2392"/>
      <c r="AM964" s="2392"/>
      <c r="AN964" s="2392"/>
      <c r="AO964" s="2392"/>
      <c r="AP964" s="2392"/>
      <c r="AQ964" s="2392"/>
      <c r="AR964" s="2392"/>
      <c r="AS964" s="239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9"/>
      <c r="BH965" s="2319"/>
      <c r="BI965" s="2319"/>
      <c r="BJ965" s="2319"/>
      <c r="BK965" s="2319"/>
      <c r="BL965" s="231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96" t="s">
        <v>672</v>
      </c>
      <c r="E968" s="2497"/>
      <c r="F968" s="2497"/>
      <c r="G968" s="2497"/>
      <c r="H968" s="2497"/>
      <c r="I968" s="2497"/>
      <c r="J968" s="2497"/>
      <c r="K968" s="2497"/>
      <c r="L968" s="2497"/>
      <c r="M968" s="2497"/>
      <c r="N968" s="2497"/>
      <c r="O968" s="2497"/>
      <c r="P968" s="2497"/>
      <c r="Q968" s="2498"/>
      <c r="R968" s="2496" t="s">
        <v>673</v>
      </c>
      <c r="S968" s="2497"/>
      <c r="T968" s="2497"/>
      <c r="U968" s="2497"/>
      <c r="V968" s="2497"/>
      <c r="W968" s="2497"/>
      <c r="X968" s="2497"/>
      <c r="Y968" s="2497"/>
      <c r="Z968" s="2497"/>
      <c r="AA968" s="2498"/>
      <c r="AB968" s="2496" t="s">
        <v>674</v>
      </c>
      <c r="AC968" s="2497"/>
      <c r="AD968" s="2497"/>
      <c r="AE968" s="2497"/>
      <c r="AF968" s="2497"/>
      <c r="AG968" s="2497"/>
      <c r="AH968" s="2497"/>
      <c r="AI968" s="2498"/>
      <c r="AJ968" s="2496" t="s">
        <v>675</v>
      </c>
      <c r="AK968" s="2497"/>
      <c r="AL968" s="2497"/>
      <c r="AM968" s="2497"/>
      <c r="AN968" s="2497"/>
      <c r="AO968" s="2497"/>
      <c r="AP968" s="2497"/>
      <c r="AQ968" s="249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85" t="s">
        <v>667</v>
      </c>
      <c r="E969" s="2386"/>
      <c r="F969" s="2386"/>
      <c r="G969" s="2386"/>
      <c r="H969" s="2386"/>
      <c r="I969" s="2386"/>
      <c r="J969" s="2386"/>
      <c r="K969" s="2386"/>
      <c r="L969" s="2386"/>
      <c r="M969" s="2386"/>
      <c r="N969" s="2386"/>
      <c r="O969" s="2386"/>
      <c r="P969" s="2386"/>
      <c r="Q969" s="2387"/>
      <c r="R969" s="2363">
        <f>IF(ISNA(IF($BN$799="4%",(INDEX($BP$809:$BT$866,MATCH($CB$799,$BO$809:$BO$866,0),MATCH(D969,$BP$808:$BT$808,0))),(INDEX($BW$809:$CA$866,MATCH($CB$799,$BV$809:$BV$866,0),MATCH(D969,$BW$808:$CA$808,0))))),0,IF($BN$799="4%",(INDEX($BP$809:$BT$866,MATCH($CB$799,$BO$809:$BO$866,0),MATCH(D969,$BP$808:$BT$808,0))),(INDEX($BW$809:$CA$866,MATCH($CB$799,$BV$809:$BV$866,0),MATCH(D969,$BW$808:$CA$808,0)))))</f>
        <v>299104</v>
      </c>
      <c r="S969" s="2363"/>
      <c r="T969" s="2363"/>
      <c r="U969" s="2363"/>
      <c r="V969" s="2363"/>
      <c r="W969" s="2363"/>
      <c r="X969" s="2363"/>
      <c r="Y969" s="2363"/>
      <c r="Z969" s="2363"/>
      <c r="AA969" s="2363"/>
      <c r="AB969" s="2499">
        <f>BN663</f>
        <v>0</v>
      </c>
      <c r="AC969" s="2500"/>
      <c r="AD969" s="2500"/>
      <c r="AE969" s="2500"/>
      <c r="AF969" s="2500"/>
      <c r="AG969" s="2500"/>
      <c r="AH969" s="2500"/>
      <c r="AI969" s="2501"/>
      <c r="AJ969" s="2389">
        <f>IF(ISERROR((R969*AB969)),0,(R969*AB969))</f>
        <v>0</v>
      </c>
      <c r="AK969" s="2390"/>
      <c r="AL969" s="2390"/>
      <c r="AM969" s="2390"/>
      <c r="AN969" s="2390"/>
      <c r="AO969" s="2390"/>
      <c r="AP969" s="2390"/>
      <c r="AQ969" s="239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85" t="s">
        <v>334</v>
      </c>
      <c r="E970" s="2386"/>
      <c r="F970" s="2386"/>
      <c r="G970" s="2386"/>
      <c r="H970" s="2386"/>
      <c r="I970" s="2386"/>
      <c r="J970" s="2386"/>
      <c r="K970" s="2386"/>
      <c r="L970" s="2386"/>
      <c r="M970" s="2386"/>
      <c r="N970" s="2386"/>
      <c r="O970" s="2386"/>
      <c r="P970" s="2386"/>
      <c r="Q970" s="2387"/>
      <c r="R970" s="2363">
        <f>IF(ISNA(IF($BN$799="4%",(INDEX($BP$809:$BT$866,MATCH($CB$799,$BO$809:$BO$866,0),MATCH(D970,$BP$808:$BT$808,0))),(INDEX($BW$809:$CA$866,MATCH($CB$799,$BV$809:$BV$866,0),MATCH(D970,$BW$808:$CA$808,0))))),0,IF($BN$799="4%",(INDEX($BP$809:$BT$866,MATCH($CB$799,$BO$809:$BO$866,0),MATCH(D970,$BP$808:$BT$808,0))),(INDEX($BW$809:$CA$866,MATCH($CB$799,$BV$809:$BV$866,0),MATCH(D970,$BW$808:$CA$808,0)))))</f>
        <v>344864</v>
      </c>
      <c r="S970" s="2363"/>
      <c r="T970" s="2363"/>
      <c r="U970" s="2363"/>
      <c r="V970" s="2363"/>
      <c r="W970" s="2363"/>
      <c r="X970" s="2363"/>
      <c r="Y970" s="2363"/>
      <c r="Z970" s="2363"/>
      <c r="AA970" s="2363"/>
      <c r="AB970" s="2499">
        <f>BS663</f>
        <v>0</v>
      </c>
      <c r="AC970" s="2500"/>
      <c r="AD970" s="2500"/>
      <c r="AE970" s="2500"/>
      <c r="AF970" s="2500"/>
      <c r="AG970" s="2500"/>
      <c r="AH970" s="2500"/>
      <c r="AI970" s="2501"/>
      <c r="AJ970" s="2389">
        <f>IF(ISERROR((R970*AB970)),0,(R970*AB970))</f>
        <v>0</v>
      </c>
      <c r="AK970" s="2390"/>
      <c r="AL970" s="2390"/>
      <c r="AM970" s="2390"/>
      <c r="AN970" s="2390"/>
      <c r="AO970" s="2390"/>
      <c r="AP970" s="2390"/>
      <c r="AQ970" s="239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5" t="s">
        <v>168</v>
      </c>
      <c r="E971" s="2386"/>
      <c r="F971" s="2386"/>
      <c r="G971" s="2386"/>
      <c r="H971" s="2386"/>
      <c r="I971" s="2386"/>
      <c r="J971" s="2386"/>
      <c r="K971" s="2386"/>
      <c r="L971" s="2386"/>
      <c r="M971" s="2386"/>
      <c r="N971" s="2386"/>
      <c r="O971" s="2386"/>
      <c r="P971" s="2386"/>
      <c r="Q971" s="2387"/>
      <c r="R971" s="2363">
        <f>IF(ISNA(IF($BN$799="4%",(INDEX($BP$809:$BT$866,MATCH($CB$799,$BO$809:$BO$866,0),MATCH(D971,$BP$808:$BT$808,0))),(INDEX($BW$809:$CA$866,MATCH($CB$799,$BV$809:$BV$866,0),MATCH(D971,$BW$808:$CA$808,0))))),0,IF($BN$799="4%",(INDEX($BP$809:$BT$866,MATCH($CB$799,$BO$809:$BO$866,0),MATCH(D971,$BP$808:$BT$808,0))),(INDEX($BW$809:$CA$866,MATCH($CB$799,$BV$809:$BV$866,0),MATCH(D971,$BW$808:$CA$808,0)))))</f>
        <v>416000</v>
      </c>
      <c r="S971" s="2363"/>
      <c r="T971" s="2363"/>
      <c r="U971" s="2363"/>
      <c r="V971" s="2363"/>
      <c r="W971" s="2363"/>
      <c r="X971" s="2363"/>
      <c r="Y971" s="2363"/>
      <c r="Z971" s="2363"/>
      <c r="AA971" s="2363"/>
      <c r="AB971" s="2499">
        <f>BX663</f>
        <v>6</v>
      </c>
      <c r="AC971" s="2500"/>
      <c r="AD971" s="2500"/>
      <c r="AE971" s="2500"/>
      <c r="AF971" s="2500"/>
      <c r="AG971" s="2500"/>
      <c r="AH971" s="2500"/>
      <c r="AI971" s="2501"/>
      <c r="AJ971" s="2389">
        <f>IF(ISERROR((R971*AB971)),0,(R971*AB971))</f>
        <v>2496000</v>
      </c>
      <c r="AK971" s="2390"/>
      <c r="AL971" s="2390"/>
      <c r="AM971" s="2390"/>
      <c r="AN971" s="2390"/>
      <c r="AO971" s="2390"/>
      <c r="AP971" s="2390"/>
      <c r="AQ971" s="239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85" t="s">
        <v>169</v>
      </c>
      <c r="E972" s="2386"/>
      <c r="F972" s="2386"/>
      <c r="G972" s="2386"/>
      <c r="H972" s="2386"/>
      <c r="I972" s="2386"/>
      <c r="J972" s="2386"/>
      <c r="K972" s="2386"/>
      <c r="L972" s="2386"/>
      <c r="M972" s="2386"/>
      <c r="N972" s="2386"/>
      <c r="O972" s="2386"/>
      <c r="P972" s="2386"/>
      <c r="Q972" s="2387"/>
      <c r="R972" s="2363">
        <f>IF(ISNA(IF($BN$799="4%",(INDEX($BP$809:$BT$866,MATCH($CB$799,$BO$809:$BO$866,0),MATCH(D972,$BP$808:$BT$808,0))),(INDEX($BW$809:$CA$866,MATCH($CB$799,$BV$809:$BV$866,0),MATCH(D972,$BW$808:$CA$808,0))))),0,IF($BN$799="4%",(INDEX($BP$809:$BT$866,MATCH($CB$799,$BO$809:$BO$866,0),MATCH(D972,$BP$808:$BT$808,0))),(INDEX($BW$809:$CA$866,MATCH($CB$799,$BV$809:$BV$866,0),MATCH(D972,$BW$808:$CA$808,0)))))</f>
        <v>532480</v>
      </c>
      <c r="S972" s="2363"/>
      <c r="T972" s="2363"/>
      <c r="U972" s="2363"/>
      <c r="V972" s="2363"/>
      <c r="W972" s="2363"/>
      <c r="X972" s="2363"/>
      <c r="Y972" s="2363"/>
      <c r="Z972" s="2363"/>
      <c r="AA972" s="2363"/>
      <c r="AB972" s="2499">
        <f>CC663</f>
        <v>128</v>
      </c>
      <c r="AC972" s="2500"/>
      <c r="AD972" s="2500"/>
      <c r="AE972" s="2500"/>
      <c r="AF972" s="2500"/>
      <c r="AG972" s="2500"/>
      <c r="AH972" s="2500"/>
      <c r="AI972" s="2501"/>
      <c r="AJ972" s="2389">
        <f>IF(ISERROR((R972*AB972)),0,(R972*AB972))</f>
        <v>68157440</v>
      </c>
      <c r="AK972" s="2390"/>
      <c r="AL972" s="2390"/>
      <c r="AM972" s="2390"/>
      <c r="AN972" s="2390"/>
      <c r="AO972" s="2390"/>
      <c r="AP972" s="2390"/>
      <c r="AQ972" s="239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5" t="s">
        <v>492</v>
      </c>
      <c r="E973" s="2386"/>
      <c r="F973" s="2386"/>
      <c r="G973" s="2386"/>
      <c r="H973" s="2386"/>
      <c r="I973" s="2386"/>
      <c r="J973" s="2386"/>
      <c r="K973" s="2386"/>
      <c r="L973" s="2386"/>
      <c r="M973" s="2386"/>
      <c r="N973" s="2386"/>
      <c r="O973" s="2386"/>
      <c r="P973" s="2386"/>
      <c r="Q973" s="2387"/>
      <c r="R973" s="2363">
        <f>IF(ISNA(IF($BN$799="4%",(INDEX($BP$809:$BT$866,MATCH($CB$799,$BO$809:$BO$866,0),MATCH(D973,$BP$808:$BT$808,0))),(INDEX($BW$809:$CA$866,MATCH($CB$799,$BV$809:$BV$866,0),MATCH(D973,$BW$808:$CA$808,0))))),0,IF($BN$799="4%",(INDEX($BP$809:$BT$866,MATCH($CB$799,$BO$809:$BO$866,0),MATCH(D973,$BP$808:$BT$808,0))),(INDEX($BW$809:$CA$866,MATCH($CB$799,$BV$809:$BV$866,0),MATCH(D973,$BW$808:$CA$808,0)))))</f>
        <v>593216</v>
      </c>
      <c r="S973" s="2363"/>
      <c r="T973" s="2363"/>
      <c r="U973" s="2363"/>
      <c r="V973" s="2363"/>
      <c r="W973" s="2363"/>
      <c r="X973" s="2363"/>
      <c r="Y973" s="2363"/>
      <c r="Z973" s="2363"/>
      <c r="AA973" s="2363"/>
      <c r="AB973" s="2499">
        <f>CM663+CH663</f>
        <v>0</v>
      </c>
      <c r="AC973" s="2500"/>
      <c r="AD973" s="2500"/>
      <c r="AE973" s="2500"/>
      <c r="AF973" s="2500"/>
      <c r="AG973" s="2500"/>
      <c r="AH973" s="2500"/>
      <c r="AI973" s="2501"/>
      <c r="AJ973" s="2389">
        <f>IF(ISERROR((R973*AB973)),0,(R973*AB973))</f>
        <v>0</v>
      </c>
      <c r="AK973" s="2390"/>
      <c r="AL973" s="2390"/>
      <c r="AM973" s="2390"/>
      <c r="AN973" s="2390"/>
      <c r="AO973" s="2390"/>
      <c r="AP973" s="2390"/>
      <c r="AQ973" s="239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0" t="s">
        <v>848</v>
      </c>
      <c r="C974" s="2521"/>
      <c r="D974" s="2521"/>
      <c r="E974" s="2521"/>
      <c r="F974" s="2521"/>
      <c r="G974" s="2521"/>
      <c r="H974" s="2521"/>
      <c r="I974" s="2521"/>
      <c r="J974" s="2521"/>
      <c r="K974" s="2521"/>
      <c r="L974" s="2521"/>
      <c r="M974" s="2521"/>
      <c r="N974" s="2521"/>
      <c r="O974" s="2521"/>
      <c r="P974" s="2521"/>
      <c r="Q974" s="2521"/>
      <c r="R974" s="2521"/>
      <c r="S974" s="2521"/>
      <c r="T974" s="2521"/>
      <c r="U974" s="2521"/>
      <c r="V974" s="2521"/>
      <c r="W974" s="2521"/>
      <c r="X974" s="2521"/>
      <c r="Y974" s="2521"/>
      <c r="Z974" s="2521"/>
      <c r="AA974" s="2522"/>
      <c r="AB974" s="2499">
        <f>SUM(AB969:AI973)</f>
        <v>134</v>
      </c>
      <c r="AC974" s="2500"/>
      <c r="AD974" s="2500"/>
      <c r="AE974" s="2500"/>
      <c r="AF974" s="2500"/>
      <c r="AG974" s="2500"/>
      <c r="AH974" s="2500"/>
      <c r="AI974" s="2501"/>
      <c r="AJ974" s="2389"/>
      <c r="AK974" s="2390"/>
      <c r="AL974" s="2390"/>
      <c r="AM974" s="2390"/>
      <c r="AN974" s="2390"/>
      <c r="AO974" s="2390"/>
      <c r="AP974" s="2390"/>
      <c r="AQ974" s="239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53" t="s">
        <v>544</v>
      </c>
      <c r="C975" s="2554"/>
      <c r="D975" s="2554"/>
      <c r="E975" s="2554"/>
      <c r="F975" s="2554"/>
      <c r="G975" s="2554"/>
      <c r="H975" s="2554"/>
      <c r="I975" s="2554"/>
      <c r="J975" s="2554"/>
      <c r="K975" s="2554"/>
      <c r="L975" s="2554"/>
      <c r="M975" s="2554"/>
      <c r="N975" s="2554"/>
      <c r="O975" s="2554"/>
      <c r="P975" s="2554"/>
      <c r="Q975" s="2554"/>
      <c r="R975" s="2554"/>
      <c r="S975" s="2554"/>
      <c r="T975" s="2554"/>
      <c r="U975" s="2554"/>
      <c r="V975" s="2554"/>
      <c r="W975" s="2554"/>
      <c r="X975" s="2554"/>
      <c r="Y975" s="2554"/>
      <c r="Z975" s="2554"/>
      <c r="AA975" s="2554"/>
      <c r="AB975" s="2554"/>
      <c r="AC975" s="2554"/>
      <c r="AD975" s="2554"/>
      <c r="AE975" s="2554"/>
      <c r="AF975" s="2554"/>
      <c r="AG975" s="2554"/>
      <c r="AH975" s="2554"/>
      <c r="AI975" s="2555"/>
      <c r="AJ975" s="2389">
        <f>SUM(AJ969:AQ973)</f>
        <v>70653440</v>
      </c>
      <c r="AK975" s="2390"/>
      <c r="AL975" s="2390"/>
      <c r="AM975" s="2390"/>
      <c r="AN975" s="2390"/>
      <c r="AO975" s="2390"/>
      <c r="AP975" s="2390"/>
      <c r="AQ975" s="239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9"/>
      <c r="C976" s="2490"/>
      <c r="D976" s="2490"/>
      <c r="E976" s="2490"/>
      <c r="F976" s="2490"/>
      <c r="G976" s="2490"/>
      <c r="H976" s="2490"/>
      <c r="I976" s="2490"/>
      <c r="J976" s="2490"/>
      <c r="K976" s="2490"/>
      <c r="L976" s="2490"/>
      <c r="M976" s="2490"/>
      <c r="N976" s="2490"/>
      <c r="O976" s="2490"/>
      <c r="P976" s="2490"/>
      <c r="Q976" s="2490"/>
      <c r="R976" s="2490"/>
      <c r="S976" s="2490"/>
      <c r="T976" s="2490"/>
      <c r="U976" s="2490"/>
      <c r="V976" s="2490"/>
      <c r="W976" s="2490"/>
      <c r="X976" s="2490"/>
      <c r="Y976" s="2490"/>
      <c r="Z976" s="2490"/>
      <c r="AA976" s="2490"/>
      <c r="AB976" s="2490"/>
      <c r="AC976" s="2490"/>
      <c r="AD976" s="2490"/>
      <c r="AE976" s="2491"/>
      <c r="AF976" s="2556" t="s">
        <v>702</v>
      </c>
      <c r="AG976" s="2557"/>
      <c r="AH976" s="2557"/>
      <c r="AI976" s="2558"/>
      <c r="AJ976" s="2489"/>
      <c r="AK976" s="2490"/>
      <c r="AL976" s="2490"/>
      <c r="AM976" s="2490"/>
      <c r="AN976" s="2490"/>
      <c r="AO976" s="2490"/>
      <c r="AP976" s="2490"/>
      <c r="AQ976" s="249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92" t="s">
        <v>1430</v>
      </c>
      <c r="E977" s="2493"/>
      <c r="F977" s="2493"/>
      <c r="G977" s="2493"/>
      <c r="H977" s="2493"/>
      <c r="I977" s="2493"/>
      <c r="J977" s="2493"/>
      <c r="K977" s="2493"/>
      <c r="L977" s="2493"/>
      <c r="M977" s="2493"/>
      <c r="N977" s="2493"/>
      <c r="O977" s="2493"/>
      <c r="P977" s="2493"/>
      <c r="Q977" s="2493"/>
      <c r="R977" s="2493"/>
      <c r="S977" s="2493"/>
      <c r="T977" s="2493"/>
      <c r="U977" s="2493"/>
      <c r="V977" s="2493"/>
      <c r="W977" s="2493"/>
      <c r="X977" s="2493"/>
      <c r="Y977" s="2493"/>
      <c r="Z977" s="2493"/>
      <c r="AA977" s="2493"/>
      <c r="AB977" s="2493"/>
      <c r="AC977" s="2493"/>
      <c r="AD977" s="2493"/>
      <c r="AE977" s="2494"/>
      <c r="AF977" s="117"/>
      <c r="AG977" s="2559" t="s">
        <v>705</v>
      </c>
      <c r="AH977" s="2560"/>
      <c r="AI977" s="125"/>
      <c r="AJ977" s="2480">
        <f>ROUND(IF(AND(AG977="yes",D979&gt;0),AJ975*0.2,0),0)</f>
        <v>0</v>
      </c>
      <c r="AK977" s="2481"/>
      <c r="AL977" s="2481"/>
      <c r="AM977" s="2481"/>
      <c r="AN977" s="2481"/>
      <c r="AO977" s="2481"/>
      <c r="AP977" s="2481"/>
      <c r="AQ977" s="248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3" t="s">
        <v>1431</v>
      </c>
      <c r="E978" s="2524"/>
      <c r="F978" s="2524"/>
      <c r="G978" s="2524"/>
      <c r="H978" s="2524"/>
      <c r="I978" s="2524"/>
      <c r="J978" s="2524"/>
      <c r="K978" s="2524"/>
      <c r="L978" s="2524"/>
      <c r="M978" s="2524"/>
      <c r="N978" s="2524"/>
      <c r="O978" s="2524"/>
      <c r="P978" s="2524"/>
      <c r="Q978" s="2524"/>
      <c r="R978" s="2524"/>
      <c r="S978" s="2524"/>
      <c r="T978" s="2524"/>
      <c r="U978" s="2524"/>
      <c r="V978" s="2524"/>
      <c r="W978" s="2524"/>
      <c r="X978" s="2524"/>
      <c r="Y978" s="2524"/>
      <c r="Z978" s="2524"/>
      <c r="AA978" s="2524"/>
      <c r="AB978" s="2524"/>
      <c r="AC978" s="2524"/>
      <c r="AD978" s="2524"/>
      <c r="AE978" s="2525"/>
      <c r="AF978" s="110"/>
      <c r="AG978" s="112"/>
      <c r="AH978" s="112"/>
      <c r="AI978" s="121"/>
      <c r="AJ978" s="2483"/>
      <c r="AK978" s="2484"/>
      <c r="AL978" s="2484"/>
      <c r="AM978" s="2484"/>
      <c r="AN978" s="2484"/>
      <c r="AO978" s="2484"/>
      <c r="AP978" s="2484"/>
      <c r="AQ978" s="248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26"/>
      <c r="E979" s="2527"/>
      <c r="F979" s="2527"/>
      <c r="G979" s="2527"/>
      <c r="H979" s="2527"/>
      <c r="I979" s="2527"/>
      <c r="J979" s="2527"/>
      <c r="K979" s="2527"/>
      <c r="L979" s="2527"/>
      <c r="M979" s="2527"/>
      <c r="N979" s="2527"/>
      <c r="O979" s="2527"/>
      <c r="P979" s="2527"/>
      <c r="Q979" s="2527"/>
      <c r="R979" s="2527"/>
      <c r="S979" s="2527"/>
      <c r="T979" s="2527"/>
      <c r="U979" s="2527"/>
      <c r="V979" s="2527"/>
      <c r="W979" s="2527"/>
      <c r="X979" s="2527"/>
      <c r="Y979" s="2527"/>
      <c r="Z979" s="2527"/>
      <c r="AA979" s="2527"/>
      <c r="AB979" s="2527"/>
      <c r="AC979" s="2527"/>
      <c r="AD979" s="2527"/>
      <c r="AE979" s="2528"/>
      <c r="AF979" s="115"/>
      <c r="AG979" s="11"/>
      <c r="AH979" s="11"/>
      <c r="AI979" s="116"/>
      <c r="AJ979" s="2486"/>
      <c r="AK979" s="2487"/>
      <c r="AL979" s="2487"/>
      <c r="AM979" s="2487"/>
      <c r="AN979" s="2487"/>
      <c r="AO979" s="2487"/>
      <c r="AP979" s="2487"/>
      <c r="AQ979" s="248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3" t="s">
        <v>1530</v>
      </c>
      <c r="E980" s="2444"/>
      <c r="F980" s="2444"/>
      <c r="G980" s="2444"/>
      <c r="H980" s="2444"/>
      <c r="I980" s="2444"/>
      <c r="J980" s="2444"/>
      <c r="K980" s="2444"/>
      <c r="L980" s="2444"/>
      <c r="M980" s="2444"/>
      <c r="N980" s="2444"/>
      <c r="O980" s="2444"/>
      <c r="P980" s="2444"/>
      <c r="Q980" s="2444"/>
      <c r="R980" s="2444"/>
      <c r="S980" s="2444"/>
      <c r="T980" s="2444"/>
      <c r="U980" s="2444"/>
      <c r="V980" s="2444"/>
      <c r="W980" s="2444"/>
      <c r="X980" s="2444"/>
      <c r="Y980" s="2444"/>
      <c r="Z980" s="2444"/>
      <c r="AA980" s="2444"/>
      <c r="AB980" s="2444"/>
      <c r="AC980" s="2444"/>
      <c r="AD980" s="2444"/>
      <c r="AE980" s="2445"/>
      <c r="AF980" s="117"/>
      <c r="AG980" s="2455" t="s">
        <v>705</v>
      </c>
      <c r="AH980" s="2456"/>
      <c r="AI980" s="125"/>
      <c r="AJ980" s="2480">
        <f>ROUND(IF(AG980="yes",AJ975*0.05,0),0)</f>
        <v>0</v>
      </c>
      <c r="AK980" s="2481"/>
      <c r="AL980" s="2481"/>
      <c r="AM980" s="2481"/>
      <c r="AN980" s="2481"/>
      <c r="AO980" s="2481"/>
      <c r="AP980" s="2481"/>
      <c r="AQ980" s="248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23" t="s">
        <v>1528</v>
      </c>
      <c r="E981" s="2524"/>
      <c r="F981" s="2524"/>
      <c r="G981" s="2524"/>
      <c r="H981" s="2524"/>
      <c r="I981" s="2524"/>
      <c r="J981" s="2524"/>
      <c r="K981" s="2524"/>
      <c r="L981" s="2524"/>
      <c r="M981" s="2524"/>
      <c r="N981" s="2524"/>
      <c r="O981" s="2524"/>
      <c r="P981" s="2524"/>
      <c r="Q981" s="2524"/>
      <c r="R981" s="2524"/>
      <c r="S981" s="2524"/>
      <c r="T981" s="2524"/>
      <c r="U981" s="2524"/>
      <c r="V981" s="2524"/>
      <c r="W981" s="2524"/>
      <c r="X981" s="2524"/>
      <c r="Y981" s="2524"/>
      <c r="Z981" s="2524"/>
      <c r="AA981" s="2524"/>
      <c r="AB981" s="2524"/>
      <c r="AC981" s="2524"/>
      <c r="AD981" s="2524"/>
      <c r="AE981" s="2525"/>
      <c r="AF981" s="110"/>
      <c r="AG981" s="112"/>
      <c r="AH981" s="112"/>
      <c r="AI981" s="121"/>
      <c r="AJ981" s="2483"/>
      <c r="AK981" s="2484"/>
      <c r="AL981" s="2484"/>
      <c r="AM981" s="2484"/>
      <c r="AN981" s="2484"/>
      <c r="AO981" s="2484"/>
      <c r="AP981" s="2484"/>
      <c r="AQ981" s="248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3"/>
      <c r="E982" s="2524"/>
      <c r="F982" s="2524"/>
      <c r="G982" s="2524"/>
      <c r="H982" s="2524"/>
      <c r="I982" s="2524"/>
      <c r="J982" s="2524"/>
      <c r="K982" s="2524"/>
      <c r="L982" s="2524"/>
      <c r="M982" s="2524"/>
      <c r="N982" s="2524"/>
      <c r="O982" s="2524"/>
      <c r="P982" s="2524"/>
      <c r="Q982" s="2524"/>
      <c r="R982" s="2524"/>
      <c r="S982" s="2524"/>
      <c r="T982" s="2524"/>
      <c r="U982" s="2524"/>
      <c r="V982" s="2524"/>
      <c r="W982" s="2524"/>
      <c r="X982" s="2524"/>
      <c r="Y982" s="2524"/>
      <c r="Z982" s="2524"/>
      <c r="AA982" s="2524"/>
      <c r="AB982" s="2524"/>
      <c r="AC982" s="2524"/>
      <c r="AD982" s="2524"/>
      <c r="AE982" s="2525"/>
      <c r="AF982" s="110"/>
      <c r="AG982" s="112"/>
      <c r="AH982" s="112"/>
      <c r="AI982" s="121"/>
      <c r="AJ982" s="2483"/>
      <c r="AK982" s="2484"/>
      <c r="AL982" s="2484"/>
      <c r="AM982" s="2484"/>
      <c r="AN982" s="2484"/>
      <c r="AO982" s="2484"/>
      <c r="AP982" s="2484"/>
      <c r="AQ982" s="248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3"/>
      <c r="E983" s="2524"/>
      <c r="F983" s="2524"/>
      <c r="G983" s="2524"/>
      <c r="H983" s="2524"/>
      <c r="I983" s="2524"/>
      <c r="J983" s="2524"/>
      <c r="K983" s="2524"/>
      <c r="L983" s="2524"/>
      <c r="M983" s="2524"/>
      <c r="N983" s="2524"/>
      <c r="O983" s="2524"/>
      <c r="P983" s="2524"/>
      <c r="Q983" s="2524"/>
      <c r="R983" s="2524"/>
      <c r="S983" s="2524"/>
      <c r="T983" s="2524"/>
      <c r="U983" s="2524"/>
      <c r="V983" s="2524"/>
      <c r="W983" s="2524"/>
      <c r="X983" s="2524"/>
      <c r="Y983" s="2524"/>
      <c r="Z983" s="2524"/>
      <c r="AA983" s="2524"/>
      <c r="AB983" s="2524"/>
      <c r="AC983" s="2524"/>
      <c r="AD983" s="2524"/>
      <c r="AE983" s="2525"/>
      <c r="AF983" s="110"/>
      <c r="AG983" s="112"/>
      <c r="AH983" s="112"/>
      <c r="AI983" s="121"/>
      <c r="AJ983" s="2483"/>
      <c r="AK983" s="2484"/>
      <c r="AL983" s="2484"/>
      <c r="AM983" s="2484"/>
      <c r="AN983" s="2484"/>
      <c r="AO983" s="2484"/>
      <c r="AP983" s="2484"/>
      <c r="AQ983" s="248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3"/>
      <c r="E984" s="2524"/>
      <c r="F984" s="2524"/>
      <c r="G984" s="2524"/>
      <c r="H984" s="2524"/>
      <c r="I984" s="2524"/>
      <c r="J984" s="2524"/>
      <c r="K984" s="2524"/>
      <c r="L984" s="2524"/>
      <c r="M984" s="2524"/>
      <c r="N984" s="2524"/>
      <c r="O984" s="2524"/>
      <c r="P984" s="2524"/>
      <c r="Q984" s="2524"/>
      <c r="R984" s="2524"/>
      <c r="S984" s="2524"/>
      <c r="T984" s="2524"/>
      <c r="U984" s="2524"/>
      <c r="V984" s="2524"/>
      <c r="W984" s="2524"/>
      <c r="X984" s="2524"/>
      <c r="Y984" s="2524"/>
      <c r="Z984" s="2524"/>
      <c r="AA984" s="2524"/>
      <c r="AB984" s="2524"/>
      <c r="AC984" s="2524"/>
      <c r="AD984" s="2524"/>
      <c r="AE984" s="2525"/>
      <c r="AF984" s="110"/>
      <c r="AG984" s="112"/>
      <c r="AH984" s="112"/>
      <c r="AI984" s="121"/>
      <c r="AJ984" s="2483"/>
      <c r="AK984" s="2484"/>
      <c r="AL984" s="2484"/>
      <c r="AM984" s="2484"/>
      <c r="AN984" s="2484"/>
      <c r="AO984" s="2484"/>
      <c r="AP984" s="2484"/>
      <c r="AQ984" s="248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9"/>
      <c r="E985" s="2530"/>
      <c r="F985" s="2530"/>
      <c r="G985" s="2530"/>
      <c r="H985" s="2530"/>
      <c r="I985" s="2530"/>
      <c r="J985" s="2530"/>
      <c r="K985" s="2530"/>
      <c r="L985" s="2530"/>
      <c r="M985" s="2530"/>
      <c r="N985" s="2530"/>
      <c r="O985" s="2530"/>
      <c r="P985" s="2530"/>
      <c r="Q985" s="2530"/>
      <c r="R985" s="2530"/>
      <c r="S985" s="2530"/>
      <c r="T985" s="2530"/>
      <c r="U985" s="2530"/>
      <c r="V985" s="2530"/>
      <c r="W985" s="2530"/>
      <c r="X985" s="2530"/>
      <c r="Y985" s="2530"/>
      <c r="Z985" s="2530"/>
      <c r="AA985" s="2530"/>
      <c r="AB985" s="2530"/>
      <c r="AC985" s="2530"/>
      <c r="AD985" s="2530"/>
      <c r="AE985" s="2531"/>
      <c r="AF985" s="115"/>
      <c r="AG985" s="11"/>
      <c r="AH985" s="11"/>
      <c r="AI985" s="116"/>
      <c r="AJ985" s="2486"/>
      <c r="AK985" s="2487"/>
      <c r="AL985" s="2487"/>
      <c r="AM985" s="2487"/>
      <c r="AN985" s="2487"/>
      <c r="AO985" s="2487"/>
      <c r="AP985" s="2487"/>
      <c r="AQ985" s="248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43" t="s">
        <v>2168</v>
      </c>
      <c r="E986" s="2444"/>
      <c r="F986" s="2444"/>
      <c r="G986" s="2444"/>
      <c r="H986" s="2444"/>
      <c r="I986" s="2444"/>
      <c r="J986" s="2444"/>
      <c r="K986" s="2444"/>
      <c r="L986" s="2444"/>
      <c r="M986" s="2444"/>
      <c r="N986" s="2444"/>
      <c r="O986" s="2444"/>
      <c r="P986" s="2444"/>
      <c r="Q986" s="2444"/>
      <c r="R986" s="2444"/>
      <c r="S986" s="2444"/>
      <c r="T986" s="2444"/>
      <c r="U986" s="2444"/>
      <c r="V986" s="2444"/>
      <c r="W986" s="2444"/>
      <c r="X986" s="2444"/>
      <c r="Y986" s="2444"/>
      <c r="Z986" s="2444"/>
      <c r="AA986" s="2444"/>
      <c r="AB986" s="2444"/>
      <c r="AC986" s="2444"/>
      <c r="AD986" s="2444"/>
      <c r="AE986" s="2445"/>
      <c r="AF986" s="124"/>
      <c r="AG986" s="2455" t="s">
        <v>705</v>
      </c>
      <c r="AH986" s="2456"/>
      <c r="AI986" s="125"/>
      <c r="AJ986" s="2480">
        <f>ROUND(IF(AG986="yes",AJ975*0.1,0),0)</f>
        <v>0</v>
      </c>
      <c r="AK986" s="2481"/>
      <c r="AL986" s="2481"/>
      <c r="AM986" s="2481"/>
      <c r="AN986" s="2481"/>
      <c r="AO986" s="2481"/>
      <c r="AP986" s="2481"/>
      <c r="AQ986" s="248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6" t="s">
        <v>1529</v>
      </c>
      <c r="E987" s="2447"/>
      <c r="F987" s="2447"/>
      <c r="G987" s="2447"/>
      <c r="H987" s="2447"/>
      <c r="I987" s="2447"/>
      <c r="J987" s="2447"/>
      <c r="K987" s="2447"/>
      <c r="L987" s="2447"/>
      <c r="M987" s="2447"/>
      <c r="N987" s="2447"/>
      <c r="O987" s="2447"/>
      <c r="P987" s="2447"/>
      <c r="Q987" s="2447"/>
      <c r="R987" s="2447"/>
      <c r="S987" s="2447"/>
      <c r="T987" s="2447"/>
      <c r="U987" s="2447"/>
      <c r="V987" s="2447"/>
      <c r="W987" s="2447"/>
      <c r="X987" s="2447"/>
      <c r="Y987" s="2447"/>
      <c r="Z987" s="2447"/>
      <c r="AA987" s="2447"/>
      <c r="AB987" s="2447"/>
      <c r="AC987" s="2447"/>
      <c r="AD987" s="2447"/>
      <c r="AE987" s="2448"/>
      <c r="AF987" s="110"/>
      <c r="AG987" s="25"/>
      <c r="AH987" s="25"/>
      <c r="AI987" s="121"/>
      <c r="AJ987" s="2483"/>
      <c r="AK987" s="2484"/>
      <c r="AL987" s="2484"/>
      <c r="AM987" s="2484"/>
      <c r="AN987" s="2484"/>
      <c r="AO987" s="2484"/>
      <c r="AP987" s="2484"/>
      <c r="AQ987" s="2485"/>
      <c r="AR987" s="1583"/>
      <c r="AS987" s="1583"/>
      <c r="AT987" s="1583"/>
      <c r="AU987" s="1583"/>
      <c r="AV987" s="1583"/>
      <c r="AW987" s="1583"/>
      <c r="AX987" s="1583"/>
      <c r="AY987" s="1583"/>
      <c r="AZ987" s="61"/>
      <c r="BA987" s="1612">
        <f>G753+O796</f>
        <v>133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6"/>
      <c r="E988" s="2447"/>
      <c r="F988" s="2447"/>
      <c r="G988" s="2447"/>
      <c r="H988" s="2447"/>
      <c r="I988" s="2447"/>
      <c r="J988" s="2447"/>
      <c r="K988" s="2447"/>
      <c r="L988" s="2447"/>
      <c r="M988" s="2447"/>
      <c r="N988" s="2447"/>
      <c r="O988" s="2447"/>
      <c r="P988" s="2447"/>
      <c r="Q988" s="2447"/>
      <c r="R988" s="2447"/>
      <c r="S988" s="2447"/>
      <c r="T988" s="2447"/>
      <c r="U988" s="2447"/>
      <c r="V988" s="2447"/>
      <c r="W988" s="2447"/>
      <c r="X988" s="2447"/>
      <c r="Y988" s="2447"/>
      <c r="Z988" s="2447"/>
      <c r="AA988" s="2447"/>
      <c r="AB988" s="2447"/>
      <c r="AC988" s="2447"/>
      <c r="AD988" s="2447"/>
      <c r="AE988" s="2448"/>
      <c r="AF988" s="110"/>
      <c r="AG988" s="112"/>
      <c r="AH988" s="112"/>
      <c r="AI988" s="121"/>
      <c r="AJ988" s="2483"/>
      <c r="AK988" s="2484"/>
      <c r="AL988" s="2484"/>
      <c r="AM988" s="2484"/>
      <c r="AN988" s="2484"/>
      <c r="AO988" s="2484"/>
      <c r="AP988" s="2484"/>
      <c r="AQ988" s="248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9"/>
      <c r="E989" s="2460"/>
      <c r="F989" s="2460"/>
      <c r="G989" s="2460"/>
      <c r="H989" s="2460"/>
      <c r="I989" s="2460"/>
      <c r="J989" s="2460"/>
      <c r="K989" s="2460"/>
      <c r="L989" s="2460"/>
      <c r="M989" s="2460"/>
      <c r="N989" s="2460"/>
      <c r="O989" s="2460"/>
      <c r="P989" s="2460"/>
      <c r="Q989" s="2460"/>
      <c r="R989" s="2460"/>
      <c r="S989" s="2460"/>
      <c r="T989" s="2460"/>
      <c r="U989" s="2460"/>
      <c r="V989" s="2460"/>
      <c r="W989" s="2460"/>
      <c r="X989" s="2460"/>
      <c r="Y989" s="2460"/>
      <c r="Z989" s="2460"/>
      <c r="AA989" s="2460"/>
      <c r="AB989" s="2460"/>
      <c r="AC989" s="2460"/>
      <c r="AD989" s="2460"/>
      <c r="AE989" s="2461"/>
      <c r="AF989" s="115"/>
      <c r="AG989" s="11"/>
      <c r="AH989" s="11"/>
      <c r="AI989" s="116"/>
      <c r="AJ989" s="2486"/>
      <c r="AK989" s="2487"/>
      <c r="AL989" s="2487"/>
      <c r="AM989" s="2487"/>
      <c r="AN989" s="2487"/>
      <c r="AO989" s="2487"/>
      <c r="AP989" s="2487"/>
      <c r="AQ989" s="2488"/>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3" t="s">
        <v>1531</v>
      </c>
      <c r="E990" s="2444"/>
      <c r="F990" s="2444"/>
      <c r="G990" s="2444"/>
      <c r="H990" s="2444"/>
      <c r="I990" s="2444"/>
      <c r="J990" s="2444"/>
      <c r="K990" s="2444"/>
      <c r="L990" s="2444"/>
      <c r="M990" s="2444"/>
      <c r="N990" s="2444"/>
      <c r="O990" s="2444"/>
      <c r="P990" s="2444"/>
      <c r="Q990" s="2444"/>
      <c r="R990" s="2444"/>
      <c r="S990" s="2444"/>
      <c r="T990" s="2444"/>
      <c r="U990" s="2444"/>
      <c r="V990" s="2444"/>
      <c r="W990" s="2444"/>
      <c r="X990" s="2444"/>
      <c r="Y990" s="2444"/>
      <c r="Z990" s="2444"/>
      <c r="AA990" s="2444"/>
      <c r="AB990" s="2444"/>
      <c r="AC990" s="2444"/>
      <c r="AD990" s="2444"/>
      <c r="AE990" s="2445"/>
      <c r="AF990" s="117"/>
      <c r="AG990" s="2455" t="s">
        <v>705</v>
      </c>
      <c r="AH990" s="2456"/>
      <c r="AI990" s="125"/>
      <c r="AJ990" s="2480">
        <f>ROUND(IF(AG990="yes",AJ975*0.02,0),0)</f>
        <v>0</v>
      </c>
      <c r="AK990" s="2481"/>
      <c r="AL990" s="2481"/>
      <c r="AM990" s="2481"/>
      <c r="AN990" s="2481"/>
      <c r="AO990" s="2481"/>
      <c r="AP990" s="2481"/>
      <c r="AQ990" s="2482"/>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9" t="s">
        <v>1532</v>
      </c>
      <c r="E991" s="2460"/>
      <c r="F991" s="2460"/>
      <c r="G991" s="2460"/>
      <c r="H991" s="2460"/>
      <c r="I991" s="2460"/>
      <c r="J991" s="2460"/>
      <c r="K991" s="2460"/>
      <c r="L991" s="2460"/>
      <c r="M991" s="2460"/>
      <c r="N991" s="2460"/>
      <c r="O991" s="2460"/>
      <c r="P991" s="2460"/>
      <c r="Q991" s="2460"/>
      <c r="R991" s="2460"/>
      <c r="S991" s="2460"/>
      <c r="T991" s="2460"/>
      <c r="U991" s="2460"/>
      <c r="V991" s="2460"/>
      <c r="W991" s="2460"/>
      <c r="X991" s="2460"/>
      <c r="Y991" s="2460"/>
      <c r="Z991" s="2460"/>
      <c r="AA991" s="2460"/>
      <c r="AB991" s="2460"/>
      <c r="AC991" s="2460"/>
      <c r="AD991" s="2460"/>
      <c r="AE991" s="2461"/>
      <c r="AF991" s="115"/>
      <c r="AG991" s="11"/>
      <c r="AH991" s="11"/>
      <c r="AI991" s="116"/>
      <c r="AJ991" s="2486"/>
      <c r="AK991" s="2487"/>
      <c r="AL991" s="2487"/>
      <c r="AM991" s="2487"/>
      <c r="AN991" s="2487"/>
      <c r="AO991" s="2487"/>
      <c r="AP991" s="2487"/>
      <c r="AQ991" s="248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3" t="s">
        <v>1533</v>
      </c>
      <c r="E992" s="2444"/>
      <c r="F992" s="2444"/>
      <c r="G992" s="2444"/>
      <c r="H992" s="2444"/>
      <c r="I992" s="2444"/>
      <c r="J992" s="2444"/>
      <c r="K992" s="2444"/>
      <c r="L992" s="2444"/>
      <c r="M992" s="2444"/>
      <c r="N992" s="2444"/>
      <c r="O992" s="2444"/>
      <c r="P992" s="2444"/>
      <c r="Q992" s="2444"/>
      <c r="R992" s="2444"/>
      <c r="S992" s="2444"/>
      <c r="T992" s="2444"/>
      <c r="U992" s="2444"/>
      <c r="V992" s="2444"/>
      <c r="W992" s="2444"/>
      <c r="X992" s="2444"/>
      <c r="Y992" s="2444"/>
      <c r="Z992" s="2444"/>
      <c r="AA992" s="2444"/>
      <c r="AB992" s="2444"/>
      <c r="AC992" s="2444"/>
      <c r="AD992" s="2444"/>
      <c r="AE992" s="2445"/>
      <c r="AF992" s="117"/>
      <c r="AG992" s="2455" t="s">
        <v>705</v>
      </c>
      <c r="AH992" s="2456"/>
      <c r="AI992" s="117"/>
      <c r="AJ992" s="2480">
        <f>ROUND(IF(AG992="yes",AJ975*0.02,0),0)</f>
        <v>0</v>
      </c>
      <c r="AK992" s="2481"/>
      <c r="AL992" s="2481"/>
      <c r="AM992" s="2481"/>
      <c r="AN992" s="2481"/>
      <c r="AO992" s="2481"/>
      <c r="AP992" s="2481"/>
      <c r="AQ992" s="248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6" t="s">
        <v>1534</v>
      </c>
      <c r="E993" s="2447"/>
      <c r="F993" s="2447"/>
      <c r="G993" s="2447"/>
      <c r="H993" s="2447"/>
      <c r="I993" s="2447"/>
      <c r="J993" s="2447"/>
      <c r="K993" s="2447"/>
      <c r="L993" s="2447"/>
      <c r="M993" s="2447"/>
      <c r="N993" s="2447"/>
      <c r="O993" s="2447"/>
      <c r="P993" s="2447"/>
      <c r="Q993" s="2447"/>
      <c r="R993" s="2447"/>
      <c r="S993" s="2447"/>
      <c r="T993" s="2447"/>
      <c r="U993" s="2447"/>
      <c r="V993" s="2447"/>
      <c r="W993" s="2447"/>
      <c r="X993" s="2447"/>
      <c r="Y993" s="2447"/>
      <c r="Z993" s="2447"/>
      <c r="AA993" s="2447"/>
      <c r="AB993" s="2447"/>
      <c r="AC993" s="2447"/>
      <c r="AD993" s="2447"/>
      <c r="AE993" s="2448"/>
      <c r="AF993" s="110"/>
      <c r="AG993" s="25"/>
      <c r="AH993" s="25"/>
      <c r="AI993" s="112"/>
      <c r="AJ993" s="2483"/>
      <c r="AK993" s="2484"/>
      <c r="AL993" s="2484"/>
      <c r="AM993" s="2484"/>
      <c r="AN993" s="2484"/>
      <c r="AO993" s="2484"/>
      <c r="AP993" s="2484"/>
      <c r="AQ993" s="248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9"/>
      <c r="E994" s="2460"/>
      <c r="F994" s="2460"/>
      <c r="G994" s="2460"/>
      <c r="H994" s="2460"/>
      <c r="I994" s="2460"/>
      <c r="J994" s="2460"/>
      <c r="K994" s="2460"/>
      <c r="L994" s="2460"/>
      <c r="M994" s="2460"/>
      <c r="N994" s="2460"/>
      <c r="O994" s="2460"/>
      <c r="P994" s="2460"/>
      <c r="Q994" s="2460"/>
      <c r="R994" s="2460"/>
      <c r="S994" s="2460"/>
      <c r="T994" s="2460"/>
      <c r="U994" s="2460"/>
      <c r="V994" s="2460"/>
      <c r="W994" s="2460"/>
      <c r="X994" s="2460"/>
      <c r="Y994" s="2460"/>
      <c r="Z994" s="2460"/>
      <c r="AA994" s="2460"/>
      <c r="AB994" s="2460"/>
      <c r="AC994" s="2460"/>
      <c r="AD994" s="2460"/>
      <c r="AE994" s="2461"/>
      <c r="AF994" s="115"/>
      <c r="AG994" s="11"/>
      <c r="AH994" s="11"/>
      <c r="AI994" s="116"/>
      <c r="AJ994" s="2486"/>
      <c r="AK994" s="2487"/>
      <c r="AL994" s="2487"/>
      <c r="AM994" s="2487"/>
      <c r="AN994" s="2487"/>
      <c r="AO994" s="2487"/>
      <c r="AP994" s="2487"/>
      <c r="AQ994" s="2488"/>
      <c r="AR994" s="1583"/>
      <c r="AS994" s="1583"/>
      <c r="AT994" s="1583"/>
      <c r="AU994" s="1583"/>
      <c r="AV994" s="1583"/>
      <c r="AW994" s="1583"/>
      <c r="AX994" s="1583"/>
      <c r="AY994" s="1583"/>
    </row>
    <row r="995" spans="1:96" s="719" customFormat="1" ht="12.75" customHeight="1">
      <c r="A995" s="51"/>
      <c r="B995" s="117"/>
      <c r="C995" s="118" t="s">
        <v>224</v>
      </c>
      <c r="D995" s="2492" t="s">
        <v>1535</v>
      </c>
      <c r="E995" s="2493"/>
      <c r="F995" s="2493"/>
      <c r="G995" s="2493"/>
      <c r="H995" s="2493"/>
      <c r="I995" s="2493"/>
      <c r="J995" s="2493"/>
      <c r="K995" s="2493"/>
      <c r="L995" s="2493"/>
      <c r="M995" s="2493"/>
      <c r="N995" s="2493"/>
      <c r="O995" s="2493"/>
      <c r="P995" s="2493"/>
      <c r="Q995" s="2493"/>
      <c r="R995" s="2493"/>
      <c r="S995" s="2493"/>
      <c r="T995" s="2493"/>
      <c r="U995" s="2493"/>
      <c r="V995" s="2493"/>
      <c r="W995" s="2493"/>
      <c r="X995" s="2493"/>
      <c r="Y995" s="2493"/>
      <c r="Z995" s="2493"/>
      <c r="AA995" s="2493"/>
      <c r="AB995" s="2493"/>
      <c r="AC995" s="2493"/>
      <c r="AD995" s="2493"/>
      <c r="AE995" s="2494"/>
      <c r="AF995" s="117"/>
      <c r="AG995" s="2455" t="s">
        <v>577</v>
      </c>
      <c r="AH995" s="2456"/>
      <c r="AI995" s="125"/>
      <c r="AJ995" s="2480">
        <f>IF(AG995="yes",AJ975*BA995,0)</f>
        <v>1413068.8</v>
      </c>
      <c r="AK995" s="2481"/>
      <c r="AL995" s="2481"/>
      <c r="AM995" s="2481"/>
      <c r="AN995" s="2481"/>
      <c r="AO995" s="2481"/>
      <c r="AP995" s="2481"/>
      <c r="AQ995" s="2482"/>
      <c r="AR995" s="1583"/>
      <c r="AS995" s="1583"/>
      <c r="AT995" s="1583"/>
      <c r="AU995" s="1583"/>
      <c r="AV995" s="1583"/>
      <c r="AW995" s="1583"/>
      <c r="AX995" s="1583"/>
      <c r="AY995" s="1583"/>
      <c r="BA995" s="322">
        <f>IF(SUM(BA997:BA1005)&lt;=0.1,SUM(BA997:BA1005),0.1)</f>
        <v>0.02</v>
      </c>
      <c r="CR995" s="25"/>
    </row>
    <row r="996" spans="1:96" ht="12.75" customHeight="1">
      <c r="A996" s="51"/>
      <c r="B996" s="110"/>
      <c r="C996" s="111"/>
      <c r="D996" s="2446" t="s">
        <v>1536</v>
      </c>
      <c r="E996" s="2447"/>
      <c r="F996" s="2447"/>
      <c r="G996" s="2447"/>
      <c r="H996" s="2447"/>
      <c r="I996" s="2447"/>
      <c r="J996" s="2447"/>
      <c r="K996" s="2447"/>
      <c r="L996" s="2447"/>
      <c r="M996" s="2447"/>
      <c r="N996" s="2447"/>
      <c r="O996" s="2447"/>
      <c r="P996" s="2447"/>
      <c r="Q996" s="2447"/>
      <c r="R996" s="2447"/>
      <c r="S996" s="2447"/>
      <c r="T996" s="2447"/>
      <c r="U996" s="2447"/>
      <c r="V996" s="2447"/>
      <c r="W996" s="2447"/>
      <c r="X996" s="2447"/>
      <c r="Y996" s="2447"/>
      <c r="Z996" s="2447"/>
      <c r="AA996" s="2447"/>
      <c r="AB996" s="2447"/>
      <c r="AC996" s="2447"/>
      <c r="AD996" s="2447"/>
      <c r="AE996" s="2448"/>
      <c r="AF996" s="110"/>
      <c r="AG996" s="112"/>
      <c r="AH996" s="112"/>
      <c r="AI996" s="121"/>
      <c r="AJ996" s="2483"/>
      <c r="AK996" s="2484"/>
      <c r="AL996" s="2484"/>
      <c r="AM996" s="2484"/>
      <c r="AN996" s="2484"/>
      <c r="AO996" s="2484"/>
      <c r="AP996" s="2484"/>
      <c r="AQ996" s="2485"/>
      <c r="AR996" s="1583"/>
      <c r="AS996" s="1583"/>
      <c r="AT996" s="1583"/>
      <c r="AU996" s="1583"/>
      <c r="AV996" s="1583"/>
      <c r="AW996" s="1583"/>
      <c r="AX996" s="1583"/>
      <c r="AY996" s="1583"/>
    </row>
    <row r="997" spans="1:96" ht="12.75" customHeight="1">
      <c r="A997" s="51"/>
      <c r="B997" s="110"/>
      <c r="C997" s="111"/>
      <c r="D997" s="2446"/>
      <c r="E997" s="2447"/>
      <c r="F997" s="2447"/>
      <c r="G997" s="2447"/>
      <c r="H997" s="2447"/>
      <c r="I997" s="2447"/>
      <c r="J997" s="2447"/>
      <c r="K997" s="2447"/>
      <c r="L997" s="2447"/>
      <c r="M997" s="2447"/>
      <c r="N997" s="2447"/>
      <c r="O997" s="2447"/>
      <c r="P997" s="2447"/>
      <c r="Q997" s="2447"/>
      <c r="R997" s="2447"/>
      <c r="S997" s="2447"/>
      <c r="T997" s="2447"/>
      <c r="U997" s="2447"/>
      <c r="V997" s="2447"/>
      <c r="W997" s="2447"/>
      <c r="X997" s="2447"/>
      <c r="Y997" s="2447"/>
      <c r="Z997" s="2447"/>
      <c r="AA997" s="2447"/>
      <c r="AB997" s="2447"/>
      <c r="AC997" s="2447"/>
      <c r="AD997" s="2447"/>
      <c r="AE997" s="2448"/>
      <c r="AF997" s="110"/>
      <c r="AG997" s="112"/>
      <c r="AH997" s="112"/>
      <c r="AI997" s="121"/>
      <c r="AJ997" s="2483"/>
      <c r="AK997" s="2484"/>
      <c r="AL997" s="2484"/>
      <c r="AM997" s="2484"/>
      <c r="AN997" s="2484"/>
      <c r="AO997" s="2484"/>
      <c r="AP997" s="2484"/>
      <c r="AQ997" s="2485"/>
      <c r="AR997" s="1583"/>
      <c r="AS997" s="1583"/>
      <c r="AT997" s="1583"/>
      <c r="AU997" s="1583"/>
      <c r="AV997" s="1583"/>
      <c r="AW997" s="1583"/>
      <c r="AX997" s="1583"/>
      <c r="AY997" s="1583"/>
      <c r="BA997" s="320">
        <f>IF(A1044="Yes",0.05,0)</f>
        <v>0</v>
      </c>
    </row>
    <row r="998" spans="1:96" ht="15" customHeight="1">
      <c r="A998" s="51"/>
      <c r="B998" s="119"/>
      <c r="C998" s="120"/>
      <c r="D998" s="2459"/>
      <c r="E998" s="2460"/>
      <c r="F998" s="2460"/>
      <c r="G998" s="2460"/>
      <c r="H998" s="2460"/>
      <c r="I998" s="2460"/>
      <c r="J998" s="2460"/>
      <c r="K998" s="2460"/>
      <c r="L998" s="2460"/>
      <c r="M998" s="2460"/>
      <c r="N998" s="2460"/>
      <c r="O998" s="2460"/>
      <c r="P998" s="2460"/>
      <c r="Q998" s="2460"/>
      <c r="R998" s="2460"/>
      <c r="S998" s="2460"/>
      <c r="T998" s="2460"/>
      <c r="U998" s="2460"/>
      <c r="V998" s="2460"/>
      <c r="W998" s="2460"/>
      <c r="X998" s="2460"/>
      <c r="Y998" s="2460"/>
      <c r="Z998" s="2460"/>
      <c r="AA998" s="2460"/>
      <c r="AB998" s="2460"/>
      <c r="AC998" s="2460"/>
      <c r="AD998" s="2460"/>
      <c r="AE998" s="2461"/>
      <c r="AF998" s="115"/>
      <c r="AG998" s="11"/>
      <c r="AH998" s="11"/>
      <c r="AI998" s="116"/>
      <c r="AJ998" s="2486"/>
      <c r="AK998" s="2487"/>
      <c r="AL998" s="2487"/>
      <c r="AM998" s="2487"/>
      <c r="AN998" s="2487"/>
      <c r="AO998" s="2487"/>
      <c r="AP998" s="2487"/>
      <c r="AQ998" s="2488"/>
      <c r="AR998" s="1583"/>
      <c r="AS998" s="1583"/>
      <c r="AT998" s="1583"/>
      <c r="AU998" s="1583"/>
      <c r="AV998" s="1583"/>
      <c r="AW998" s="1583"/>
      <c r="AX998" s="1583"/>
      <c r="AY998" s="1583"/>
      <c r="BA998" s="320">
        <f>IF(A1050="Yes",0.02,0)</f>
        <v>0</v>
      </c>
    </row>
    <row r="999" spans="1:96" s="719" customFormat="1" ht="15" customHeight="1">
      <c r="A999" s="51"/>
      <c r="B999" s="117"/>
      <c r="C999" s="118" t="s">
        <v>229</v>
      </c>
      <c r="D999" s="2544" t="s">
        <v>1537</v>
      </c>
      <c r="E999" s="2545"/>
      <c r="F999" s="2545"/>
      <c r="G999" s="2545"/>
      <c r="H999" s="2545"/>
      <c r="I999" s="2545"/>
      <c r="J999" s="2545"/>
      <c r="K999" s="2545"/>
      <c r="L999" s="2545"/>
      <c r="M999" s="2545"/>
      <c r="N999" s="2545"/>
      <c r="O999" s="2545"/>
      <c r="P999" s="2545"/>
      <c r="Q999" s="2545"/>
      <c r="R999" s="2545"/>
      <c r="S999" s="2545"/>
      <c r="T999" s="2545"/>
      <c r="U999" s="2545"/>
      <c r="V999" s="2545"/>
      <c r="W999" s="2545"/>
      <c r="X999" s="2545"/>
      <c r="Y999" s="2545"/>
      <c r="Z999" s="2545"/>
      <c r="AA999" s="2545"/>
      <c r="AB999" s="2545"/>
      <c r="AC999" s="2545"/>
      <c r="AD999" s="2545"/>
      <c r="AE999" s="2546"/>
      <c r="AF999" s="117"/>
      <c r="AG999" s="2455" t="s">
        <v>705</v>
      </c>
      <c r="AH999" s="2456"/>
      <c r="AI999" s="125"/>
      <c r="AJ999" s="2511"/>
      <c r="AK999" s="2512"/>
      <c r="AL999" s="2512"/>
      <c r="AM999" s="2512"/>
      <c r="AN999" s="2512"/>
      <c r="AO999" s="2512"/>
      <c r="AP999" s="2512"/>
      <c r="AQ999" s="2513"/>
      <c r="AR999" s="1583"/>
      <c r="AS999" s="1583"/>
      <c r="AT999" s="1583"/>
      <c r="AU999" s="1583"/>
      <c r="AV999" s="1583"/>
      <c r="AW999" s="1583"/>
      <c r="AX999" s="1583"/>
      <c r="AY999" s="1583"/>
      <c r="BA999" s="320">
        <f>IF(A1056="Yes",0.04,0)</f>
        <v>0</v>
      </c>
      <c r="CR999" s="25"/>
    </row>
    <row r="1000" spans="1:96" ht="12.75">
      <c r="A1000" s="51"/>
      <c r="B1000" s="119"/>
      <c r="C1000" s="122"/>
      <c r="D1000" s="2547"/>
      <c r="E1000" s="2548"/>
      <c r="F1000" s="2548"/>
      <c r="G1000" s="2548"/>
      <c r="H1000" s="2548"/>
      <c r="I1000" s="2548"/>
      <c r="J1000" s="2548"/>
      <c r="K1000" s="2548"/>
      <c r="L1000" s="2548"/>
      <c r="M1000" s="2548"/>
      <c r="N1000" s="2548"/>
      <c r="O1000" s="2548"/>
      <c r="P1000" s="2548"/>
      <c r="Q1000" s="2548"/>
      <c r="R1000" s="2548"/>
      <c r="S1000" s="2548"/>
      <c r="T1000" s="2548"/>
      <c r="U1000" s="2548"/>
      <c r="V1000" s="2548"/>
      <c r="W1000" s="2548"/>
      <c r="X1000" s="2548"/>
      <c r="Y1000" s="2548"/>
      <c r="Z1000" s="2548"/>
      <c r="AA1000" s="2548"/>
      <c r="AB1000" s="2548"/>
      <c r="AC1000" s="2548"/>
      <c r="AD1000" s="2548"/>
      <c r="AE1000" s="2549"/>
      <c r="AF1000" s="2532">
        <f>IF(AG999="yes","Please Select Type and Enter Amount:",0)</f>
        <v>0</v>
      </c>
      <c r="AG1000" s="2533"/>
      <c r="AH1000" s="2533"/>
      <c r="AI1000" s="2534"/>
      <c r="AJ1000" s="2514"/>
      <c r="AK1000" s="2515"/>
      <c r="AL1000" s="2515"/>
      <c r="AM1000" s="2515"/>
      <c r="AN1000" s="2515"/>
      <c r="AO1000" s="2515"/>
      <c r="AP1000" s="2515"/>
      <c r="AQ1000" s="2516"/>
      <c r="AR1000" s="1583"/>
      <c r="AS1000" s="1583"/>
      <c r="AT1000" s="1583"/>
      <c r="AU1000" s="1583"/>
      <c r="AV1000" s="1583"/>
      <c r="AW1000" s="1583"/>
      <c r="AX1000" s="1583"/>
      <c r="AY1000" s="1583"/>
      <c r="BA1000" s="320">
        <f>IF(A1063="Yes",0.04,0)</f>
        <v>0</v>
      </c>
    </row>
    <row r="1001" spans="1:96" ht="12.75" customHeight="1">
      <c r="A1001" s="51"/>
      <c r="B1001" s="119"/>
      <c r="C1001" s="122"/>
      <c r="D1001" s="2446" t="s">
        <v>1538</v>
      </c>
      <c r="E1001" s="2447"/>
      <c r="F1001" s="2447"/>
      <c r="G1001" s="2447"/>
      <c r="H1001" s="2447"/>
      <c r="I1001" s="2447"/>
      <c r="J1001" s="2447"/>
      <c r="K1001" s="2447"/>
      <c r="L1001" s="2447"/>
      <c r="M1001" s="2447"/>
      <c r="N1001" s="2447"/>
      <c r="O1001" s="2447"/>
      <c r="P1001" s="2447"/>
      <c r="Q1001" s="2447"/>
      <c r="R1001" s="2447"/>
      <c r="S1001" s="2447"/>
      <c r="T1001" s="2447"/>
      <c r="U1001" s="2447"/>
      <c r="V1001" s="2447"/>
      <c r="W1001" s="2447"/>
      <c r="X1001" s="2447"/>
      <c r="Y1001" s="2447"/>
      <c r="Z1001" s="2447"/>
      <c r="AA1001" s="2447"/>
      <c r="AB1001" s="2447"/>
      <c r="AC1001" s="2447"/>
      <c r="AD1001" s="2447"/>
      <c r="AE1001" s="2448"/>
      <c r="AF1001" s="2532"/>
      <c r="AG1001" s="2533"/>
      <c r="AH1001" s="2533"/>
      <c r="AI1001" s="2534"/>
      <c r="AJ1001" s="2514"/>
      <c r="AK1001" s="2515"/>
      <c r="AL1001" s="2515"/>
      <c r="AM1001" s="2515"/>
      <c r="AN1001" s="2515"/>
      <c r="AO1001" s="2515"/>
      <c r="AP1001" s="2515"/>
      <c r="AQ1001" s="2516"/>
      <c r="AR1001" s="1583"/>
      <c r="AS1001" s="1583"/>
      <c r="AT1001" s="1583"/>
      <c r="AU1001" s="1583"/>
      <c r="AV1001" s="1583"/>
      <c r="AW1001" s="1583"/>
      <c r="AX1001" s="1583"/>
      <c r="AY1001" s="1583"/>
      <c r="BA1001" s="320">
        <f>IF(A1066="Yes",0.01,0)</f>
        <v>0</v>
      </c>
    </row>
    <row r="1002" spans="1:96" ht="12.75" customHeight="1">
      <c r="A1002" s="51"/>
      <c r="B1002" s="119"/>
      <c r="C1002" s="122"/>
      <c r="D1002" s="2446"/>
      <c r="E1002" s="2447"/>
      <c r="F1002" s="2447"/>
      <c r="G1002" s="2447"/>
      <c r="H1002" s="2447"/>
      <c r="I1002" s="2447"/>
      <c r="J1002" s="2447"/>
      <c r="K1002" s="2447"/>
      <c r="L1002" s="2447"/>
      <c r="M1002" s="2447"/>
      <c r="N1002" s="2447"/>
      <c r="O1002" s="2447"/>
      <c r="P1002" s="2447"/>
      <c r="Q1002" s="2447"/>
      <c r="R1002" s="2447"/>
      <c r="S1002" s="2447"/>
      <c r="T1002" s="2447"/>
      <c r="U1002" s="2447"/>
      <c r="V1002" s="2447"/>
      <c r="W1002" s="2447"/>
      <c r="X1002" s="2447"/>
      <c r="Y1002" s="2447"/>
      <c r="Z1002" s="2447"/>
      <c r="AA1002" s="2447"/>
      <c r="AB1002" s="2447"/>
      <c r="AC1002" s="2447"/>
      <c r="AD1002" s="2447"/>
      <c r="AE1002" s="2448"/>
      <c r="AF1002" s="2532"/>
      <c r="AG1002" s="2533"/>
      <c r="AH1002" s="2533"/>
      <c r="AI1002" s="2534"/>
      <c r="AJ1002" s="2514"/>
      <c r="AK1002" s="2515"/>
      <c r="AL1002" s="2515"/>
      <c r="AM1002" s="2515"/>
      <c r="AN1002" s="2515"/>
      <c r="AO1002" s="2515"/>
      <c r="AP1002" s="2515"/>
      <c r="AQ1002" s="251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0" t="s">
        <v>625</v>
      </c>
      <c r="K1003" s="2551"/>
      <c r="L1003" s="2551"/>
      <c r="M1003" s="2551"/>
      <c r="N1003" s="2551"/>
      <c r="O1003" s="2551"/>
      <c r="P1003" s="2551"/>
      <c r="Q1003" s="2551"/>
      <c r="R1003" s="2551"/>
      <c r="S1003" s="2551"/>
      <c r="T1003" s="2551"/>
      <c r="U1003" s="2551"/>
      <c r="V1003" s="2551"/>
      <c r="W1003" s="2551"/>
      <c r="X1003" s="2551"/>
      <c r="Y1003" s="2551"/>
      <c r="Z1003" s="2551"/>
      <c r="AA1003" s="2551"/>
      <c r="AB1003" s="2551"/>
      <c r="AC1003" s="2551"/>
      <c r="AD1003" s="2551"/>
      <c r="AE1003" s="2552"/>
      <c r="AF1003" s="2535"/>
      <c r="AG1003" s="2536"/>
      <c r="AH1003" s="2536"/>
      <c r="AI1003" s="2537"/>
      <c r="AJ1003" s="2517"/>
      <c r="AK1003" s="2518"/>
      <c r="AL1003" s="2518"/>
      <c r="AM1003" s="2518"/>
      <c r="AN1003" s="2518"/>
      <c r="AO1003" s="2518"/>
      <c r="AP1003" s="2518"/>
      <c r="AQ1003" s="251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3" t="s">
        <v>1539</v>
      </c>
      <c r="E1004" s="2444"/>
      <c r="F1004" s="2444"/>
      <c r="G1004" s="2444"/>
      <c r="H1004" s="2444"/>
      <c r="I1004" s="2444"/>
      <c r="J1004" s="2444"/>
      <c r="K1004" s="2444"/>
      <c r="L1004" s="2444"/>
      <c r="M1004" s="2444"/>
      <c r="N1004" s="2444"/>
      <c r="O1004" s="2444"/>
      <c r="P1004" s="2444"/>
      <c r="Q1004" s="2444"/>
      <c r="R1004" s="2444"/>
      <c r="S1004" s="2444"/>
      <c r="T1004" s="2444"/>
      <c r="U1004" s="2444"/>
      <c r="V1004" s="2444"/>
      <c r="W1004" s="2444"/>
      <c r="X1004" s="2444"/>
      <c r="Y1004" s="2444"/>
      <c r="Z1004" s="2444"/>
      <c r="AA1004" s="2444"/>
      <c r="AB1004" s="2444"/>
      <c r="AC1004" s="2444"/>
      <c r="AD1004" s="2444"/>
      <c r="AE1004" s="2445"/>
      <c r="AF1004" s="117"/>
      <c r="AG1004" s="2455" t="s">
        <v>577</v>
      </c>
      <c r="AH1004" s="2456"/>
      <c r="AI1004" s="125"/>
      <c r="AJ1004" s="2511">
        <v>5746512</v>
      </c>
      <c r="AK1004" s="2512"/>
      <c r="AL1004" s="2512"/>
      <c r="AM1004" s="2512"/>
      <c r="AN1004" s="2512"/>
      <c r="AO1004" s="2512"/>
      <c r="AP1004" s="2512"/>
      <c r="AQ1004" s="2513"/>
      <c r="AR1004" s="1583"/>
      <c r="AS1004" s="1583"/>
      <c r="AT1004" s="1583"/>
      <c r="AU1004" s="1583"/>
      <c r="AV1004" s="1583"/>
      <c r="AW1004" s="1583"/>
      <c r="AX1004" s="1583"/>
      <c r="AY1004" s="1583"/>
      <c r="BA1004" s="320">
        <f>IF(A1078="Yes",0.02,0)</f>
        <v>0.02</v>
      </c>
    </row>
    <row r="1005" spans="1:96" ht="12.75" customHeight="1">
      <c r="A1005" s="51"/>
      <c r="B1005" s="110"/>
      <c r="C1005" s="111"/>
      <c r="D1005" s="2446" t="s">
        <v>2175</v>
      </c>
      <c r="E1005" s="2447"/>
      <c r="F1005" s="2447"/>
      <c r="G1005" s="2447"/>
      <c r="H1005" s="2447"/>
      <c r="I1005" s="2447"/>
      <c r="J1005" s="2447"/>
      <c r="K1005" s="2447"/>
      <c r="L1005" s="2447"/>
      <c r="M1005" s="2447"/>
      <c r="N1005" s="2447"/>
      <c r="O1005" s="2447"/>
      <c r="P1005" s="2447"/>
      <c r="Q1005" s="2447"/>
      <c r="R1005" s="2447"/>
      <c r="S1005" s="2447"/>
      <c r="T1005" s="2447"/>
      <c r="U1005" s="2447"/>
      <c r="V1005" s="2447"/>
      <c r="W1005" s="2447"/>
      <c r="X1005" s="2447"/>
      <c r="Y1005" s="2447"/>
      <c r="Z1005" s="2447"/>
      <c r="AA1005" s="2447"/>
      <c r="AB1005" s="2447"/>
      <c r="AC1005" s="2447"/>
      <c r="AD1005" s="2447"/>
      <c r="AE1005" s="2448"/>
      <c r="AF1005" s="2538" t="str">
        <f>IF(AG1004="yes","Please Enter Amount:",0)</f>
        <v>Please Enter Amount:</v>
      </c>
      <c r="AG1005" s="2539"/>
      <c r="AH1005" s="2539"/>
      <c r="AI1005" s="2540"/>
      <c r="AJ1005" s="2514"/>
      <c r="AK1005" s="2515"/>
      <c r="AL1005" s="2515"/>
      <c r="AM1005" s="2515"/>
      <c r="AN1005" s="2515"/>
      <c r="AO1005" s="2515"/>
      <c r="AP1005" s="2515"/>
      <c r="AQ1005" s="2516"/>
      <c r="AR1005" s="1583"/>
      <c r="AS1005" s="1583"/>
      <c r="AT1005" s="1583"/>
      <c r="AU1005" s="1583"/>
      <c r="AV1005" s="1583"/>
      <c r="AW1005" s="1583"/>
      <c r="AX1005" s="1583"/>
      <c r="AY1005" s="1583"/>
      <c r="BA1005" s="321">
        <f>IF(A1082="Yes",0.02,0)</f>
        <v>0</v>
      </c>
    </row>
    <row r="1006" spans="1:96" ht="12.75" customHeight="1">
      <c r="A1006" s="51"/>
      <c r="B1006" s="110"/>
      <c r="C1006" s="111"/>
      <c r="D1006" s="2446"/>
      <c r="E1006" s="2447"/>
      <c r="F1006" s="2447"/>
      <c r="G1006" s="2447"/>
      <c r="H1006" s="2447"/>
      <c r="I1006" s="2447"/>
      <c r="J1006" s="2447"/>
      <c r="K1006" s="2447"/>
      <c r="L1006" s="2447"/>
      <c r="M1006" s="2447"/>
      <c r="N1006" s="2447"/>
      <c r="O1006" s="2447"/>
      <c r="P1006" s="2447"/>
      <c r="Q1006" s="2447"/>
      <c r="R1006" s="2447"/>
      <c r="S1006" s="2447"/>
      <c r="T1006" s="2447"/>
      <c r="U1006" s="2447"/>
      <c r="V1006" s="2447"/>
      <c r="W1006" s="2447"/>
      <c r="X1006" s="2447"/>
      <c r="Y1006" s="2447"/>
      <c r="Z1006" s="2447"/>
      <c r="AA1006" s="2447"/>
      <c r="AB1006" s="2447"/>
      <c r="AC1006" s="2447"/>
      <c r="AD1006" s="2447"/>
      <c r="AE1006" s="2448"/>
      <c r="AF1006" s="2538"/>
      <c r="AG1006" s="2539"/>
      <c r="AH1006" s="2539"/>
      <c r="AI1006" s="2540"/>
      <c r="AJ1006" s="2514"/>
      <c r="AK1006" s="2515"/>
      <c r="AL1006" s="2515"/>
      <c r="AM1006" s="2515"/>
      <c r="AN1006" s="2515"/>
      <c r="AO1006" s="2515"/>
      <c r="AP1006" s="2515"/>
      <c r="AQ1006" s="2516"/>
      <c r="AR1006" s="1583"/>
      <c r="AS1006" s="1583"/>
      <c r="AT1006" s="1583"/>
      <c r="AU1006" s="1583"/>
      <c r="AV1006" s="1583"/>
      <c r="AW1006" s="1583"/>
      <c r="AX1006" s="1583"/>
      <c r="AY1006" s="1583"/>
    </row>
    <row r="1007" spans="1:96" ht="12.75" customHeight="1">
      <c r="A1007" s="51"/>
      <c r="B1007" s="123"/>
      <c r="C1007" s="122"/>
      <c r="D1007" s="2459"/>
      <c r="E1007" s="2460"/>
      <c r="F1007" s="2460"/>
      <c r="G1007" s="2460"/>
      <c r="H1007" s="2460"/>
      <c r="I1007" s="2460"/>
      <c r="J1007" s="2460"/>
      <c r="K1007" s="2460"/>
      <c r="L1007" s="2460"/>
      <c r="M1007" s="2460"/>
      <c r="N1007" s="2460"/>
      <c r="O1007" s="2460"/>
      <c r="P1007" s="2460"/>
      <c r="Q1007" s="2460"/>
      <c r="R1007" s="2460"/>
      <c r="S1007" s="2460"/>
      <c r="T1007" s="2460"/>
      <c r="U1007" s="2460"/>
      <c r="V1007" s="2460"/>
      <c r="W1007" s="2460"/>
      <c r="X1007" s="2460"/>
      <c r="Y1007" s="2460"/>
      <c r="Z1007" s="2460"/>
      <c r="AA1007" s="2460"/>
      <c r="AB1007" s="2460"/>
      <c r="AC1007" s="2460"/>
      <c r="AD1007" s="2460"/>
      <c r="AE1007" s="2461"/>
      <c r="AF1007" s="2541"/>
      <c r="AG1007" s="2542"/>
      <c r="AH1007" s="2542"/>
      <c r="AI1007" s="2543"/>
      <c r="AJ1007" s="2517"/>
      <c r="AK1007" s="2518"/>
      <c r="AL1007" s="2518"/>
      <c r="AM1007" s="2518"/>
      <c r="AN1007" s="2518"/>
      <c r="AO1007" s="2518"/>
      <c r="AP1007" s="2518"/>
      <c r="AQ1007" s="2519"/>
      <c r="AR1007" s="1583"/>
      <c r="AS1007" s="1583"/>
      <c r="AT1007" s="1583"/>
      <c r="AU1007" s="1583"/>
      <c r="AV1007" s="1583"/>
      <c r="AW1007" s="1583"/>
      <c r="AX1007" s="1583"/>
      <c r="AY1007" s="1583"/>
    </row>
    <row r="1008" spans="1:96" s="719" customFormat="1" ht="12.75" customHeight="1">
      <c r="A1008" s="51"/>
      <c r="B1008" s="117"/>
      <c r="C1008" s="118" t="s">
        <v>240</v>
      </c>
      <c r="D1008" s="2492" t="s">
        <v>1540</v>
      </c>
      <c r="E1008" s="2493"/>
      <c r="F1008" s="2493"/>
      <c r="G1008" s="2493"/>
      <c r="H1008" s="2493"/>
      <c r="I1008" s="2493"/>
      <c r="J1008" s="2493"/>
      <c r="K1008" s="2493"/>
      <c r="L1008" s="2493"/>
      <c r="M1008" s="2493"/>
      <c r="N1008" s="2493"/>
      <c r="O1008" s="2493"/>
      <c r="P1008" s="2493"/>
      <c r="Q1008" s="2493"/>
      <c r="R1008" s="2493"/>
      <c r="S1008" s="2493"/>
      <c r="T1008" s="2493"/>
      <c r="U1008" s="2493"/>
      <c r="V1008" s="2493"/>
      <c r="W1008" s="2493"/>
      <c r="X1008" s="2493"/>
      <c r="Y1008" s="2493"/>
      <c r="Z1008" s="2493"/>
      <c r="AA1008" s="2493"/>
      <c r="AB1008" s="2493"/>
      <c r="AC1008" s="2493"/>
      <c r="AD1008" s="2493"/>
      <c r="AE1008" s="2494"/>
      <c r="AF1008" s="117"/>
      <c r="AG1008" s="2455" t="s">
        <v>577</v>
      </c>
      <c r="AH1008" s="2456"/>
      <c r="AI1008" s="125"/>
      <c r="AJ1008" s="2480">
        <f>ROUND(IF(AG1008="yes",(AJ975*0.1),0),0)</f>
        <v>7065344</v>
      </c>
      <c r="AK1008" s="2481"/>
      <c r="AL1008" s="2481"/>
      <c r="AM1008" s="2481"/>
      <c r="AN1008" s="2481"/>
      <c r="AO1008" s="2481"/>
      <c r="AP1008" s="2481"/>
      <c r="AQ1008" s="2482"/>
      <c r="AR1008" s="1583"/>
      <c r="AS1008" s="1583"/>
      <c r="AT1008" s="1583"/>
      <c r="AU1008" s="1583"/>
      <c r="AV1008" s="1583"/>
      <c r="AW1008" s="1583"/>
      <c r="AX1008" s="1583"/>
      <c r="AY1008" s="1583"/>
      <c r="CR1008" s="25"/>
    </row>
    <row r="1009" spans="1:96" ht="12.75" customHeight="1">
      <c r="A1009" s="51"/>
      <c r="B1009" s="110"/>
      <c r="C1009" s="111"/>
      <c r="D1009" s="2446" t="s">
        <v>1541</v>
      </c>
      <c r="E1009" s="2447"/>
      <c r="F1009" s="2447"/>
      <c r="G1009" s="2447"/>
      <c r="H1009" s="2447"/>
      <c r="I1009" s="2447"/>
      <c r="J1009" s="2447"/>
      <c r="K1009" s="2447"/>
      <c r="L1009" s="2447"/>
      <c r="M1009" s="2447"/>
      <c r="N1009" s="2447"/>
      <c r="O1009" s="2447"/>
      <c r="P1009" s="2447"/>
      <c r="Q1009" s="2447"/>
      <c r="R1009" s="2447"/>
      <c r="S1009" s="2447"/>
      <c r="T1009" s="2447"/>
      <c r="U1009" s="2447"/>
      <c r="V1009" s="2447"/>
      <c r="W1009" s="2447"/>
      <c r="X1009" s="2447"/>
      <c r="Y1009" s="2447"/>
      <c r="Z1009" s="2447"/>
      <c r="AA1009" s="2447"/>
      <c r="AB1009" s="2447"/>
      <c r="AC1009" s="2447"/>
      <c r="AD1009" s="2447"/>
      <c r="AE1009" s="2448"/>
      <c r="AF1009" s="110"/>
      <c r="AG1009" s="112"/>
      <c r="AH1009" s="112"/>
      <c r="AI1009" s="121"/>
      <c r="AJ1009" s="2483"/>
      <c r="AK1009" s="2484"/>
      <c r="AL1009" s="2484"/>
      <c r="AM1009" s="2484"/>
      <c r="AN1009" s="2484"/>
      <c r="AO1009" s="2484"/>
      <c r="AP1009" s="2484"/>
      <c r="AQ1009" s="2485"/>
      <c r="AR1009" s="1583"/>
      <c r="AS1009" s="1583"/>
      <c r="AT1009" s="1583"/>
      <c r="AU1009" s="1583"/>
      <c r="AV1009" s="1583"/>
      <c r="AW1009" s="1583"/>
      <c r="AX1009" s="1583"/>
      <c r="AY1009" s="1583"/>
    </row>
    <row r="1010" spans="1:96" ht="12.75" customHeight="1">
      <c r="A1010" s="51"/>
      <c r="B1010" s="115"/>
      <c r="C1010" s="111"/>
      <c r="D1010" s="2459"/>
      <c r="E1010" s="2460"/>
      <c r="F1010" s="2460"/>
      <c r="G1010" s="2460"/>
      <c r="H1010" s="2460"/>
      <c r="I1010" s="2460"/>
      <c r="J1010" s="2460"/>
      <c r="K1010" s="2460"/>
      <c r="L1010" s="2460"/>
      <c r="M1010" s="2460"/>
      <c r="N1010" s="2460"/>
      <c r="O1010" s="2460"/>
      <c r="P1010" s="2460"/>
      <c r="Q1010" s="2460"/>
      <c r="R1010" s="2460"/>
      <c r="S1010" s="2460"/>
      <c r="T1010" s="2460"/>
      <c r="U1010" s="2460"/>
      <c r="V1010" s="2460"/>
      <c r="W1010" s="2460"/>
      <c r="X1010" s="2460"/>
      <c r="Y1010" s="2460"/>
      <c r="Z1010" s="2460"/>
      <c r="AA1010" s="2460"/>
      <c r="AB1010" s="2460"/>
      <c r="AC1010" s="2460"/>
      <c r="AD1010" s="2460"/>
      <c r="AE1010" s="2461"/>
      <c r="AF1010" s="110"/>
      <c r="AG1010" s="112"/>
      <c r="AH1010" s="112"/>
      <c r="AI1010" s="121"/>
      <c r="AJ1010" s="2486"/>
      <c r="AK1010" s="2487"/>
      <c r="AL1010" s="2487"/>
      <c r="AM1010" s="2487"/>
      <c r="AN1010" s="2487"/>
      <c r="AO1010" s="2487"/>
      <c r="AP1010" s="2487"/>
      <c r="AQ1010" s="2488"/>
      <c r="AR1010" s="1583"/>
      <c r="AS1010" s="1583"/>
      <c r="AT1010" s="1583"/>
      <c r="AU1010" s="1583"/>
      <c r="AV1010" s="1583"/>
      <c r="AW1010" s="1583"/>
      <c r="AX1010" s="1583"/>
      <c r="AY1010" s="1583"/>
    </row>
    <row r="1011" spans="1:96" s="719" customFormat="1" ht="12.75" customHeight="1">
      <c r="A1011" s="51"/>
      <c r="B1011" s="110"/>
      <c r="C1011" s="531" t="s">
        <v>724</v>
      </c>
      <c r="D1011" s="2443" t="s">
        <v>2171</v>
      </c>
      <c r="E1011" s="2444"/>
      <c r="F1011" s="2444"/>
      <c r="G1011" s="2444"/>
      <c r="H1011" s="2444"/>
      <c r="I1011" s="2444"/>
      <c r="J1011" s="2444"/>
      <c r="K1011" s="2444"/>
      <c r="L1011" s="2444"/>
      <c r="M1011" s="2444"/>
      <c r="N1011" s="2444"/>
      <c r="O1011" s="2444"/>
      <c r="P1011" s="2444"/>
      <c r="Q1011" s="2444"/>
      <c r="R1011" s="2444"/>
      <c r="S1011" s="2444"/>
      <c r="T1011" s="2444"/>
      <c r="U1011" s="2444"/>
      <c r="V1011" s="2444"/>
      <c r="W1011" s="2444"/>
      <c r="X1011" s="2444"/>
      <c r="Y1011" s="2444"/>
      <c r="Z1011" s="2444"/>
      <c r="AA1011" s="2444"/>
      <c r="AB1011" s="2444"/>
      <c r="AC1011" s="2444"/>
      <c r="AD1011" s="2444"/>
      <c r="AE1011" s="2445"/>
      <c r="AF1011" s="117"/>
      <c r="AG1011" s="2455" t="s">
        <v>705</v>
      </c>
      <c r="AH1011" s="2456"/>
      <c r="AI1011" s="125"/>
      <c r="AJ1011" s="2480">
        <f>ROUND(IF(AG1011="yes",(AJ975*0.15),0),0)</f>
        <v>0</v>
      </c>
      <c r="AK1011" s="2481"/>
      <c r="AL1011" s="2481"/>
      <c r="AM1011" s="2481"/>
      <c r="AN1011" s="2481"/>
      <c r="AO1011" s="2481"/>
      <c r="AP1011" s="2481"/>
      <c r="AQ1011" s="2482"/>
      <c r="AR1011" s="1583"/>
      <c r="AS1011" s="1583"/>
      <c r="AT1011" s="1583"/>
      <c r="AU1011" s="1583"/>
      <c r="AV1011" s="1583"/>
      <c r="AW1011" s="1583"/>
      <c r="AX1011" s="1583"/>
      <c r="AY1011" s="1583"/>
      <c r="CR1011" s="25"/>
    </row>
    <row r="1012" spans="1:96" s="719" customFormat="1" ht="12.75" customHeight="1">
      <c r="A1012" s="51"/>
      <c r="B1012" s="110"/>
      <c r="C1012" s="111"/>
      <c r="D1012" s="2474" t="s">
        <v>2172</v>
      </c>
      <c r="E1012" s="2475"/>
      <c r="F1012" s="2475"/>
      <c r="G1012" s="2475"/>
      <c r="H1012" s="2475"/>
      <c r="I1012" s="2475"/>
      <c r="J1012" s="2475"/>
      <c r="K1012" s="2475"/>
      <c r="L1012" s="2475"/>
      <c r="M1012" s="2475"/>
      <c r="N1012" s="2475"/>
      <c r="O1012" s="2475"/>
      <c r="P1012" s="2475"/>
      <c r="Q1012" s="2475"/>
      <c r="R1012" s="2475"/>
      <c r="S1012" s="2475"/>
      <c r="T1012" s="2475"/>
      <c r="U1012" s="2475"/>
      <c r="V1012" s="2475"/>
      <c r="W1012" s="2475"/>
      <c r="X1012" s="2475"/>
      <c r="Y1012" s="2475"/>
      <c r="Z1012" s="2475"/>
      <c r="AA1012" s="2475"/>
      <c r="AB1012" s="2475"/>
      <c r="AC1012" s="2475"/>
      <c r="AD1012" s="2475"/>
      <c r="AE1012" s="2476"/>
      <c r="AF1012" s="1613"/>
      <c r="AG1012" s="1614"/>
      <c r="AH1012" s="1614"/>
      <c r="AI1012" s="1615"/>
      <c r="AJ1012" s="2483"/>
      <c r="AK1012" s="2484"/>
      <c r="AL1012" s="2484"/>
      <c r="AM1012" s="2484"/>
      <c r="AN1012" s="2484"/>
      <c r="AO1012" s="2484"/>
      <c r="AP1012" s="2484"/>
      <c r="AQ1012" s="2485"/>
      <c r="AR1012" s="1583"/>
      <c r="AS1012" s="1583"/>
      <c r="AT1012" s="1583"/>
      <c r="AU1012" s="1583"/>
      <c r="AV1012" s="1583"/>
      <c r="AW1012" s="1583"/>
      <c r="AX1012" s="1583"/>
      <c r="AY1012" s="1583"/>
      <c r="CR1012" s="25"/>
    </row>
    <row r="1013" spans="1:96" s="719" customFormat="1" ht="12.75" customHeight="1">
      <c r="A1013" s="51"/>
      <c r="B1013" s="110"/>
      <c r="C1013" s="111"/>
      <c r="D1013" s="2474"/>
      <c r="E1013" s="2475"/>
      <c r="F1013" s="2475"/>
      <c r="G1013" s="2475"/>
      <c r="H1013" s="2475"/>
      <c r="I1013" s="2475"/>
      <c r="J1013" s="2475"/>
      <c r="K1013" s="2475"/>
      <c r="L1013" s="2475"/>
      <c r="M1013" s="2475"/>
      <c r="N1013" s="2475"/>
      <c r="O1013" s="2475"/>
      <c r="P1013" s="2475"/>
      <c r="Q1013" s="2475"/>
      <c r="R1013" s="2475"/>
      <c r="S1013" s="2475"/>
      <c r="T1013" s="2475"/>
      <c r="U1013" s="2475"/>
      <c r="V1013" s="2475"/>
      <c r="W1013" s="2475"/>
      <c r="X1013" s="2475"/>
      <c r="Y1013" s="2475"/>
      <c r="Z1013" s="2475"/>
      <c r="AA1013" s="2475"/>
      <c r="AB1013" s="2475"/>
      <c r="AC1013" s="2475"/>
      <c r="AD1013" s="2475"/>
      <c r="AE1013" s="2476"/>
      <c r="AF1013" s="1613"/>
      <c r="AG1013" s="1614"/>
      <c r="AH1013" s="1614"/>
      <c r="AI1013" s="1615"/>
      <c r="AJ1013" s="2483"/>
      <c r="AK1013" s="2484"/>
      <c r="AL1013" s="2484"/>
      <c r="AM1013" s="2484"/>
      <c r="AN1013" s="2484"/>
      <c r="AO1013" s="2484"/>
      <c r="AP1013" s="2484"/>
      <c r="AQ1013" s="2485"/>
      <c r="AR1013" s="1583"/>
      <c r="AS1013" s="1583"/>
      <c r="AT1013" s="1583"/>
      <c r="AU1013" s="1583"/>
      <c r="AV1013" s="1583"/>
      <c r="AW1013" s="1583"/>
      <c r="AX1013" s="1583"/>
      <c r="AY1013" s="1583"/>
      <c r="CR1013" s="25"/>
    </row>
    <row r="1014" spans="1:96" s="719" customFormat="1" ht="12.75" customHeight="1">
      <c r="A1014" s="51"/>
      <c r="B1014" s="110"/>
      <c r="C1014" s="111"/>
      <c r="D1014" s="2477"/>
      <c r="E1014" s="2478"/>
      <c r="F1014" s="2478"/>
      <c r="G1014" s="2478"/>
      <c r="H1014" s="2478"/>
      <c r="I1014" s="2478"/>
      <c r="J1014" s="2478"/>
      <c r="K1014" s="2478"/>
      <c r="L1014" s="2478"/>
      <c r="M1014" s="2478"/>
      <c r="N1014" s="2478"/>
      <c r="O1014" s="2478"/>
      <c r="P1014" s="2478"/>
      <c r="Q1014" s="2478"/>
      <c r="R1014" s="2478"/>
      <c r="S1014" s="2478"/>
      <c r="T1014" s="2478"/>
      <c r="U1014" s="2478"/>
      <c r="V1014" s="2478"/>
      <c r="W1014" s="2478"/>
      <c r="X1014" s="2478"/>
      <c r="Y1014" s="2478"/>
      <c r="Z1014" s="2478"/>
      <c r="AA1014" s="2478"/>
      <c r="AB1014" s="2478"/>
      <c r="AC1014" s="2478"/>
      <c r="AD1014" s="2478"/>
      <c r="AE1014" s="2479"/>
      <c r="AF1014" s="1616"/>
      <c r="AG1014" s="1617"/>
      <c r="AH1014" s="1617"/>
      <c r="AI1014" s="1618"/>
      <c r="AJ1014" s="2486"/>
      <c r="AK1014" s="2487"/>
      <c r="AL1014" s="2487"/>
      <c r="AM1014" s="2487"/>
      <c r="AN1014" s="2487"/>
      <c r="AO1014" s="2487"/>
      <c r="AP1014" s="2487"/>
      <c r="AQ1014" s="2488"/>
      <c r="AR1014" s="1583"/>
      <c r="AS1014" s="1583"/>
      <c r="AT1014" s="1583"/>
      <c r="AU1014" s="1583"/>
      <c r="AV1014" s="1583"/>
      <c r="AW1014" s="1583"/>
      <c r="AX1014" s="1583"/>
      <c r="AY1014" s="1583"/>
      <c r="CR1014" s="25"/>
    </row>
    <row r="1015" spans="1:96" s="719" customFormat="1" ht="12.75" customHeight="1">
      <c r="A1015" s="51"/>
      <c r="B1015" s="110"/>
      <c r="C1015" s="531" t="s">
        <v>724</v>
      </c>
      <c r="D1015" s="2492" t="s">
        <v>2173</v>
      </c>
      <c r="E1015" s="2493"/>
      <c r="F1015" s="2493"/>
      <c r="G1015" s="2493"/>
      <c r="H1015" s="2493"/>
      <c r="I1015" s="2493"/>
      <c r="J1015" s="2493"/>
      <c r="K1015" s="2493"/>
      <c r="L1015" s="2493"/>
      <c r="M1015" s="2493"/>
      <c r="N1015" s="2493"/>
      <c r="O1015" s="2493"/>
      <c r="P1015" s="2493"/>
      <c r="Q1015" s="2493"/>
      <c r="R1015" s="2493"/>
      <c r="S1015" s="2493"/>
      <c r="T1015" s="2493"/>
      <c r="U1015" s="2493"/>
      <c r="V1015" s="2493"/>
      <c r="W1015" s="2493"/>
      <c r="X1015" s="2493"/>
      <c r="Y1015" s="2493"/>
      <c r="Z1015" s="2493"/>
      <c r="AA1015" s="2493"/>
      <c r="AB1015" s="2493"/>
      <c r="AC1015" s="2493"/>
      <c r="AD1015" s="2493"/>
      <c r="AE1015" s="2494"/>
      <c r="AF1015" s="110"/>
      <c r="AG1015" s="2457" t="s">
        <v>705</v>
      </c>
      <c r="AH1015" s="2458"/>
      <c r="AI1015" s="121"/>
      <c r="AJ1015" s="2480">
        <f>ROUND(IF(AG1015="yes",(AJ975*0.1),0),0)</f>
        <v>0</v>
      </c>
      <c r="AK1015" s="2481"/>
      <c r="AL1015" s="2481"/>
      <c r="AM1015" s="2481"/>
      <c r="AN1015" s="2481"/>
      <c r="AO1015" s="2481"/>
      <c r="AP1015" s="2481"/>
      <c r="AQ1015" s="2482"/>
      <c r="AR1015" s="1583"/>
      <c r="AS1015" s="1583"/>
      <c r="AT1015" s="1583"/>
      <c r="AU1015" s="1583"/>
      <c r="AV1015" s="1583"/>
      <c r="AW1015" s="1583"/>
      <c r="AX1015" s="1583"/>
      <c r="AY1015" s="1583"/>
      <c r="CR1015" s="25"/>
    </row>
    <row r="1016" spans="1:96" s="719" customFormat="1" ht="12.75" customHeight="1">
      <c r="A1016" s="51"/>
      <c r="B1016" s="110"/>
      <c r="C1016" s="111"/>
      <c r="D1016" s="2474" t="s">
        <v>2174</v>
      </c>
      <c r="E1016" s="2475"/>
      <c r="F1016" s="2475"/>
      <c r="G1016" s="2475"/>
      <c r="H1016" s="2475"/>
      <c r="I1016" s="2475"/>
      <c r="J1016" s="2475"/>
      <c r="K1016" s="2475"/>
      <c r="L1016" s="2475"/>
      <c r="M1016" s="2475"/>
      <c r="N1016" s="2475"/>
      <c r="O1016" s="2475"/>
      <c r="P1016" s="2475"/>
      <c r="Q1016" s="2475"/>
      <c r="R1016" s="2475"/>
      <c r="S1016" s="2475"/>
      <c r="T1016" s="2475"/>
      <c r="U1016" s="2475"/>
      <c r="V1016" s="2475"/>
      <c r="W1016" s="2475"/>
      <c r="X1016" s="2475"/>
      <c r="Y1016" s="2475"/>
      <c r="Z1016" s="2475"/>
      <c r="AA1016" s="2475"/>
      <c r="AB1016" s="2475"/>
      <c r="AC1016" s="2475"/>
      <c r="AD1016" s="2475"/>
      <c r="AE1016" s="2476"/>
      <c r="AF1016" s="110"/>
      <c r="AG1016" s="112"/>
      <c r="AH1016" s="112"/>
      <c r="AI1016" s="121"/>
      <c r="AJ1016" s="2483"/>
      <c r="AK1016" s="2484"/>
      <c r="AL1016" s="2484"/>
      <c r="AM1016" s="2484"/>
      <c r="AN1016" s="2484"/>
      <c r="AO1016" s="2484"/>
      <c r="AP1016" s="2484"/>
      <c r="AQ1016" s="2485"/>
      <c r="AR1016" s="1583"/>
      <c r="AS1016" s="1583"/>
      <c r="AT1016" s="1583"/>
      <c r="AU1016" s="1583"/>
      <c r="AV1016" s="1583"/>
      <c r="AW1016" s="1583"/>
      <c r="AX1016" s="1583"/>
      <c r="AY1016" s="1583"/>
      <c r="CR1016" s="25"/>
    </row>
    <row r="1017" spans="1:96" s="719" customFormat="1" ht="12.75" customHeight="1">
      <c r="A1017" s="51"/>
      <c r="B1017" s="110"/>
      <c r="C1017" s="111"/>
      <c r="D1017" s="2474"/>
      <c r="E1017" s="2475"/>
      <c r="F1017" s="2475"/>
      <c r="G1017" s="2475"/>
      <c r="H1017" s="2475"/>
      <c r="I1017" s="2475"/>
      <c r="J1017" s="2475"/>
      <c r="K1017" s="2475"/>
      <c r="L1017" s="2475"/>
      <c r="M1017" s="2475"/>
      <c r="N1017" s="2475"/>
      <c r="O1017" s="2475"/>
      <c r="P1017" s="2475"/>
      <c r="Q1017" s="2475"/>
      <c r="R1017" s="2475"/>
      <c r="S1017" s="2475"/>
      <c r="T1017" s="2475"/>
      <c r="U1017" s="2475"/>
      <c r="V1017" s="2475"/>
      <c r="W1017" s="2475"/>
      <c r="X1017" s="2475"/>
      <c r="Y1017" s="2475"/>
      <c r="Z1017" s="2475"/>
      <c r="AA1017" s="2475"/>
      <c r="AB1017" s="2475"/>
      <c r="AC1017" s="2475"/>
      <c r="AD1017" s="2475"/>
      <c r="AE1017" s="2476"/>
      <c r="AF1017" s="110"/>
      <c r="AG1017" s="112"/>
      <c r="AH1017" s="112"/>
      <c r="AI1017" s="121"/>
      <c r="AJ1017" s="2483"/>
      <c r="AK1017" s="2484"/>
      <c r="AL1017" s="2484"/>
      <c r="AM1017" s="2484"/>
      <c r="AN1017" s="2484"/>
      <c r="AO1017" s="2484"/>
      <c r="AP1017" s="2484"/>
      <c r="AQ1017" s="2485"/>
      <c r="AR1017" s="1583"/>
      <c r="AS1017" s="1583"/>
      <c r="AT1017" s="1583"/>
      <c r="AU1017" s="1583"/>
      <c r="AV1017" s="1583"/>
      <c r="AW1017" s="1583"/>
      <c r="AX1017" s="1583"/>
      <c r="AY1017" s="1583"/>
      <c r="CR1017" s="25"/>
    </row>
    <row r="1018" spans="1:96" s="719" customFormat="1" ht="12.75" customHeight="1">
      <c r="A1018" s="51"/>
      <c r="B1018" s="110"/>
      <c r="C1018" s="111"/>
      <c r="D1018" s="2474"/>
      <c r="E1018" s="2475"/>
      <c r="F1018" s="2475"/>
      <c r="G1018" s="2475"/>
      <c r="H1018" s="2475"/>
      <c r="I1018" s="2475"/>
      <c r="J1018" s="2475"/>
      <c r="K1018" s="2475"/>
      <c r="L1018" s="2475"/>
      <c r="M1018" s="2475"/>
      <c r="N1018" s="2475"/>
      <c r="O1018" s="2475"/>
      <c r="P1018" s="2475"/>
      <c r="Q1018" s="2475"/>
      <c r="R1018" s="2475"/>
      <c r="S1018" s="2475"/>
      <c r="T1018" s="2475"/>
      <c r="U1018" s="2475"/>
      <c r="V1018" s="2475"/>
      <c r="W1018" s="2475"/>
      <c r="X1018" s="2475"/>
      <c r="Y1018" s="2475"/>
      <c r="Z1018" s="2475"/>
      <c r="AA1018" s="2475"/>
      <c r="AB1018" s="2475"/>
      <c r="AC1018" s="2475"/>
      <c r="AD1018" s="2475"/>
      <c r="AE1018" s="2476"/>
      <c r="AF1018" s="110"/>
      <c r="AG1018" s="112"/>
      <c r="AH1018" s="112"/>
      <c r="AI1018" s="121"/>
      <c r="AJ1018" s="2483"/>
      <c r="AK1018" s="2484"/>
      <c r="AL1018" s="2484"/>
      <c r="AM1018" s="2484"/>
      <c r="AN1018" s="2484"/>
      <c r="AO1018" s="2484"/>
      <c r="AP1018" s="2484"/>
      <c r="AQ1018" s="2485"/>
      <c r="AR1018" s="1583"/>
      <c r="AS1018" s="1583"/>
      <c r="AT1018" s="1583"/>
      <c r="AU1018" s="1583"/>
      <c r="AV1018" s="1583"/>
      <c r="AW1018" s="1583"/>
      <c r="AX1018" s="1583"/>
      <c r="AY1018" s="1583"/>
      <c r="CR1018" s="25"/>
    </row>
    <row r="1019" spans="1:96" s="719" customFormat="1" ht="12.75" customHeight="1">
      <c r="A1019" s="51"/>
      <c r="B1019" s="110"/>
      <c r="C1019" s="111"/>
      <c r="D1019" s="2477"/>
      <c r="E1019" s="2478"/>
      <c r="F1019" s="2478"/>
      <c r="G1019" s="2478"/>
      <c r="H1019" s="2478"/>
      <c r="I1019" s="2478"/>
      <c r="J1019" s="2478"/>
      <c r="K1019" s="2478"/>
      <c r="L1019" s="2478"/>
      <c r="M1019" s="2478"/>
      <c r="N1019" s="2478"/>
      <c r="O1019" s="2478"/>
      <c r="P1019" s="2478"/>
      <c r="Q1019" s="2478"/>
      <c r="R1019" s="2478"/>
      <c r="S1019" s="2478"/>
      <c r="T1019" s="2478"/>
      <c r="U1019" s="2478"/>
      <c r="V1019" s="2478"/>
      <c r="W1019" s="2478"/>
      <c r="X1019" s="2478"/>
      <c r="Y1019" s="2478"/>
      <c r="Z1019" s="2478"/>
      <c r="AA1019" s="2478"/>
      <c r="AB1019" s="2478"/>
      <c r="AC1019" s="2478"/>
      <c r="AD1019" s="2478"/>
      <c r="AE1019" s="2479"/>
      <c r="AF1019" s="110"/>
      <c r="AG1019" s="112"/>
      <c r="AH1019" s="112"/>
      <c r="AI1019" s="121"/>
      <c r="AJ1019" s="2483"/>
      <c r="AK1019" s="2484"/>
      <c r="AL1019" s="2484"/>
      <c r="AM1019" s="2484"/>
      <c r="AN1019" s="2484"/>
      <c r="AO1019" s="2484"/>
      <c r="AP1019" s="2484"/>
      <c r="AQ1019" s="2485"/>
      <c r="AR1019" s="1583"/>
      <c r="AS1019" s="1583"/>
      <c r="AT1019" s="1583"/>
      <c r="AU1019" s="1583"/>
      <c r="AV1019" s="1583"/>
      <c r="AW1019" s="1583"/>
      <c r="AX1019" s="1583"/>
      <c r="AY1019" s="1583"/>
      <c r="CR1019" s="25"/>
    </row>
    <row r="1020" spans="1:96" s="719" customFormat="1" ht="12.75" customHeight="1">
      <c r="A1020" s="51"/>
      <c r="B1020" s="117"/>
      <c r="C1020" s="198" t="s">
        <v>1116</v>
      </c>
      <c r="D1020" s="2443" t="s">
        <v>1542</v>
      </c>
      <c r="E1020" s="2444"/>
      <c r="F1020" s="2444"/>
      <c r="G1020" s="2444"/>
      <c r="H1020" s="2444"/>
      <c r="I1020" s="2444"/>
      <c r="J1020" s="2444"/>
      <c r="K1020" s="2444"/>
      <c r="L1020" s="2444"/>
      <c r="M1020" s="2444"/>
      <c r="N1020" s="2444"/>
      <c r="O1020" s="2444"/>
      <c r="P1020" s="2444"/>
      <c r="Q1020" s="2444"/>
      <c r="R1020" s="2444"/>
      <c r="S1020" s="2444"/>
      <c r="T1020" s="2444"/>
      <c r="U1020" s="2444"/>
      <c r="V1020" s="2444"/>
      <c r="W1020" s="2444"/>
      <c r="X1020" s="2444"/>
      <c r="Y1020" s="2444"/>
      <c r="Z1020" s="2444"/>
      <c r="AA1020" s="2444"/>
      <c r="AB1020" s="2444"/>
      <c r="AC1020" s="2444"/>
      <c r="AD1020" s="2444"/>
      <c r="AE1020" s="2445"/>
      <c r="AF1020" s="117"/>
      <c r="AG1020" s="2455" t="s">
        <v>705</v>
      </c>
      <c r="AH1020" s="2456"/>
      <c r="AI1020" s="125"/>
      <c r="AJ1020" s="2480">
        <f>ROUND(IF(AG1020="yes",(AJ975*0.1),0),0)</f>
        <v>0</v>
      </c>
      <c r="AK1020" s="2481"/>
      <c r="AL1020" s="2481"/>
      <c r="AM1020" s="2481"/>
      <c r="AN1020" s="2481"/>
      <c r="AO1020" s="2481"/>
      <c r="AP1020" s="2481"/>
      <c r="AQ1020" s="2482"/>
      <c r="AR1020" s="1583"/>
      <c r="AS1020" s="1583"/>
      <c r="AT1020" s="1583"/>
      <c r="AU1020" s="1583"/>
      <c r="AV1020" s="1583"/>
      <c r="AW1020" s="1583"/>
      <c r="AX1020" s="1583"/>
      <c r="AY1020" s="1583"/>
      <c r="CR1020" s="25"/>
    </row>
    <row r="1021" spans="1:96" ht="12.75" customHeight="1">
      <c r="A1021" s="51"/>
      <c r="B1021" s="110"/>
      <c r="C1021" s="111"/>
      <c r="D1021" s="2446" t="s">
        <v>1543</v>
      </c>
      <c r="E1021" s="2447"/>
      <c r="F1021" s="2447"/>
      <c r="G1021" s="2447"/>
      <c r="H1021" s="2447"/>
      <c r="I1021" s="2447"/>
      <c r="J1021" s="2447"/>
      <c r="K1021" s="2447"/>
      <c r="L1021" s="2447"/>
      <c r="M1021" s="2447"/>
      <c r="N1021" s="2447"/>
      <c r="O1021" s="2447"/>
      <c r="P1021" s="2447"/>
      <c r="Q1021" s="2447"/>
      <c r="R1021" s="2447"/>
      <c r="S1021" s="2447"/>
      <c r="T1021" s="2447"/>
      <c r="U1021" s="2447"/>
      <c r="V1021" s="2447"/>
      <c r="W1021" s="2447"/>
      <c r="X1021" s="2447"/>
      <c r="Y1021" s="2447"/>
      <c r="Z1021" s="2447"/>
      <c r="AA1021" s="2447"/>
      <c r="AB1021" s="2447"/>
      <c r="AC1021" s="2447"/>
      <c r="AD1021" s="2447"/>
      <c r="AE1021" s="2448"/>
      <c r="AF1021" s="110"/>
      <c r="AG1021" s="112"/>
      <c r="AH1021" s="112"/>
      <c r="AI1021" s="121"/>
      <c r="AJ1021" s="2483"/>
      <c r="AK1021" s="2484"/>
      <c r="AL1021" s="2484"/>
      <c r="AM1021" s="2484"/>
      <c r="AN1021" s="2484"/>
      <c r="AO1021" s="2484"/>
      <c r="AP1021" s="2484"/>
      <c r="AQ1021" s="2485"/>
      <c r="AR1021" s="1583"/>
      <c r="AS1021" s="1583"/>
      <c r="AT1021" s="1583"/>
      <c r="AU1021" s="1583"/>
      <c r="AV1021" s="1583"/>
      <c r="AW1021" s="1583"/>
      <c r="AX1021" s="1583"/>
      <c r="AY1021" s="1583"/>
    </row>
    <row r="1022" spans="1:96" ht="12.75" customHeight="1">
      <c r="A1022" s="51"/>
      <c r="B1022" s="110"/>
      <c r="C1022" s="111"/>
      <c r="D1022" s="2446"/>
      <c r="E1022" s="2447"/>
      <c r="F1022" s="2447"/>
      <c r="G1022" s="2447"/>
      <c r="H1022" s="2447"/>
      <c r="I1022" s="2447"/>
      <c r="J1022" s="2447"/>
      <c r="K1022" s="2447"/>
      <c r="L1022" s="2447"/>
      <c r="M1022" s="2447"/>
      <c r="N1022" s="2447"/>
      <c r="O1022" s="2447"/>
      <c r="P1022" s="2447"/>
      <c r="Q1022" s="2447"/>
      <c r="R1022" s="2447"/>
      <c r="S1022" s="2447"/>
      <c r="T1022" s="2447"/>
      <c r="U1022" s="2447"/>
      <c r="V1022" s="2447"/>
      <c r="W1022" s="2447"/>
      <c r="X1022" s="2447"/>
      <c r="Y1022" s="2447"/>
      <c r="Z1022" s="2447"/>
      <c r="AA1022" s="2447"/>
      <c r="AB1022" s="2447"/>
      <c r="AC1022" s="2447"/>
      <c r="AD1022" s="2447"/>
      <c r="AE1022" s="2448"/>
      <c r="AF1022" s="110"/>
      <c r="AG1022" s="112"/>
      <c r="AH1022" s="112"/>
      <c r="AI1022" s="121"/>
      <c r="AJ1022" s="2483"/>
      <c r="AK1022" s="2484"/>
      <c r="AL1022" s="2484"/>
      <c r="AM1022" s="2484"/>
      <c r="AN1022" s="2484"/>
      <c r="AO1022" s="2484"/>
      <c r="AP1022" s="2484"/>
      <c r="AQ1022" s="2485"/>
      <c r="AR1022" s="1583"/>
      <c r="AS1022" s="1583"/>
      <c r="AT1022" s="1583"/>
      <c r="AU1022" s="1583"/>
      <c r="AV1022" s="1583"/>
      <c r="AW1022" s="1583"/>
      <c r="AX1022" s="1583"/>
      <c r="AY1022" s="1583"/>
    </row>
    <row r="1023" spans="1:96" s="682" customFormat="1" ht="12.75" customHeight="1">
      <c r="A1023" s="51"/>
      <c r="B1023" s="110"/>
      <c r="C1023" s="111"/>
      <c r="D1023" s="2459"/>
      <c r="E1023" s="2460"/>
      <c r="F1023" s="2460"/>
      <c r="G1023" s="2460"/>
      <c r="H1023" s="2460"/>
      <c r="I1023" s="2460"/>
      <c r="J1023" s="2460"/>
      <c r="K1023" s="2460"/>
      <c r="L1023" s="2460"/>
      <c r="M1023" s="2460"/>
      <c r="N1023" s="2460"/>
      <c r="O1023" s="2460"/>
      <c r="P1023" s="2460"/>
      <c r="Q1023" s="2460"/>
      <c r="R1023" s="2460"/>
      <c r="S1023" s="2460"/>
      <c r="T1023" s="2460"/>
      <c r="U1023" s="2460"/>
      <c r="V1023" s="2460"/>
      <c r="W1023" s="2460"/>
      <c r="X1023" s="2460"/>
      <c r="Y1023" s="2460"/>
      <c r="Z1023" s="2460"/>
      <c r="AA1023" s="2460"/>
      <c r="AB1023" s="2460"/>
      <c r="AC1023" s="2460"/>
      <c r="AD1023" s="2460"/>
      <c r="AE1023" s="2461"/>
      <c r="AF1023" s="110"/>
      <c r="AG1023" s="112"/>
      <c r="AH1023" s="112"/>
      <c r="AI1023" s="121"/>
      <c r="AJ1023" s="2486"/>
      <c r="AK1023" s="2487"/>
      <c r="AL1023" s="2487"/>
      <c r="AM1023" s="2487"/>
      <c r="AN1023" s="2487"/>
      <c r="AO1023" s="2487"/>
      <c r="AP1023" s="2487"/>
      <c r="AQ1023" s="2488"/>
      <c r="AR1023" s="1583"/>
      <c r="AS1023" s="1583"/>
      <c r="AT1023" s="1583"/>
      <c r="AU1023" s="1583"/>
      <c r="AV1023" s="1583"/>
      <c r="AW1023" s="1583"/>
      <c r="AX1023" s="1583"/>
      <c r="AY1023" s="1583"/>
      <c r="CR1023" s="25"/>
    </row>
    <row r="1024" spans="1:96" ht="12.75" customHeight="1">
      <c r="A1024" s="51"/>
      <c r="B1024" s="117"/>
      <c r="C1024" s="198" t="s">
        <v>2169</v>
      </c>
      <c r="D1024" s="2492" t="s">
        <v>2390</v>
      </c>
      <c r="E1024" s="2493"/>
      <c r="F1024" s="2493"/>
      <c r="G1024" s="2493"/>
      <c r="H1024" s="2493"/>
      <c r="I1024" s="2493"/>
      <c r="J1024" s="2493"/>
      <c r="K1024" s="2493"/>
      <c r="L1024" s="2493"/>
      <c r="M1024" s="2493"/>
      <c r="N1024" s="2493"/>
      <c r="O1024" s="2493"/>
      <c r="P1024" s="2493"/>
      <c r="Q1024" s="2493"/>
      <c r="R1024" s="2493"/>
      <c r="S1024" s="2493"/>
      <c r="T1024" s="2493"/>
      <c r="U1024" s="2493"/>
      <c r="V1024" s="2493"/>
      <c r="W1024" s="2493"/>
      <c r="X1024" s="2493"/>
      <c r="Y1024" s="2493"/>
      <c r="Z1024" s="2493"/>
      <c r="AA1024" s="2493"/>
      <c r="AB1024" s="2493"/>
      <c r="AC1024" s="2493"/>
      <c r="AD1024" s="2493"/>
      <c r="AE1024" s="2494"/>
      <c r="AF1024" s="117"/>
      <c r="AG1024" s="2453" t="str">
        <f>IF(X1027&gt;0,"Yes","No")</f>
        <v>Yes</v>
      </c>
      <c r="AH1024" s="2454"/>
      <c r="AI1024" s="125"/>
      <c r="AJ1024" s="2462">
        <f>IF((X1027=0),0,BA989*AJ975)</f>
        <v>7065344</v>
      </c>
      <c r="AK1024" s="2463"/>
      <c r="AL1024" s="2463"/>
      <c r="AM1024" s="2463"/>
      <c r="AN1024" s="2463"/>
      <c r="AO1024" s="2463"/>
      <c r="AP1024" s="2463"/>
      <c r="AQ1024" s="2464"/>
      <c r="AR1024" s="1583"/>
      <c r="AS1024" s="1583"/>
      <c r="AT1024" s="1583"/>
      <c r="AU1024" s="1583"/>
      <c r="AV1024" s="1583"/>
      <c r="AW1024" s="1583"/>
      <c r="AX1024" s="1583"/>
      <c r="AY1024" s="1583"/>
    </row>
    <row r="1025" spans="1:96" ht="12.75" customHeight="1">
      <c r="A1025" s="51"/>
      <c r="B1025" s="110"/>
      <c r="C1025" s="702"/>
      <c r="D1025" s="2446" t="s">
        <v>1545</v>
      </c>
      <c r="E1025" s="2447"/>
      <c r="F1025" s="2447"/>
      <c r="G1025" s="2447"/>
      <c r="H1025" s="2447"/>
      <c r="I1025" s="2447"/>
      <c r="J1025" s="2447"/>
      <c r="K1025" s="2447"/>
      <c r="L1025" s="2447"/>
      <c r="M1025" s="2447"/>
      <c r="N1025" s="2447"/>
      <c r="O1025" s="2447"/>
      <c r="P1025" s="2447"/>
      <c r="Q1025" s="2447"/>
      <c r="R1025" s="2447"/>
      <c r="S1025" s="2447"/>
      <c r="T1025" s="2447"/>
      <c r="U1025" s="2447"/>
      <c r="V1025" s="2447"/>
      <c r="W1025" s="2447"/>
      <c r="X1025" s="2447"/>
      <c r="Y1025" s="2447"/>
      <c r="Z1025" s="2447"/>
      <c r="AA1025" s="2447"/>
      <c r="AB1025" s="2447"/>
      <c r="AC1025" s="2447"/>
      <c r="AD1025" s="2447"/>
      <c r="AE1025" s="2448"/>
      <c r="AF1025" s="110"/>
      <c r="AG1025" s="703"/>
      <c r="AH1025" s="703"/>
      <c r="AI1025" s="121"/>
      <c r="AJ1025" s="2465"/>
      <c r="AK1025" s="2466"/>
      <c r="AL1025" s="2466"/>
      <c r="AM1025" s="2466"/>
      <c r="AN1025" s="2466"/>
      <c r="AO1025" s="2466"/>
      <c r="AP1025" s="2466"/>
      <c r="AQ1025" s="2467"/>
      <c r="AR1025" s="1583"/>
      <c r="AS1025" s="1583"/>
      <c r="AT1025" s="1583"/>
      <c r="AU1025" s="1583"/>
      <c r="AV1025" s="1583"/>
      <c r="AW1025" s="1583"/>
      <c r="AX1025" s="1583"/>
      <c r="AY1025" s="1583"/>
    </row>
    <row r="1026" spans="1:96" ht="12.75" customHeight="1">
      <c r="A1026" s="51"/>
      <c r="B1026" s="110"/>
      <c r="C1026" s="702"/>
      <c r="D1026" s="2446"/>
      <c r="E1026" s="2447"/>
      <c r="F1026" s="2447"/>
      <c r="G1026" s="2447"/>
      <c r="H1026" s="2447"/>
      <c r="I1026" s="2447"/>
      <c r="J1026" s="2447"/>
      <c r="K1026" s="2447"/>
      <c r="L1026" s="2447"/>
      <c r="M1026" s="2447"/>
      <c r="N1026" s="2447"/>
      <c r="O1026" s="2447"/>
      <c r="P1026" s="2447"/>
      <c r="Q1026" s="2447"/>
      <c r="R1026" s="2447"/>
      <c r="S1026" s="2447"/>
      <c r="T1026" s="2447"/>
      <c r="U1026" s="2447"/>
      <c r="V1026" s="2447"/>
      <c r="W1026" s="2447"/>
      <c r="X1026" s="2447"/>
      <c r="Y1026" s="2447"/>
      <c r="Z1026" s="2447"/>
      <c r="AA1026" s="2447"/>
      <c r="AB1026" s="2447"/>
      <c r="AC1026" s="2447"/>
      <c r="AD1026" s="2447"/>
      <c r="AE1026" s="2448"/>
      <c r="AF1026" s="110"/>
      <c r="AG1026" s="703"/>
      <c r="AH1026" s="703"/>
      <c r="AI1026" s="121"/>
      <c r="AJ1026" s="2465"/>
      <c r="AK1026" s="2466"/>
      <c r="AL1026" s="2466"/>
      <c r="AM1026" s="2466"/>
      <c r="AN1026" s="2466"/>
      <c r="AO1026" s="2466"/>
      <c r="AP1026" s="2466"/>
      <c r="AQ1026" s="2467"/>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51">
        <f>BA987</f>
        <v>133</v>
      </c>
      <c r="J1027" s="2452"/>
      <c r="K1027" s="11"/>
      <c r="L1027" s="200"/>
      <c r="M1027" s="200"/>
      <c r="N1027" s="200"/>
      <c r="O1027" s="200"/>
      <c r="P1027" s="200"/>
      <c r="Q1027" s="200"/>
      <c r="R1027" s="200"/>
      <c r="S1027" s="200"/>
      <c r="T1027" s="200"/>
      <c r="U1027" s="200"/>
      <c r="V1027" s="201" t="s">
        <v>1051</v>
      </c>
      <c r="W1027" s="80"/>
      <c r="X1027" s="2449">
        <f>BG635</f>
        <v>14</v>
      </c>
      <c r="Y1027" s="2450"/>
      <c r="Z1027" s="80"/>
      <c r="AA1027" s="80"/>
      <c r="AB1027" s="80"/>
      <c r="AC1027" s="80"/>
      <c r="AD1027" s="80"/>
      <c r="AE1027" s="81"/>
      <c r="AF1027" s="1622"/>
      <c r="AG1027" s="1623"/>
      <c r="AH1027" s="1623"/>
      <c r="AI1027" s="1624"/>
      <c r="AJ1027" s="2468"/>
      <c r="AK1027" s="2469"/>
      <c r="AL1027" s="2469"/>
      <c r="AM1027" s="2469"/>
      <c r="AN1027" s="2469"/>
      <c r="AO1027" s="2469"/>
      <c r="AP1027" s="2469"/>
      <c r="AQ1027" s="2470"/>
      <c r="AR1027" s="1583"/>
      <c r="AS1027" s="1583"/>
      <c r="AT1027" s="1583"/>
      <c r="AU1027" s="1583"/>
      <c r="AV1027" s="1583"/>
      <c r="AW1027" s="1583"/>
      <c r="AX1027" s="1583"/>
      <c r="AY1027" s="1583"/>
      <c r="CR1027" s="25"/>
    </row>
    <row r="1028" spans="1:96" ht="12.75" customHeight="1">
      <c r="A1028" s="51"/>
      <c r="B1028" s="117"/>
      <c r="C1028" s="198" t="s">
        <v>2170</v>
      </c>
      <c r="D1028" s="2443" t="s">
        <v>2391</v>
      </c>
      <c r="E1028" s="2444"/>
      <c r="F1028" s="2444"/>
      <c r="G1028" s="2444"/>
      <c r="H1028" s="2444"/>
      <c r="I1028" s="2444"/>
      <c r="J1028" s="2444"/>
      <c r="K1028" s="2444"/>
      <c r="L1028" s="2444"/>
      <c r="M1028" s="2444"/>
      <c r="N1028" s="2444"/>
      <c r="O1028" s="2444"/>
      <c r="P1028" s="2444"/>
      <c r="Q1028" s="2444"/>
      <c r="R1028" s="2444"/>
      <c r="S1028" s="2444"/>
      <c r="T1028" s="2444"/>
      <c r="U1028" s="2444"/>
      <c r="V1028" s="2444"/>
      <c r="W1028" s="2444"/>
      <c r="X1028" s="2444"/>
      <c r="Y1028" s="2444"/>
      <c r="Z1028" s="2444"/>
      <c r="AA1028" s="2444"/>
      <c r="AB1028" s="2444"/>
      <c r="AC1028" s="2444"/>
      <c r="AD1028" s="2444"/>
      <c r="AE1028" s="2445"/>
      <c r="AF1028" s="110"/>
      <c r="AG1028" s="2453" t="str">
        <f>IF(X1031&gt;0,"Yes","No")</f>
        <v>Yes</v>
      </c>
      <c r="AH1028" s="2454"/>
      <c r="AI1028" s="121"/>
      <c r="AJ1028" s="2462">
        <f>IF((X1031=0),0,(2*BA990)*AJ975)</f>
        <v>14130688</v>
      </c>
      <c r="AK1028" s="2463"/>
      <c r="AL1028" s="2463"/>
      <c r="AM1028" s="2463"/>
      <c r="AN1028" s="2463"/>
      <c r="AO1028" s="2463"/>
      <c r="AP1028" s="2463"/>
      <c r="AQ1028" s="2464"/>
      <c r="AR1028" s="1583"/>
      <c r="AS1028" s="1583"/>
      <c r="AT1028" s="1583"/>
      <c r="AU1028" s="1583"/>
      <c r="AV1028" s="1583"/>
      <c r="AW1028" s="1583"/>
      <c r="AX1028" s="1583"/>
      <c r="AY1028" s="1583"/>
    </row>
    <row r="1029" spans="1:96" ht="12.75" customHeight="1">
      <c r="A1029" s="51"/>
      <c r="B1029" s="110"/>
      <c r="C1029" s="702"/>
      <c r="D1029" s="2446" t="s">
        <v>1544</v>
      </c>
      <c r="E1029" s="2447"/>
      <c r="F1029" s="2447"/>
      <c r="G1029" s="2447"/>
      <c r="H1029" s="2447"/>
      <c r="I1029" s="2447"/>
      <c r="J1029" s="2447"/>
      <c r="K1029" s="2447"/>
      <c r="L1029" s="2447"/>
      <c r="M1029" s="2447"/>
      <c r="N1029" s="2447"/>
      <c r="O1029" s="2447"/>
      <c r="P1029" s="2447"/>
      <c r="Q1029" s="2447"/>
      <c r="R1029" s="2447"/>
      <c r="S1029" s="2447"/>
      <c r="T1029" s="2447"/>
      <c r="U1029" s="2447"/>
      <c r="V1029" s="2447"/>
      <c r="W1029" s="2447"/>
      <c r="X1029" s="2447"/>
      <c r="Y1029" s="2447"/>
      <c r="Z1029" s="2447"/>
      <c r="AA1029" s="2447"/>
      <c r="AB1029" s="2447"/>
      <c r="AC1029" s="2447"/>
      <c r="AD1029" s="2447"/>
      <c r="AE1029" s="2448"/>
      <c r="AF1029" s="110"/>
      <c r="AG1029" s="703"/>
      <c r="AH1029" s="703"/>
      <c r="AI1029" s="121"/>
      <c r="AJ1029" s="2465"/>
      <c r="AK1029" s="2466"/>
      <c r="AL1029" s="2466"/>
      <c r="AM1029" s="2466"/>
      <c r="AN1029" s="2466"/>
      <c r="AO1029" s="2466"/>
      <c r="AP1029" s="2466"/>
      <c r="AQ1029" s="2467"/>
      <c r="AR1029" s="1583"/>
      <c r="AS1029" s="1583"/>
      <c r="AT1029" s="1583"/>
      <c r="AU1029" s="1583"/>
      <c r="AV1029" s="1583"/>
      <c r="AW1029" s="1583"/>
      <c r="AX1029" s="1583"/>
      <c r="AY1029" s="1583"/>
    </row>
    <row r="1030" spans="1:96" ht="12.75" customHeight="1">
      <c r="A1030" s="51"/>
      <c r="B1030" s="110"/>
      <c r="C1030" s="121"/>
      <c r="D1030" s="2446"/>
      <c r="E1030" s="2447"/>
      <c r="F1030" s="2447"/>
      <c r="G1030" s="2447"/>
      <c r="H1030" s="2447"/>
      <c r="I1030" s="2447"/>
      <c r="J1030" s="2447"/>
      <c r="K1030" s="2447"/>
      <c r="L1030" s="2447"/>
      <c r="M1030" s="2447"/>
      <c r="N1030" s="2447"/>
      <c r="O1030" s="2447"/>
      <c r="P1030" s="2447"/>
      <c r="Q1030" s="2447"/>
      <c r="R1030" s="2447"/>
      <c r="S1030" s="2447"/>
      <c r="T1030" s="2447"/>
      <c r="U1030" s="2447"/>
      <c r="V1030" s="2447"/>
      <c r="W1030" s="2447"/>
      <c r="X1030" s="2447"/>
      <c r="Y1030" s="2447"/>
      <c r="Z1030" s="2447"/>
      <c r="AA1030" s="2447"/>
      <c r="AB1030" s="2447"/>
      <c r="AC1030" s="2447"/>
      <c r="AD1030" s="2447"/>
      <c r="AE1030" s="2448"/>
      <c r="AF1030" s="1619"/>
      <c r="AG1030" s="1620"/>
      <c r="AH1030" s="1620"/>
      <c r="AI1030" s="1621"/>
      <c r="AJ1030" s="2465"/>
      <c r="AK1030" s="2466"/>
      <c r="AL1030" s="2466"/>
      <c r="AM1030" s="2466"/>
      <c r="AN1030" s="2466"/>
      <c r="AO1030" s="2466"/>
      <c r="AP1030" s="2466"/>
      <c r="AQ1030" s="2467"/>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51">
        <f>BA987</f>
        <v>133</v>
      </c>
      <c r="J1031" s="2452"/>
      <c r="K1031" s="51"/>
      <c r="L1031" s="200"/>
      <c r="M1031" s="200"/>
      <c r="N1031" s="200"/>
      <c r="O1031" s="200"/>
      <c r="P1031" s="200"/>
      <c r="Q1031" s="200"/>
      <c r="R1031" s="200"/>
      <c r="S1031" s="200"/>
      <c r="T1031" s="200"/>
      <c r="U1031" s="200"/>
      <c r="V1031" s="201" t="s">
        <v>1052</v>
      </c>
      <c r="X1031" s="2449">
        <f>BK635</f>
        <v>14</v>
      </c>
      <c r="Y1031" s="2450"/>
      <c r="AF1031" s="1622"/>
      <c r="AG1031" s="1623"/>
      <c r="AH1031" s="1623"/>
      <c r="AI1031" s="1624"/>
      <c r="AJ1031" s="2468"/>
      <c r="AK1031" s="2469"/>
      <c r="AL1031" s="2469"/>
      <c r="AM1031" s="2469"/>
      <c r="AN1031" s="2469"/>
      <c r="AO1031" s="2469"/>
      <c r="AP1031" s="2469"/>
      <c r="AQ1031" s="2470"/>
      <c r="AR1031" s="1583"/>
      <c r="AS1031" s="1583"/>
      <c r="AT1031" s="1583"/>
      <c r="AU1031" s="1583"/>
      <c r="AV1031" s="1583"/>
      <c r="AW1031" s="1583"/>
      <c r="AX1031" s="1583"/>
      <c r="AY1031" s="1583"/>
      <c r="CR1031" s="25"/>
    </row>
    <row r="1032" spans="1:96" ht="12.75" customHeight="1">
      <c r="A1032" s="51"/>
      <c r="B1032" s="158"/>
      <c r="C1032" s="159"/>
      <c r="D1032" s="2441" t="s">
        <v>545</v>
      </c>
      <c r="E1032" s="2441"/>
      <c r="F1032" s="2441"/>
      <c r="G1032" s="2441"/>
      <c r="H1032" s="2441"/>
      <c r="I1032" s="2441"/>
      <c r="J1032" s="2441"/>
      <c r="K1032" s="2441"/>
      <c r="L1032" s="2441"/>
      <c r="M1032" s="2441"/>
      <c r="N1032" s="2441"/>
      <c r="O1032" s="2441"/>
      <c r="P1032" s="2441"/>
      <c r="Q1032" s="2441"/>
      <c r="R1032" s="2441"/>
      <c r="S1032" s="2441"/>
      <c r="T1032" s="2441"/>
      <c r="U1032" s="2441"/>
      <c r="V1032" s="2441"/>
      <c r="W1032" s="2441"/>
      <c r="X1032" s="2441"/>
      <c r="Y1032" s="2441"/>
      <c r="Z1032" s="2441"/>
      <c r="AA1032" s="2441"/>
      <c r="AB1032" s="2441"/>
      <c r="AC1032" s="2441"/>
      <c r="AD1032" s="2441"/>
      <c r="AE1032" s="2441"/>
      <c r="AF1032" s="2441"/>
      <c r="AG1032" s="2441"/>
      <c r="AH1032" s="2441"/>
      <c r="AI1032" s="2442"/>
      <c r="AJ1032" s="2471">
        <f>SUM(AJ975:AQ1031)</f>
        <v>106074396.8</v>
      </c>
      <c r="AK1032" s="2472"/>
      <c r="AL1032" s="2472"/>
      <c r="AM1032" s="2472"/>
      <c r="AN1032" s="2472"/>
      <c r="AO1032" s="2472"/>
      <c r="AP1032" s="2472"/>
      <c r="AQ1032" s="2473"/>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8" t="s">
        <v>1931</v>
      </c>
      <c r="C1034" s="2108"/>
      <c r="D1034" s="2108"/>
      <c r="E1034" s="2108"/>
      <c r="F1034" s="2108"/>
      <c r="G1034" s="2108"/>
      <c r="H1034" s="2108"/>
      <c r="I1034" s="2108"/>
      <c r="J1034" s="2108"/>
      <c r="K1034" s="2108"/>
      <c r="L1034" s="2108"/>
      <c r="M1034" s="2108"/>
      <c r="N1034" s="2108"/>
      <c r="O1034" s="2108"/>
      <c r="P1034" s="2108"/>
      <c r="Q1034" s="2108"/>
      <c r="R1034" s="2108"/>
      <c r="S1034" s="2108"/>
      <c r="T1034" s="2108"/>
      <c r="U1034" s="2108"/>
      <c r="V1034" s="2108"/>
      <c r="W1034" s="2108"/>
      <c r="X1034" s="2108"/>
      <c r="Y1034" s="210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1"/>
      <c r="Y1035" s="2401"/>
      <c r="Z1035" s="2401"/>
      <c r="AA1035" s="2401"/>
      <c r="AB1035" s="2401"/>
      <c r="AC1035" s="2401"/>
      <c r="AD1035" s="2130">
        <f>R971</f>
        <v>416000</v>
      </c>
      <c r="AE1035" s="2131"/>
      <c r="AF1035" s="2131"/>
      <c r="AG1035" s="2131"/>
      <c r="AH1035" s="2131"/>
      <c r="AI1035" s="2131"/>
      <c r="AJ1035" s="2131"/>
      <c r="AK1035" s="213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2488</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2"/>
      <c r="Y1036" s="2402"/>
      <c r="Z1036" s="2402"/>
      <c r="AA1036" s="2402"/>
      <c r="AB1036" s="2402"/>
      <c r="AC1036" s="2402"/>
      <c r="AD1036" s="2150">
        <v>364800</v>
      </c>
      <c r="AE1036" s="2150"/>
      <c r="AF1036" s="2150"/>
      <c r="AG1036" s="2150"/>
      <c r="AH1036" s="2150"/>
      <c r="AI1036" s="2150"/>
      <c r="AJ1036" s="2150"/>
      <c r="AK1036" s="215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2" t="s">
        <v>1933</v>
      </c>
      <c r="C1037" s="2132"/>
      <c r="D1037" s="2132"/>
      <c r="E1037" s="2132"/>
      <c r="F1037" s="2132"/>
      <c r="G1037" s="2132"/>
      <c r="H1037" s="2132"/>
      <c r="I1037" s="2132"/>
      <c r="J1037" s="2132"/>
      <c r="K1037" s="2132"/>
      <c r="L1037" s="2132"/>
      <c r="M1037" s="2132"/>
      <c r="N1037" s="2132"/>
      <c r="O1037" s="2132"/>
      <c r="P1037" s="2132"/>
      <c r="Q1037" s="2132"/>
      <c r="R1037" s="2132"/>
      <c r="S1037" s="2132"/>
      <c r="T1037" s="2132"/>
      <c r="U1037" s="2132"/>
      <c r="V1037" s="2132"/>
      <c r="W1037" s="2132"/>
      <c r="X1037" s="2132"/>
      <c r="Y1037" s="2132"/>
      <c r="Z1037" s="1416"/>
      <c r="AA1037" s="1416"/>
      <c r="AB1037" s="1416"/>
      <c r="AC1037" s="1416"/>
      <c r="AD1037" s="2127">
        <f>IF(((AD1035-AD1036)/AD1036)&gt;0.3,0.3,((AD1035-AD1036)/AD1036))</f>
        <v>0.14035087719298245</v>
      </c>
      <c r="AE1037" s="2128"/>
      <c r="AF1037" s="2128"/>
      <c r="AG1037" s="2128"/>
      <c r="AH1037" s="2128"/>
      <c r="AI1037" s="2128"/>
      <c r="AJ1037" s="2128"/>
      <c r="AK1037" s="212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9">
        <f>IF(ISNA(IF((AJ999&gt;(AJ975*0.15)),"(f) cannot be greater than 15% of unadjusted eligible basis.",0)),"",(IF((AJ999&gt;(AJ975*0.15)),"(f) cannot be greater than 15% of unadjusted eligible basis.",0)))</f>
        <v>0</v>
      </c>
      <c r="C1039" s="2399"/>
      <c r="D1039" s="2399"/>
      <c r="E1039" s="2399"/>
      <c r="F1039" s="2399"/>
      <c r="G1039" s="2399"/>
      <c r="H1039" s="2399"/>
      <c r="I1039" s="2399"/>
      <c r="J1039" s="2399"/>
      <c r="K1039" s="2399"/>
      <c r="L1039" s="2399"/>
      <c r="M1039" s="2399"/>
      <c r="N1039" s="2399"/>
      <c r="O1039" s="2399"/>
      <c r="P1039" s="2399"/>
      <c r="Q1039" s="2399"/>
      <c r="R1039" s="2399"/>
      <c r="S1039" s="2399"/>
      <c r="T1039" s="2399"/>
      <c r="U1039" s="2399"/>
      <c r="V1039" s="2399"/>
      <c r="W1039" s="2399"/>
      <c r="X1039" s="2399"/>
      <c r="Y1039" s="2399"/>
      <c r="Z1039" s="2399"/>
      <c r="AA1039" s="2399"/>
      <c r="AB1039" s="2399"/>
      <c r="AC1039" s="2399"/>
      <c r="AD1039" s="2399"/>
      <c r="AE1039" s="2399"/>
      <c r="AF1039" s="2399"/>
      <c r="AG1039" s="2399"/>
      <c r="AH1039" s="2399"/>
      <c r="AI1039" s="2399"/>
      <c r="AJ1039" s="2399"/>
      <c r="AK1039" s="239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0" t="s">
        <v>851</v>
      </c>
      <c r="B1040" s="2360"/>
      <c r="C1040" s="2360"/>
      <c r="D1040" s="2360"/>
      <c r="E1040" s="2360"/>
      <c r="F1040" s="2360"/>
      <c r="G1040" s="2360"/>
      <c r="H1040" s="2360"/>
      <c r="I1040" s="2360"/>
      <c r="J1040" s="2360"/>
      <c r="K1040" s="2360"/>
      <c r="L1040" s="2360"/>
      <c r="M1040" s="2360"/>
      <c r="N1040" s="2360"/>
      <c r="O1040" s="2360"/>
      <c r="P1040" s="2360"/>
      <c r="Q1040" s="2360"/>
      <c r="R1040" s="2360"/>
      <c r="S1040" s="2360"/>
      <c r="T1040" s="2360"/>
      <c r="U1040" s="2360"/>
      <c r="V1040" s="2360"/>
      <c r="W1040" s="2360"/>
      <c r="X1040" s="2360"/>
      <c r="Y1040" s="2360"/>
      <c r="Z1040" s="2360"/>
      <c r="AA1040" s="2360"/>
      <c r="AB1040" s="2360"/>
      <c r="AC1040" s="2360"/>
      <c r="AD1040" s="2360"/>
      <c r="AE1040" s="2360"/>
      <c r="AF1040" s="2360"/>
      <c r="AG1040" s="2360"/>
      <c r="AH1040" s="2360"/>
      <c r="AI1040" s="2360"/>
      <c r="AJ1040" s="2360"/>
      <c r="AK1040" s="2360"/>
      <c r="AL1040" s="236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6" t="s">
        <v>625</v>
      </c>
      <c r="B1044" s="2036"/>
      <c r="C1044" s="13">
        <v>1</v>
      </c>
      <c r="D1044" s="1881" t="s">
        <v>1222</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6" t="s">
        <v>625</v>
      </c>
      <c r="B1050" s="2036"/>
      <c r="C1050" s="13">
        <v>2</v>
      </c>
      <c r="D1050" s="1881" t="s">
        <v>1221</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 customHeight="1">
      <c r="A1056" s="2036" t="s">
        <v>625</v>
      </c>
      <c r="B1056" s="2036"/>
      <c r="C1056" s="13">
        <v>3</v>
      </c>
      <c r="D1056" s="1881" t="s">
        <v>1527</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 customHeight="1">
      <c r="A1063" s="2036" t="s">
        <v>625</v>
      </c>
      <c r="B1063" s="2036"/>
      <c r="C1063" s="13">
        <v>4</v>
      </c>
      <c r="D1063" s="1881" t="s">
        <v>1207</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 customHeight="1">
      <c r="A1066" s="2036" t="s">
        <v>625</v>
      </c>
      <c r="B1066" s="2036"/>
      <c r="C1066" s="13">
        <v>5</v>
      </c>
      <c r="D1066" s="1881" t="s">
        <v>1416</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 customHeight="1">
      <c r="A1071" s="2036" t="s">
        <v>625</v>
      </c>
      <c r="B1071" s="2036"/>
      <c r="C1071" s="13">
        <v>6</v>
      </c>
      <c r="D1071" s="1881" t="s">
        <v>1208</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 customHeight="1">
      <c r="A1074" s="2036" t="s">
        <v>625</v>
      </c>
      <c r="B1074" s="2036"/>
      <c r="C1074" s="318">
        <v>7</v>
      </c>
      <c r="D1074" s="1881" t="s">
        <v>1210</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 customHeight="1">
      <c r="A1078" s="2036" t="s">
        <v>577</v>
      </c>
      <c r="B1078" s="2036"/>
      <c r="C1078" s="318">
        <v>8</v>
      </c>
      <c r="D1078" s="2400" t="s">
        <v>2165</v>
      </c>
      <c r="E1078" s="2400"/>
      <c r="F1078" s="2400"/>
      <c r="G1078" s="2400"/>
      <c r="H1078" s="2400"/>
      <c r="I1078" s="2400"/>
      <c r="J1078" s="2400"/>
      <c r="K1078" s="2400"/>
      <c r="L1078" s="2400"/>
      <c r="M1078" s="2400"/>
      <c r="N1078" s="2400"/>
      <c r="O1078" s="2400"/>
      <c r="P1078" s="2400"/>
      <c r="Q1078" s="2400"/>
      <c r="R1078" s="2400"/>
      <c r="S1078" s="2400"/>
      <c r="T1078" s="2400"/>
      <c r="U1078" s="2400"/>
      <c r="V1078" s="2400"/>
      <c r="W1078" s="2400"/>
      <c r="X1078" s="2400"/>
      <c r="Y1078" s="2400"/>
      <c r="Z1078" s="2400"/>
      <c r="AA1078" s="2400"/>
      <c r="AB1078" s="2400"/>
      <c r="AC1078" s="2400"/>
      <c r="AD1078" s="2400"/>
      <c r="AE1078" s="2400"/>
      <c r="AF1078" s="2400"/>
      <c r="AG1078" s="2400"/>
      <c r="AH1078" s="2400"/>
      <c r="AI1078" s="2400"/>
      <c r="AJ1078" s="2400"/>
      <c r="AK1078" s="2400"/>
    </row>
    <row r="1079" spans="1:96" ht="12.6" customHeight="1">
      <c r="A1079" s="235"/>
      <c r="B1079" s="235"/>
      <c r="C1079" s="318"/>
      <c r="D1079" s="2400"/>
      <c r="E1079" s="2400"/>
      <c r="F1079" s="2400"/>
      <c r="G1079" s="2400"/>
      <c r="H1079" s="2400"/>
      <c r="I1079" s="2400"/>
      <c r="J1079" s="2400"/>
      <c r="K1079" s="2400"/>
      <c r="L1079" s="2400"/>
      <c r="M1079" s="2400"/>
      <c r="N1079" s="2400"/>
      <c r="O1079" s="2400"/>
      <c r="P1079" s="2400"/>
      <c r="Q1079" s="2400"/>
      <c r="R1079" s="2400"/>
      <c r="S1079" s="2400"/>
      <c r="T1079" s="2400"/>
      <c r="U1079" s="2400"/>
      <c r="V1079" s="2400"/>
      <c r="W1079" s="2400"/>
      <c r="X1079" s="2400"/>
      <c r="Y1079" s="2400"/>
      <c r="Z1079" s="2400"/>
      <c r="AA1079" s="2400"/>
      <c r="AB1079" s="2400"/>
      <c r="AC1079" s="2400"/>
      <c r="AD1079" s="2400"/>
      <c r="AE1079" s="2400"/>
      <c r="AF1079" s="2400"/>
      <c r="AG1079" s="2400"/>
      <c r="AH1079" s="2400"/>
      <c r="AI1079" s="2400"/>
      <c r="AJ1079" s="2400"/>
      <c r="AK1079" s="2400"/>
    </row>
    <row r="1080" spans="1:96" ht="12.6" customHeight="1">
      <c r="A1080" s="235"/>
      <c r="B1080" s="235"/>
      <c r="C1080" s="318"/>
      <c r="D1080" s="2400"/>
      <c r="E1080" s="2400"/>
      <c r="F1080" s="2400"/>
      <c r="G1080" s="2400"/>
      <c r="H1080" s="2400"/>
      <c r="I1080" s="2400"/>
      <c r="J1080" s="2400"/>
      <c r="K1080" s="2400"/>
      <c r="L1080" s="2400"/>
      <c r="M1080" s="2400"/>
      <c r="N1080" s="2400"/>
      <c r="O1080" s="2400"/>
      <c r="P1080" s="2400"/>
      <c r="Q1080" s="2400"/>
      <c r="R1080" s="2400"/>
      <c r="S1080" s="2400"/>
      <c r="T1080" s="2400"/>
      <c r="U1080" s="2400"/>
      <c r="V1080" s="2400"/>
      <c r="W1080" s="2400"/>
      <c r="X1080" s="2400"/>
      <c r="Y1080" s="2400"/>
      <c r="Z1080" s="2400"/>
      <c r="AA1080" s="2400"/>
      <c r="AB1080" s="2400"/>
      <c r="AC1080" s="2400"/>
      <c r="AD1080" s="2400"/>
      <c r="AE1080" s="2400"/>
      <c r="AF1080" s="2400"/>
      <c r="AG1080" s="2400"/>
      <c r="AH1080" s="2400"/>
      <c r="AI1080" s="2400"/>
      <c r="AJ1080" s="2400"/>
      <c r="AK1080" s="2400"/>
      <c r="AL1080" s="682"/>
    </row>
    <row r="1081" spans="1:96" ht="12" customHeight="1">
      <c r="A1081" s="62"/>
      <c r="B1081" s="66"/>
      <c r="C1081" s="318"/>
      <c r="D1081" s="2400"/>
      <c r="E1081" s="2400"/>
      <c r="F1081" s="2400"/>
      <c r="G1081" s="2400"/>
      <c r="H1081" s="2400"/>
      <c r="I1081" s="2400"/>
      <c r="J1081" s="2400"/>
      <c r="K1081" s="2400"/>
      <c r="L1081" s="2400"/>
      <c r="M1081" s="2400"/>
      <c r="N1081" s="2400"/>
      <c r="O1081" s="2400"/>
      <c r="P1081" s="2400"/>
      <c r="Q1081" s="2400"/>
      <c r="R1081" s="2400"/>
      <c r="S1081" s="2400"/>
      <c r="T1081" s="2400"/>
      <c r="U1081" s="2400"/>
      <c r="V1081" s="2400"/>
      <c r="W1081" s="2400"/>
      <c r="X1081" s="2400"/>
      <c r="Y1081" s="2400"/>
      <c r="Z1081" s="2400"/>
      <c r="AA1081" s="2400"/>
      <c r="AB1081" s="2400"/>
      <c r="AC1081" s="2400"/>
      <c r="AD1081" s="2400"/>
      <c r="AE1081" s="2400"/>
      <c r="AF1081" s="2400"/>
      <c r="AG1081" s="2400"/>
      <c r="AH1081" s="2400"/>
      <c r="AI1081" s="2400"/>
      <c r="AJ1081" s="2400"/>
      <c r="AK1081" s="2400"/>
    </row>
    <row r="1082" spans="1:96" ht="12.6" customHeight="1">
      <c r="A1082" s="2036" t="s">
        <v>625</v>
      </c>
      <c r="B1082" s="2036"/>
      <c r="C1082" s="318">
        <v>9</v>
      </c>
      <c r="D1082" s="1881" t="s">
        <v>1209</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120" zoomScaleNormal="100" zoomScaleSheetLayoutView="120" workbookViewId="0">
      <pane xSplit="2" ySplit="3" topLeftCell="C4" activePane="bottomRight" state="frozen"/>
      <selection pane="topRight" activeCell="C1" sqref="C1"/>
      <selection pane="bottomLeft" activeCell="A4" sqref="A4"/>
      <selection pane="bottomRight" activeCell="A2" sqref="A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82" t="s">
        <v>655</v>
      </c>
      <c r="G1" s="2583"/>
      <c r="H1" s="2583"/>
      <c r="I1" s="2583"/>
      <c r="J1" s="2583"/>
      <c r="K1" s="2583"/>
      <c r="L1" s="2583"/>
      <c r="M1" s="2583"/>
      <c r="N1" s="2583"/>
      <c r="O1" s="2583"/>
      <c r="P1" s="2583"/>
      <c r="Q1" s="2583"/>
      <c r="R1" s="2584"/>
      <c r="S1" s="168"/>
      <c r="T1" s="167"/>
      <c r="U1" s="169"/>
    </row>
    <row r="2" spans="1:21" s="208" customFormat="1" ht="71.25" customHeight="1">
      <c r="A2" s="207"/>
      <c r="B2" s="208" t="s">
        <v>24</v>
      </c>
      <c r="C2" s="208" t="s">
        <v>391</v>
      </c>
      <c r="D2" s="208" t="s">
        <v>390</v>
      </c>
      <c r="E2" s="208" t="s">
        <v>25</v>
      </c>
      <c r="F2" s="209" t="str">
        <f>Application!B637&amp;Application!C637</f>
        <v>1)CalHFA Permanent Loan</v>
      </c>
      <c r="G2" s="209" t="str">
        <f>Application!B638&amp;Application!C638</f>
        <v>2)Deferred Developer Fee</v>
      </c>
      <c r="H2" s="209" t="str">
        <f>Application!B639&amp;Application!C639</f>
        <v>3)CalHFA MIP</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4050000</v>
      </c>
      <c r="C4" s="217">
        <f>Application!Q390</f>
        <v>4050000</v>
      </c>
      <c r="D4" s="217"/>
      <c r="E4" s="217">
        <f>C4</f>
        <v>4050000</v>
      </c>
      <c r="F4" s="217"/>
      <c r="G4" s="217"/>
      <c r="H4" s="217"/>
      <c r="I4" s="217"/>
      <c r="J4" s="217"/>
      <c r="K4" s="217"/>
      <c r="L4" s="217"/>
      <c r="M4" s="217"/>
      <c r="N4" s="217"/>
      <c r="O4" s="217"/>
      <c r="P4" s="217"/>
      <c r="Q4" s="217"/>
      <c r="R4" s="879">
        <f>SUM(E4:Q4)</f>
        <v>4050000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4050000</v>
      </c>
      <c r="C8" s="216">
        <f t="shared" ref="C8:Q8" si="0">SUM(C4:C7)</f>
        <v>4050000</v>
      </c>
      <c r="D8" s="216">
        <f t="shared" si="0"/>
        <v>0</v>
      </c>
      <c r="E8" s="216">
        <f t="shared" si="0"/>
        <v>4050000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4050000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1500000</v>
      </c>
      <c r="C10" s="217">
        <v>1500000</v>
      </c>
      <c r="D10" s="217"/>
      <c r="E10" s="217">
        <f>C10</f>
        <v>1500000</v>
      </c>
      <c r="F10" s="217"/>
      <c r="G10" s="217"/>
      <c r="H10" s="217"/>
      <c r="I10" s="217"/>
      <c r="J10" s="217"/>
      <c r="K10" s="217"/>
      <c r="L10" s="217"/>
      <c r="M10" s="217"/>
      <c r="N10" s="217"/>
      <c r="O10" s="217"/>
      <c r="P10" s="217"/>
      <c r="Q10" s="217"/>
      <c r="R10" s="879">
        <f>SUM(E10:Q10)</f>
        <v>1500000</v>
      </c>
      <c r="S10" s="217">
        <f>R10</f>
        <v>1500000</v>
      </c>
      <c r="T10" s="217"/>
      <c r="U10" s="213"/>
    </row>
    <row r="11" spans="1:21" s="214" customFormat="1">
      <c r="A11" s="219" t="s">
        <v>630</v>
      </c>
      <c r="B11" s="216">
        <f>SUM(C11:D11)</f>
        <v>1500000</v>
      </c>
      <c r="C11" s="216">
        <f t="shared" ref="C11:Q11" si="1">SUM(C9:C10)</f>
        <v>1500000</v>
      </c>
      <c r="D11" s="216">
        <f t="shared" si="1"/>
        <v>0</v>
      </c>
      <c r="E11" s="216">
        <f t="shared" si="1"/>
        <v>1500000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1500000</v>
      </c>
      <c r="S11" s="218"/>
      <c r="T11" s="220">
        <f>SUM(T9:T10)</f>
        <v>0</v>
      </c>
      <c r="U11" s="213"/>
    </row>
    <row r="12" spans="1:21" s="214" customFormat="1">
      <c r="A12" s="219" t="s">
        <v>89</v>
      </c>
      <c r="B12" s="216">
        <f t="shared" ref="B12:Q12" si="2">SUM(B8+B11)</f>
        <v>5550000</v>
      </c>
      <c r="C12" s="216">
        <f t="shared" si="2"/>
        <v>5550000</v>
      </c>
      <c r="D12" s="216">
        <f t="shared" si="2"/>
        <v>0</v>
      </c>
      <c r="E12" s="216">
        <f t="shared" si="2"/>
        <v>5550000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5550000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204437</v>
      </c>
      <c r="C27" s="217">
        <v>204437</v>
      </c>
      <c r="D27" s="217"/>
      <c r="E27" s="217">
        <f>C27</f>
        <v>204437</v>
      </c>
      <c r="F27" s="217"/>
      <c r="G27" s="217"/>
      <c r="H27" s="217"/>
      <c r="I27" s="217"/>
      <c r="J27" s="217"/>
      <c r="K27" s="217"/>
      <c r="L27" s="217"/>
      <c r="M27" s="217"/>
      <c r="N27" s="217"/>
      <c r="O27" s="217"/>
      <c r="P27" s="217"/>
      <c r="Q27" s="217"/>
      <c r="R27" s="879">
        <f t="shared" si="4"/>
        <v>204437</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3073000</v>
      </c>
      <c r="C29" s="217">
        <v>3073000</v>
      </c>
      <c r="D29" s="217"/>
      <c r="E29" s="217">
        <f>C29</f>
        <v>3073000</v>
      </c>
      <c r="F29" s="217"/>
      <c r="G29" s="217"/>
      <c r="H29" s="217"/>
      <c r="I29" s="217"/>
      <c r="J29" s="217"/>
      <c r="K29" s="217"/>
      <c r="L29" s="217"/>
      <c r="M29" s="217"/>
      <c r="N29" s="217"/>
      <c r="O29" s="217"/>
      <c r="P29" s="217"/>
      <c r="Q29" s="217"/>
      <c r="R29" s="879">
        <f t="shared" ref="R29:R37" si="7">SUM(E29:Q29)</f>
        <v>3073000</v>
      </c>
      <c r="S29" s="217">
        <f>R29</f>
        <v>3073000</v>
      </c>
      <c r="T29" s="217"/>
      <c r="U29" s="213"/>
    </row>
    <row r="30" spans="1:21" s="214" customFormat="1">
      <c r="A30" s="215" t="s">
        <v>633</v>
      </c>
      <c r="B30" s="216">
        <f t="shared" si="6"/>
        <v>37358900</v>
      </c>
      <c r="C30" s="217">
        <v>37358900</v>
      </c>
      <c r="D30" s="217"/>
      <c r="E30" s="217">
        <f>C30-F30-3900000</f>
        <v>5196832</v>
      </c>
      <c r="F30" s="217">
        <f>Application!AO637</f>
        <v>28262068</v>
      </c>
      <c r="G30" s="217"/>
      <c r="H30" s="217">
        <v>3900000</v>
      </c>
      <c r="I30" s="217"/>
      <c r="J30" s="217"/>
      <c r="K30" s="217"/>
      <c r="L30" s="217"/>
      <c r="M30" s="217"/>
      <c r="N30" s="217"/>
      <c r="O30" s="217"/>
      <c r="P30" s="217"/>
      <c r="Q30" s="217"/>
      <c r="R30" s="879">
        <f t="shared" si="7"/>
        <v>37358900</v>
      </c>
      <c r="S30" s="217">
        <f>R30</f>
        <v>37358900</v>
      </c>
      <c r="T30" s="217"/>
      <c r="U30" s="213"/>
    </row>
    <row r="31" spans="1:21" s="214" customFormat="1">
      <c r="A31" s="215" t="s">
        <v>634</v>
      </c>
      <c r="B31" s="216">
        <f t="shared" si="6"/>
        <v>1677276</v>
      </c>
      <c r="C31" s="217">
        <v>1677276</v>
      </c>
      <c r="D31" s="217"/>
      <c r="E31" s="217">
        <f>C31</f>
        <v>1677276</v>
      </c>
      <c r="F31" s="217"/>
      <c r="G31" s="217"/>
      <c r="H31" s="217"/>
      <c r="I31" s="217"/>
      <c r="J31" s="217"/>
      <c r="K31" s="217"/>
      <c r="L31" s="217"/>
      <c r="M31" s="217"/>
      <c r="N31" s="217"/>
      <c r="O31" s="217"/>
      <c r="P31" s="217"/>
      <c r="Q31" s="217"/>
      <c r="R31" s="879">
        <f t="shared" si="7"/>
        <v>1677276</v>
      </c>
      <c r="S31" s="217">
        <f>R31</f>
        <v>1677276</v>
      </c>
      <c r="T31" s="217"/>
      <c r="U31" s="213"/>
    </row>
    <row r="32" spans="1:21" s="214" customFormat="1">
      <c r="A32" s="215" t="s">
        <v>142</v>
      </c>
      <c r="B32" s="216">
        <f t="shared" si="6"/>
        <v>2515914</v>
      </c>
      <c r="C32" s="217">
        <v>2515914</v>
      </c>
      <c r="D32" s="217"/>
      <c r="E32" s="217">
        <f>C32</f>
        <v>2515914</v>
      </c>
      <c r="F32" s="217"/>
      <c r="G32" s="217"/>
      <c r="H32" s="217"/>
      <c r="I32" s="217"/>
      <c r="J32" s="217"/>
      <c r="K32" s="217"/>
      <c r="L32" s="217"/>
      <c r="M32" s="217"/>
      <c r="N32" s="217"/>
      <c r="O32" s="217"/>
      <c r="P32" s="217"/>
      <c r="Q32" s="217"/>
      <c r="R32" s="879">
        <f t="shared" si="7"/>
        <v>2515914</v>
      </c>
      <c r="S32" s="217">
        <f>R32</f>
        <v>2515914</v>
      </c>
      <c r="T32" s="217"/>
      <c r="U32" s="213"/>
    </row>
    <row r="33" spans="1:21" s="214" customFormat="1">
      <c r="A33" s="215" t="s">
        <v>143</v>
      </c>
      <c r="B33" s="216">
        <f t="shared" si="6"/>
        <v>1677277</v>
      </c>
      <c r="C33" s="217">
        <v>1677277</v>
      </c>
      <c r="D33" s="217"/>
      <c r="E33" s="217">
        <f>C33</f>
        <v>1677277</v>
      </c>
      <c r="F33" s="217"/>
      <c r="G33" s="217"/>
      <c r="H33" s="217"/>
      <c r="I33" s="217"/>
      <c r="J33" s="217"/>
      <c r="K33" s="217"/>
      <c r="L33" s="217"/>
      <c r="M33" s="217"/>
      <c r="N33" s="217"/>
      <c r="O33" s="217"/>
      <c r="P33" s="217"/>
      <c r="Q33" s="217"/>
      <c r="R33" s="879">
        <f t="shared" si="7"/>
        <v>1677277</v>
      </c>
      <c r="S33" s="217">
        <f>R33</f>
        <v>1677277</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717035</v>
      </c>
      <c r="C35" s="217">
        <v>717035</v>
      </c>
      <c r="D35" s="217"/>
      <c r="E35" s="217">
        <f>C35</f>
        <v>717035</v>
      </c>
      <c r="F35" s="217"/>
      <c r="G35" s="217"/>
      <c r="H35" s="217"/>
      <c r="I35" s="217"/>
      <c r="J35" s="217"/>
      <c r="K35" s="217"/>
      <c r="L35" s="217"/>
      <c r="M35" s="217"/>
      <c r="N35" s="217"/>
      <c r="O35" s="217"/>
      <c r="P35" s="217"/>
      <c r="Q35" s="217"/>
      <c r="R35" s="879">
        <f t="shared" si="7"/>
        <v>717035</v>
      </c>
      <c r="S35" s="217">
        <f>R35</f>
        <v>717035</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2610</v>
      </c>
      <c r="B37" s="216">
        <f t="shared" si="6"/>
        <v>956047</v>
      </c>
      <c r="C37" s="217">
        <v>956047</v>
      </c>
      <c r="D37" s="217"/>
      <c r="E37" s="217">
        <f>C37</f>
        <v>956047</v>
      </c>
      <c r="F37" s="217"/>
      <c r="G37" s="217"/>
      <c r="H37" s="217"/>
      <c r="I37" s="217"/>
      <c r="J37" s="217"/>
      <c r="K37" s="217"/>
      <c r="L37" s="217"/>
      <c r="M37" s="217"/>
      <c r="N37" s="217"/>
      <c r="O37" s="217"/>
      <c r="P37" s="217"/>
      <c r="Q37" s="217"/>
      <c r="R37" s="879">
        <f t="shared" si="7"/>
        <v>956047</v>
      </c>
      <c r="S37" s="217">
        <f>R37</f>
        <v>956047</v>
      </c>
      <c r="T37" s="217"/>
      <c r="U37" s="213"/>
    </row>
    <row r="38" spans="1:21" s="214" customFormat="1">
      <c r="A38" s="219" t="s">
        <v>148</v>
      </c>
      <c r="B38" s="216">
        <f t="shared" si="6"/>
        <v>47975449</v>
      </c>
      <c r="C38" s="216">
        <f>SUM(C29:C37)</f>
        <v>47975449</v>
      </c>
      <c r="D38" s="216">
        <f t="shared" ref="D38:Q38" si="8">SUM(D29:D37)</f>
        <v>0</v>
      </c>
      <c r="E38" s="216">
        <f t="shared" si="8"/>
        <v>15813381</v>
      </c>
      <c r="F38" s="216">
        <f t="shared" si="8"/>
        <v>28262068</v>
      </c>
      <c r="G38" s="216">
        <f t="shared" si="8"/>
        <v>0</v>
      </c>
      <c r="H38" s="216">
        <f t="shared" si="8"/>
        <v>3900000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47975449</v>
      </c>
      <c r="S38" s="220">
        <f>SUM(S29:S37)</f>
        <v>47975449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1160000</v>
      </c>
      <c r="C40" s="217">
        <v>1160000</v>
      </c>
      <c r="D40" s="217"/>
      <c r="E40" s="217">
        <f>C40</f>
        <v>1160000</v>
      </c>
      <c r="F40" s="217"/>
      <c r="G40" s="217"/>
      <c r="H40" s="217"/>
      <c r="I40" s="217"/>
      <c r="J40" s="217"/>
      <c r="K40" s="217"/>
      <c r="L40" s="217"/>
      <c r="M40" s="217"/>
      <c r="N40" s="217"/>
      <c r="O40" s="217"/>
      <c r="P40" s="217"/>
      <c r="Q40" s="217"/>
      <c r="R40" s="879">
        <f>SUM(E40:Q40)</f>
        <v>1160000</v>
      </c>
      <c r="S40" s="217">
        <f>R40</f>
        <v>1160000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1160000</v>
      </c>
      <c r="C42" s="216">
        <f>SUM(C39:C41)</f>
        <v>1160000</v>
      </c>
      <c r="D42" s="216">
        <f>SUM(D39:D41)</f>
        <v>0</v>
      </c>
      <c r="E42" s="216">
        <f t="shared" ref="E42:T42" si="9">SUM(E40:E41)</f>
        <v>1160000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1160000</v>
      </c>
      <c r="S42" s="220">
        <f t="shared" si="9"/>
        <v>1160000</v>
      </c>
      <c r="T42" s="220">
        <f t="shared" si="9"/>
        <v>0</v>
      </c>
      <c r="U42" s="213"/>
    </row>
    <row r="43" spans="1:21" s="214" customFormat="1">
      <c r="A43" s="219" t="s">
        <v>153</v>
      </c>
      <c r="B43" s="216">
        <f>SUM(C43:D43)</f>
        <v>670300</v>
      </c>
      <c r="C43" s="217">
        <v>670300</v>
      </c>
      <c r="D43" s="217"/>
      <c r="E43" s="217">
        <f>C43</f>
        <v>670300</v>
      </c>
      <c r="F43" s="217"/>
      <c r="G43" s="217"/>
      <c r="H43" s="217"/>
      <c r="I43" s="217"/>
      <c r="J43" s="217"/>
      <c r="K43" s="217"/>
      <c r="L43" s="217"/>
      <c r="M43" s="217"/>
      <c r="N43" s="217"/>
      <c r="O43" s="217"/>
      <c r="P43" s="217"/>
      <c r="Q43" s="217"/>
      <c r="R43" s="879">
        <f>SUM(E43:Q43)</f>
        <v>670300</v>
      </c>
      <c r="S43" s="217">
        <f>R43</f>
        <v>670300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2818422</v>
      </c>
      <c r="C45" s="217">
        <v>2818422</v>
      </c>
      <c r="D45" s="217"/>
      <c r="E45" s="217">
        <f>C45</f>
        <v>2818422</v>
      </c>
      <c r="F45" s="217"/>
      <c r="G45" s="217"/>
      <c r="H45" s="217"/>
      <c r="I45" s="217"/>
      <c r="J45" s="217"/>
      <c r="K45" s="217"/>
      <c r="L45" s="217"/>
      <c r="M45" s="217"/>
      <c r="N45" s="217"/>
      <c r="O45" s="217"/>
      <c r="P45" s="217"/>
      <c r="Q45" s="217"/>
      <c r="R45" s="879">
        <f t="shared" ref="R45:R53" si="11">SUM(E45:Q45)</f>
        <v>2818422</v>
      </c>
      <c r="S45" s="217">
        <v>1828041</v>
      </c>
      <c r="T45" s="217"/>
      <c r="U45" s="213"/>
    </row>
    <row r="46" spans="1:21" s="214" customFormat="1">
      <c r="A46" s="215" t="s">
        <v>156</v>
      </c>
      <c r="B46" s="216">
        <f t="shared" si="10"/>
        <v>656090</v>
      </c>
      <c r="C46" s="217">
        <v>656090</v>
      </c>
      <c r="D46" s="217"/>
      <c r="E46" s="217">
        <f>C46</f>
        <v>656090</v>
      </c>
      <c r="F46" s="217"/>
      <c r="G46" s="217"/>
      <c r="H46" s="217"/>
      <c r="I46" s="217"/>
      <c r="J46" s="217"/>
      <c r="K46" s="217"/>
      <c r="L46" s="217"/>
      <c r="M46" s="217"/>
      <c r="N46" s="217"/>
      <c r="O46" s="217"/>
      <c r="P46" s="217"/>
      <c r="Q46" s="217"/>
      <c r="R46" s="879">
        <f t="shared" si="11"/>
        <v>656090</v>
      </c>
      <c r="S46" s="217">
        <v>492067</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60000</v>
      </c>
      <c r="C50" s="217">
        <v>60000</v>
      </c>
      <c r="D50" s="217"/>
      <c r="E50" s="217">
        <f>C50</f>
        <v>60000</v>
      </c>
      <c r="F50" s="217"/>
      <c r="G50" s="217"/>
      <c r="H50" s="217"/>
      <c r="I50" s="217"/>
      <c r="J50" s="217"/>
      <c r="K50" s="217"/>
      <c r="L50" s="217"/>
      <c r="M50" s="217"/>
      <c r="N50" s="217"/>
      <c r="O50" s="217"/>
      <c r="P50" s="217"/>
      <c r="Q50" s="217"/>
      <c r="R50" s="879">
        <f t="shared" si="11"/>
        <v>60000</v>
      </c>
      <c r="S50" s="217">
        <v>45000</v>
      </c>
      <c r="T50" s="217"/>
      <c r="U50" s="213"/>
    </row>
    <row r="51" spans="1:21" s="214" customFormat="1">
      <c r="A51" s="440" t="s">
        <v>159</v>
      </c>
      <c r="B51" s="216">
        <f t="shared" si="10"/>
        <v>25000</v>
      </c>
      <c r="C51" s="217">
        <v>25000</v>
      </c>
      <c r="D51" s="217"/>
      <c r="E51" s="217">
        <f>C51</f>
        <v>25000</v>
      </c>
      <c r="F51" s="217"/>
      <c r="G51" s="217"/>
      <c r="H51" s="217"/>
      <c r="I51" s="217"/>
      <c r="J51" s="217"/>
      <c r="K51" s="217"/>
      <c r="L51" s="217"/>
      <c r="M51" s="217"/>
      <c r="N51" s="217"/>
      <c r="O51" s="217"/>
      <c r="P51" s="217"/>
      <c r="Q51" s="217"/>
      <c r="R51" s="879">
        <f t="shared" si="11"/>
        <v>25000</v>
      </c>
      <c r="S51" s="217">
        <f>R51</f>
        <v>25000</v>
      </c>
      <c r="T51" s="217"/>
      <c r="U51" s="213"/>
    </row>
    <row r="52" spans="1:21" s="214" customFormat="1">
      <c r="A52" s="215" t="s">
        <v>160</v>
      </c>
      <c r="B52" s="216">
        <f t="shared" si="10"/>
        <v>494754</v>
      </c>
      <c r="C52" s="217">
        <v>494754</v>
      </c>
      <c r="D52" s="217"/>
      <c r="E52" s="217">
        <f>C52</f>
        <v>494754</v>
      </c>
      <c r="F52" s="217"/>
      <c r="G52" s="217"/>
      <c r="H52" s="217"/>
      <c r="I52" s="217"/>
      <c r="J52" s="217"/>
      <c r="K52" s="217"/>
      <c r="L52" s="217"/>
      <c r="M52" s="217"/>
      <c r="N52" s="217"/>
      <c r="O52" s="217"/>
      <c r="P52" s="217"/>
      <c r="Q52" s="217"/>
      <c r="R52" s="879">
        <f t="shared" si="11"/>
        <v>494754</v>
      </c>
      <c r="S52" s="217">
        <f>R52</f>
        <v>494754</v>
      </c>
      <c r="T52" s="217"/>
      <c r="U52" s="213"/>
    </row>
    <row r="53" spans="1:21" s="214" customFormat="1">
      <c r="A53" s="1857" t="s">
        <v>2612</v>
      </c>
      <c r="B53" s="216">
        <f t="shared" si="10"/>
        <v>45000</v>
      </c>
      <c r="C53" s="217">
        <v>45000</v>
      </c>
      <c r="D53" s="217"/>
      <c r="E53" s="217">
        <f>C53</f>
        <v>45000</v>
      </c>
      <c r="F53" s="217"/>
      <c r="G53" s="217"/>
      <c r="H53" s="217"/>
      <c r="I53" s="217"/>
      <c r="J53" s="217"/>
      <c r="K53" s="217"/>
      <c r="L53" s="217"/>
      <c r="M53" s="217"/>
      <c r="N53" s="217"/>
      <c r="O53" s="217"/>
      <c r="P53" s="217"/>
      <c r="Q53" s="217"/>
      <c r="R53" s="879">
        <f t="shared" si="11"/>
        <v>45000</v>
      </c>
      <c r="S53" s="217">
        <v>33750</v>
      </c>
      <c r="T53" s="217"/>
      <c r="U53" s="213"/>
    </row>
    <row r="54" spans="1:21" s="224" customFormat="1">
      <c r="A54" s="219" t="s">
        <v>162</v>
      </c>
      <c r="B54" s="220">
        <f>SUM(C54:D54)</f>
        <v>4099266</v>
      </c>
      <c r="C54" s="220">
        <f t="shared" ref="C54:T54" si="12">SUM(C45:C53)</f>
        <v>4099266</v>
      </c>
      <c r="D54" s="220">
        <f t="shared" si="12"/>
        <v>0</v>
      </c>
      <c r="E54" s="220">
        <f t="shared" si="12"/>
        <v>4099266</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4099266</v>
      </c>
      <c r="S54" s="220">
        <f t="shared" si="12"/>
        <v>2918612</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282621</v>
      </c>
      <c r="C56" s="217">
        <v>282621</v>
      </c>
      <c r="D56" s="217"/>
      <c r="E56" s="217">
        <f>C56</f>
        <v>282621</v>
      </c>
      <c r="F56" s="217"/>
      <c r="G56" s="217"/>
      <c r="H56" s="217"/>
      <c r="I56" s="217"/>
      <c r="J56" s="217"/>
      <c r="K56" s="217"/>
      <c r="L56" s="217"/>
      <c r="M56" s="217"/>
      <c r="N56" s="217"/>
      <c r="O56" s="217"/>
      <c r="P56" s="217"/>
      <c r="Q56" s="217"/>
      <c r="R56" s="879">
        <f t="shared" ref="R56:R61" si="14">SUM(E56:Q56)</f>
        <v>282621</v>
      </c>
      <c r="S56" s="218"/>
      <c r="T56" s="218"/>
      <c r="U56" s="213"/>
    </row>
    <row r="57" spans="1:21" s="303" customFormat="1">
      <c r="A57" s="297" t="s">
        <v>157</v>
      </c>
      <c r="B57" s="304">
        <f t="shared" si="13"/>
        <v>5000</v>
      </c>
      <c r="C57" s="301">
        <v>5000</v>
      </c>
      <c r="D57" s="301"/>
      <c r="E57" s="301">
        <f>C57</f>
        <v>5000</v>
      </c>
      <c r="F57" s="301"/>
      <c r="G57" s="301"/>
      <c r="H57" s="301"/>
      <c r="I57" s="301"/>
      <c r="J57" s="301"/>
      <c r="K57" s="301"/>
      <c r="L57" s="301"/>
      <c r="M57" s="301"/>
      <c r="N57" s="301"/>
      <c r="O57" s="301"/>
      <c r="P57" s="301"/>
      <c r="Q57" s="301"/>
      <c r="R57" s="879">
        <f t="shared" si="14"/>
        <v>5000</v>
      </c>
      <c r="S57" s="305"/>
      <c r="T57" s="305"/>
      <c r="U57" s="302"/>
    </row>
    <row r="58" spans="1:21" s="214" customFormat="1">
      <c r="A58" s="215" t="s">
        <v>161</v>
      </c>
      <c r="B58" s="216">
        <f t="shared" si="13"/>
        <v>10000</v>
      </c>
      <c r="C58" s="217">
        <v>10000</v>
      </c>
      <c r="D58" s="217"/>
      <c r="E58" s="301">
        <f t="shared" ref="E58:E61" si="15">C58</f>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301">
        <f t="shared" si="15"/>
        <v>0</v>
      </c>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301">
        <f t="shared" si="15"/>
        <v>0</v>
      </c>
      <c r="F60" s="217"/>
      <c r="G60" s="217"/>
      <c r="H60" s="217"/>
      <c r="I60" s="217"/>
      <c r="J60" s="217"/>
      <c r="K60" s="217"/>
      <c r="L60" s="217"/>
      <c r="M60" s="217"/>
      <c r="N60" s="217"/>
      <c r="O60" s="217"/>
      <c r="P60" s="217"/>
      <c r="Q60" s="217"/>
      <c r="R60" s="879">
        <f t="shared" si="14"/>
        <v>0</v>
      </c>
      <c r="S60" s="218"/>
      <c r="T60" s="218"/>
      <c r="U60" s="213"/>
    </row>
    <row r="61" spans="1:21" s="214" customFormat="1">
      <c r="A61" s="1857" t="s">
        <v>2611</v>
      </c>
      <c r="B61" s="216">
        <f t="shared" si="13"/>
        <v>82709</v>
      </c>
      <c r="C61" s="217">
        <f>81709+1000</f>
        <v>82709</v>
      </c>
      <c r="D61" s="217"/>
      <c r="E61" s="301">
        <f t="shared" si="15"/>
        <v>82709</v>
      </c>
      <c r="F61" s="217"/>
      <c r="G61" s="217"/>
      <c r="H61" s="217"/>
      <c r="I61" s="217"/>
      <c r="J61" s="217"/>
      <c r="K61" s="217"/>
      <c r="L61" s="217"/>
      <c r="M61" s="217"/>
      <c r="N61" s="217"/>
      <c r="O61" s="217"/>
      <c r="P61" s="217"/>
      <c r="Q61" s="217"/>
      <c r="R61" s="879">
        <f t="shared" si="14"/>
        <v>82709</v>
      </c>
      <c r="S61" s="218"/>
      <c r="T61" s="218"/>
      <c r="U61" s="213"/>
    </row>
    <row r="62" spans="1:21" s="214" customFormat="1" ht="13.7" customHeight="1">
      <c r="A62" s="219" t="s">
        <v>309</v>
      </c>
      <c r="B62" s="216">
        <f>SUM(C62:D62)</f>
        <v>380330</v>
      </c>
      <c r="C62" s="216">
        <f t="shared" ref="C62:R62" si="16">SUM(C56:C61)</f>
        <v>380330</v>
      </c>
      <c r="D62" s="216">
        <f t="shared" si="16"/>
        <v>0</v>
      </c>
      <c r="E62" s="216">
        <f t="shared" si="16"/>
        <v>380330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380330</v>
      </c>
      <c r="S62" s="218"/>
      <c r="T62" s="218"/>
      <c r="U62" s="213"/>
    </row>
    <row r="63" spans="1:21" s="214" customFormat="1">
      <c r="A63" s="225" t="s">
        <v>310</v>
      </c>
      <c r="B63" s="216">
        <f t="shared" ref="B63:R63" si="17">SUM(B8+B11+B13+B14+B15+B26+B27+B38+B42+B43+B54+B62)</f>
        <v>60039782</v>
      </c>
      <c r="C63" s="216">
        <f t="shared" si="17"/>
        <v>60039782</v>
      </c>
      <c r="D63" s="216">
        <f t="shared" si="17"/>
        <v>0</v>
      </c>
      <c r="E63" s="216">
        <f t="shared" si="17"/>
        <v>27877714</v>
      </c>
      <c r="F63" s="216">
        <f t="shared" si="17"/>
        <v>28262068</v>
      </c>
      <c r="G63" s="216">
        <f t="shared" si="17"/>
        <v>0</v>
      </c>
      <c r="H63" s="216">
        <f t="shared" si="17"/>
        <v>3900000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60039782</v>
      </c>
      <c r="S63" s="216">
        <f>SUM(S10+S13+S14+S15+S26+S27+S38+S42+S43+S54)</f>
        <v>54224361</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135000</v>
      </c>
      <c r="C65" s="217">
        <v>135000</v>
      </c>
      <c r="D65" s="217"/>
      <c r="E65" s="217">
        <f>C65</f>
        <v>135000</v>
      </c>
      <c r="F65" s="217"/>
      <c r="G65" s="217"/>
      <c r="H65" s="217"/>
      <c r="I65" s="217"/>
      <c r="J65" s="217"/>
      <c r="K65" s="217"/>
      <c r="L65" s="217"/>
      <c r="M65" s="217"/>
      <c r="N65" s="217"/>
      <c r="O65" s="217"/>
      <c r="P65" s="217"/>
      <c r="Q65" s="217"/>
      <c r="R65" s="879">
        <f>SUM(E65:Q65)</f>
        <v>135000</v>
      </c>
      <c r="S65" s="217">
        <v>100000</v>
      </c>
      <c r="T65" s="217"/>
      <c r="U65" s="213"/>
    </row>
    <row r="66" spans="1:21" s="214" customFormat="1" ht="24" customHeight="1">
      <c r="A66" s="440" t="s">
        <v>1994</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1995</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2001</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ht="24">
      <c r="A69" s="1857" t="s">
        <v>2652</v>
      </c>
      <c r="B69" s="216">
        <f t="shared" si="18"/>
        <v>285000</v>
      </c>
      <c r="C69" s="217">
        <f>100000+110000+25000+50000</f>
        <v>285000</v>
      </c>
      <c r="D69" s="217"/>
      <c r="E69" s="217">
        <f>C69</f>
        <v>285000</v>
      </c>
      <c r="F69" s="217"/>
      <c r="G69" s="217"/>
      <c r="H69" s="217"/>
      <c r="I69" s="217"/>
      <c r="J69" s="217"/>
      <c r="K69" s="217"/>
      <c r="L69" s="217"/>
      <c r="M69" s="217"/>
      <c r="N69" s="217"/>
      <c r="O69" s="217"/>
      <c r="P69" s="217"/>
      <c r="Q69" s="217"/>
      <c r="R69" s="879">
        <f>SUM(E69:Q69)</f>
        <v>285000</v>
      </c>
      <c r="S69" s="217">
        <v>175000</v>
      </c>
      <c r="T69" s="217"/>
      <c r="U69" s="213"/>
    </row>
    <row r="70" spans="1:21" s="214" customFormat="1">
      <c r="A70" s="219" t="s">
        <v>1998</v>
      </c>
      <c r="B70" s="216">
        <f>SUM(C70:D70)</f>
        <v>420000</v>
      </c>
      <c r="C70" s="216">
        <f>SUM(C65:C69)</f>
        <v>420000</v>
      </c>
      <c r="D70" s="216">
        <f>SUM(D65:D69)</f>
        <v>0</v>
      </c>
      <c r="E70" s="216">
        <f t="shared" ref="E70:T70" si="20">SUM(E65:E69)</f>
        <v>420000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420000</v>
      </c>
      <c r="S70" s="220">
        <f t="shared" si="20"/>
        <v>275000</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755988</v>
      </c>
      <c r="C75" s="217">
        <v>755988</v>
      </c>
      <c r="D75" s="217"/>
      <c r="E75" s="217">
        <f>C75</f>
        <v>755988</v>
      </c>
      <c r="F75" s="217"/>
      <c r="G75" s="217"/>
      <c r="H75" s="217"/>
      <c r="I75" s="217"/>
      <c r="J75" s="217"/>
      <c r="K75" s="217"/>
      <c r="L75" s="217"/>
      <c r="M75" s="217"/>
      <c r="N75" s="217"/>
      <c r="O75" s="217"/>
      <c r="P75" s="217"/>
      <c r="Q75" s="217"/>
      <c r="R75" s="879">
        <f>SUM(E75:Q75)</f>
        <v>755988</v>
      </c>
      <c r="S75" s="218"/>
      <c r="T75" s="218"/>
      <c r="U75" s="213"/>
    </row>
    <row r="76" spans="1:21" s="214" customFormat="1">
      <c r="A76" s="1857" t="s">
        <v>2613</v>
      </c>
      <c r="B76" s="216">
        <f>SUM(C76+D76)</f>
        <v>33500</v>
      </c>
      <c r="C76" s="217">
        <v>33500</v>
      </c>
      <c r="D76" s="217"/>
      <c r="E76" s="217">
        <f>C76</f>
        <v>33500</v>
      </c>
      <c r="F76" s="217"/>
      <c r="G76" s="217"/>
      <c r="H76" s="217"/>
      <c r="I76" s="217"/>
      <c r="J76" s="217"/>
      <c r="K76" s="217"/>
      <c r="L76" s="217"/>
      <c r="M76" s="217"/>
      <c r="N76" s="217"/>
      <c r="O76" s="217"/>
      <c r="P76" s="217"/>
      <c r="Q76" s="217"/>
      <c r="R76" s="879">
        <f>SUM(E76:Q76)</f>
        <v>33500</v>
      </c>
      <c r="S76" s="218"/>
      <c r="T76" s="218"/>
      <c r="U76" s="213"/>
    </row>
    <row r="77" spans="1:21" s="214" customFormat="1">
      <c r="A77" s="219" t="s">
        <v>640</v>
      </c>
      <c r="B77" s="216">
        <f>SUM(C77:D77)</f>
        <v>789488</v>
      </c>
      <c r="C77" s="216">
        <f>SUM(C72:C76)</f>
        <v>789488</v>
      </c>
      <c r="D77" s="216">
        <f>SUM(D72:D76)</f>
        <v>0</v>
      </c>
      <c r="E77" s="216">
        <f t="shared" ref="E77:Q77" si="21">SUM(E72:E76)</f>
        <v>789488</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789488</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2473772</v>
      </c>
      <c r="C79" s="217">
        <v>2473772</v>
      </c>
      <c r="D79" s="217"/>
      <c r="E79" s="217">
        <f>C79</f>
        <v>2473772</v>
      </c>
      <c r="F79" s="217"/>
      <c r="G79" s="217"/>
      <c r="H79" s="217"/>
      <c r="I79" s="217"/>
      <c r="J79" s="217"/>
      <c r="K79" s="217"/>
      <c r="L79" s="217"/>
      <c r="M79" s="217"/>
      <c r="N79" s="217"/>
      <c r="O79" s="217"/>
      <c r="P79" s="217"/>
      <c r="Q79" s="217"/>
      <c r="R79" s="879">
        <f>SUM(E79:Q79)</f>
        <v>2473772</v>
      </c>
      <c r="S79" s="217">
        <f>R79</f>
        <v>2473772</v>
      </c>
      <c r="T79" s="217"/>
      <c r="U79" s="213"/>
    </row>
    <row r="80" spans="1:21" s="214" customFormat="1">
      <c r="A80" s="440" t="s">
        <v>61</v>
      </c>
      <c r="B80" s="216">
        <f>SUM(C80:D80)</f>
        <v>609875</v>
      </c>
      <c r="C80" s="217">
        <v>609875</v>
      </c>
      <c r="D80" s="217"/>
      <c r="E80" s="217">
        <f>C80</f>
        <v>609875</v>
      </c>
      <c r="F80" s="217"/>
      <c r="G80" s="217"/>
      <c r="H80" s="217"/>
      <c r="I80" s="217"/>
      <c r="J80" s="217"/>
      <c r="K80" s="217"/>
      <c r="L80" s="217"/>
      <c r="M80" s="217"/>
      <c r="N80" s="217"/>
      <c r="O80" s="217"/>
      <c r="P80" s="217"/>
      <c r="Q80" s="217"/>
      <c r="R80" s="879">
        <f>SUM(E80:Q80)</f>
        <v>609875</v>
      </c>
      <c r="S80" s="217">
        <f>R80</f>
        <v>609875</v>
      </c>
      <c r="T80" s="217"/>
      <c r="U80" s="213"/>
    </row>
    <row r="81" spans="1:21" s="214" customFormat="1">
      <c r="A81" s="219" t="s">
        <v>1418</v>
      </c>
      <c r="B81" s="216">
        <f>SUM(C81:D81)</f>
        <v>3083647</v>
      </c>
      <c r="C81" s="859">
        <f>SUM(C79:C80)</f>
        <v>3083647</v>
      </c>
      <c r="D81" s="859">
        <f t="shared" ref="D81:T81" si="22">SUM(D79:D80)</f>
        <v>0</v>
      </c>
      <c r="E81" s="859">
        <f t="shared" si="22"/>
        <v>3083647</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3083647</v>
      </c>
      <c r="S81" s="859">
        <f t="shared" si="22"/>
        <v>3083647</v>
      </c>
      <c r="T81" s="859">
        <f t="shared" si="22"/>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3">SUM(C83+D83)</f>
        <v>94911</v>
      </c>
      <c r="C83" s="217">
        <v>94911</v>
      </c>
      <c r="D83" s="217"/>
      <c r="E83" s="217">
        <f>C83</f>
        <v>94911</v>
      </c>
      <c r="F83" s="217"/>
      <c r="G83" s="217"/>
      <c r="H83" s="217"/>
      <c r="I83" s="217"/>
      <c r="J83" s="217"/>
      <c r="K83" s="217"/>
      <c r="L83" s="217"/>
      <c r="M83" s="217"/>
      <c r="N83" s="217"/>
      <c r="O83" s="217"/>
      <c r="P83" s="217"/>
      <c r="Q83" s="217"/>
      <c r="R83" s="879">
        <f t="shared" ref="R83:R95" si="24">SUM(E83:Q83)</f>
        <v>94911</v>
      </c>
      <c r="S83" s="218"/>
      <c r="T83" s="218"/>
      <c r="U83" s="213"/>
    </row>
    <row r="84" spans="1:21" s="214" customFormat="1">
      <c r="A84" s="215" t="s">
        <v>824</v>
      </c>
      <c r="B84" s="216">
        <f t="shared" si="23"/>
        <v>55000</v>
      </c>
      <c r="C84" s="217">
        <v>55000</v>
      </c>
      <c r="D84" s="217"/>
      <c r="E84" s="217">
        <f>C84</f>
        <v>55000</v>
      </c>
      <c r="F84" s="217"/>
      <c r="G84" s="217"/>
      <c r="H84" s="217"/>
      <c r="I84" s="217"/>
      <c r="J84" s="217"/>
      <c r="K84" s="217"/>
      <c r="L84" s="217"/>
      <c r="M84" s="217"/>
      <c r="N84" s="217"/>
      <c r="O84" s="217"/>
      <c r="P84" s="217"/>
      <c r="Q84" s="217"/>
      <c r="R84" s="879">
        <f t="shared" si="24"/>
        <v>55000</v>
      </c>
      <c r="S84" s="217">
        <f>R84</f>
        <v>55000</v>
      </c>
      <c r="T84" s="217"/>
      <c r="U84" s="213"/>
    </row>
    <row r="85" spans="1:21" s="214" customFormat="1">
      <c r="A85" s="215" t="s">
        <v>825</v>
      </c>
      <c r="B85" s="216">
        <f t="shared" si="23"/>
        <v>5746512</v>
      </c>
      <c r="C85" s="217">
        <v>5746512</v>
      </c>
      <c r="D85" s="217"/>
      <c r="E85" s="217">
        <f>C85-H85</f>
        <v>5746512</v>
      </c>
      <c r="F85" s="217"/>
      <c r="G85" s="217"/>
      <c r="H85" s="217"/>
      <c r="I85" s="217"/>
      <c r="J85" s="217"/>
      <c r="K85" s="217"/>
      <c r="L85" s="217"/>
      <c r="M85" s="217"/>
      <c r="N85" s="217"/>
      <c r="O85" s="217"/>
      <c r="P85" s="217"/>
      <c r="Q85" s="217"/>
      <c r="R85" s="879">
        <f t="shared" si="24"/>
        <v>5746512</v>
      </c>
      <c r="S85" s="217">
        <f>R85</f>
        <v>5746512</v>
      </c>
      <c r="T85" s="217"/>
      <c r="U85" s="213"/>
    </row>
    <row r="86" spans="1:21" s="214" customFormat="1">
      <c r="A86" s="215" t="s">
        <v>826</v>
      </c>
      <c r="B86" s="216">
        <f t="shared" si="23"/>
        <v>335000</v>
      </c>
      <c r="C86" s="217">
        <v>335000</v>
      </c>
      <c r="D86" s="217"/>
      <c r="E86" s="217">
        <f>C86</f>
        <v>335000</v>
      </c>
      <c r="F86" s="217"/>
      <c r="G86" s="217"/>
      <c r="H86" s="217"/>
      <c r="I86" s="217"/>
      <c r="J86" s="217"/>
      <c r="K86" s="217"/>
      <c r="L86" s="217"/>
      <c r="M86" s="217"/>
      <c r="N86" s="217"/>
      <c r="O86" s="217"/>
      <c r="P86" s="217"/>
      <c r="Q86" s="217"/>
      <c r="R86" s="879">
        <f t="shared" si="24"/>
        <v>335000</v>
      </c>
      <c r="S86" s="217">
        <f>R86</f>
        <v>335000</v>
      </c>
      <c r="T86" s="217"/>
      <c r="U86" s="213"/>
    </row>
    <row r="87" spans="1:21" s="214" customFormat="1">
      <c r="A87" s="215" t="s">
        <v>827</v>
      </c>
      <c r="B87" s="216">
        <f t="shared" si="23"/>
        <v>0</v>
      </c>
      <c r="C87" s="217"/>
      <c r="D87" s="217"/>
      <c r="E87" s="217"/>
      <c r="F87" s="217"/>
      <c r="G87" s="217"/>
      <c r="H87" s="217"/>
      <c r="I87" s="217"/>
      <c r="J87" s="217"/>
      <c r="K87" s="217"/>
      <c r="L87" s="217"/>
      <c r="M87" s="217"/>
      <c r="N87" s="217"/>
      <c r="O87" s="217"/>
      <c r="P87" s="217"/>
      <c r="Q87" s="217"/>
      <c r="R87" s="879">
        <f t="shared" si="24"/>
        <v>0</v>
      </c>
      <c r="S87" s="217"/>
      <c r="T87" s="217"/>
      <c r="U87" s="213"/>
    </row>
    <row r="88" spans="1:21" s="214" customFormat="1">
      <c r="A88" s="215" t="s">
        <v>828</v>
      </c>
      <c r="B88" s="216">
        <f t="shared" si="23"/>
        <v>38000</v>
      </c>
      <c r="C88" s="217">
        <v>38000</v>
      </c>
      <c r="D88" s="217"/>
      <c r="E88" s="217">
        <f t="shared" ref="E88:E95" si="25">C88</f>
        <v>38000</v>
      </c>
      <c r="F88" s="217"/>
      <c r="G88" s="217"/>
      <c r="H88" s="217"/>
      <c r="I88" s="217"/>
      <c r="J88" s="217"/>
      <c r="K88" s="217"/>
      <c r="L88" s="217"/>
      <c r="M88" s="217"/>
      <c r="N88" s="217"/>
      <c r="O88" s="217"/>
      <c r="P88" s="217"/>
      <c r="Q88" s="217"/>
      <c r="R88" s="879">
        <f t="shared" si="24"/>
        <v>38000</v>
      </c>
      <c r="S88" s="218"/>
      <c r="T88" s="218"/>
      <c r="U88" s="213"/>
    </row>
    <row r="89" spans="1:21" s="214" customFormat="1">
      <c r="A89" s="215" t="s">
        <v>829</v>
      </c>
      <c r="B89" s="216">
        <f t="shared" si="23"/>
        <v>25000</v>
      </c>
      <c r="C89" s="217">
        <v>25000</v>
      </c>
      <c r="D89" s="217"/>
      <c r="E89" s="217">
        <f t="shared" si="25"/>
        <v>25000</v>
      </c>
      <c r="F89" s="217"/>
      <c r="G89" s="217"/>
      <c r="H89" s="217"/>
      <c r="I89" s="217"/>
      <c r="J89" s="217"/>
      <c r="K89" s="217"/>
      <c r="L89" s="217"/>
      <c r="M89" s="217"/>
      <c r="N89" s="217"/>
      <c r="O89" s="217"/>
      <c r="P89" s="217"/>
      <c r="Q89" s="217"/>
      <c r="R89" s="879">
        <f t="shared" si="24"/>
        <v>25000</v>
      </c>
      <c r="S89" s="217">
        <f t="shared" ref="S89:S94" si="26">R89</f>
        <v>25000</v>
      </c>
      <c r="T89" s="217"/>
      <c r="U89" s="213"/>
    </row>
    <row r="90" spans="1:21" s="214" customFormat="1">
      <c r="A90" s="215" t="s">
        <v>830</v>
      </c>
      <c r="B90" s="216">
        <f t="shared" si="23"/>
        <v>20000</v>
      </c>
      <c r="C90" s="217">
        <v>20000</v>
      </c>
      <c r="D90" s="217"/>
      <c r="E90" s="217">
        <f t="shared" si="25"/>
        <v>20000</v>
      </c>
      <c r="F90" s="217"/>
      <c r="G90" s="217"/>
      <c r="H90" s="217"/>
      <c r="I90" s="217"/>
      <c r="J90" s="217"/>
      <c r="K90" s="217"/>
      <c r="L90" s="217"/>
      <c r="M90" s="217"/>
      <c r="N90" s="217"/>
      <c r="O90" s="217"/>
      <c r="P90" s="217"/>
      <c r="Q90" s="217"/>
      <c r="R90" s="879">
        <f t="shared" si="24"/>
        <v>20000</v>
      </c>
      <c r="S90" s="217">
        <f t="shared" si="26"/>
        <v>20000</v>
      </c>
      <c r="T90" s="217"/>
      <c r="U90" s="213"/>
    </row>
    <row r="91" spans="1:21" s="214" customFormat="1">
      <c r="A91" s="1810" t="s">
        <v>389</v>
      </c>
      <c r="B91" s="216">
        <f t="shared" si="23"/>
        <v>107500</v>
      </c>
      <c r="C91" s="217">
        <v>107500</v>
      </c>
      <c r="D91" s="217"/>
      <c r="E91" s="217">
        <f t="shared" si="25"/>
        <v>107500</v>
      </c>
      <c r="F91" s="217"/>
      <c r="G91" s="217"/>
      <c r="H91" s="217"/>
      <c r="I91" s="217"/>
      <c r="J91" s="217"/>
      <c r="K91" s="217"/>
      <c r="L91" s="217"/>
      <c r="M91" s="217"/>
      <c r="N91" s="217"/>
      <c r="O91" s="217"/>
      <c r="P91" s="217"/>
      <c r="Q91" s="217"/>
      <c r="R91" s="879">
        <f t="shared" si="24"/>
        <v>107500</v>
      </c>
      <c r="S91" s="217">
        <f t="shared" si="26"/>
        <v>107500</v>
      </c>
      <c r="T91" s="217"/>
      <c r="U91" s="213"/>
    </row>
    <row r="92" spans="1:21" s="214" customFormat="1">
      <c r="A92" s="1809" t="s">
        <v>1420</v>
      </c>
      <c r="B92" s="216">
        <f t="shared" si="23"/>
        <v>15000</v>
      </c>
      <c r="C92" s="217">
        <v>15000</v>
      </c>
      <c r="D92" s="217"/>
      <c r="E92" s="217">
        <f t="shared" si="25"/>
        <v>15000</v>
      </c>
      <c r="F92" s="217"/>
      <c r="G92" s="217"/>
      <c r="H92" s="217"/>
      <c r="I92" s="217"/>
      <c r="J92" s="217"/>
      <c r="K92" s="217"/>
      <c r="L92" s="217"/>
      <c r="M92" s="217"/>
      <c r="N92" s="217"/>
      <c r="O92" s="217"/>
      <c r="P92" s="217"/>
      <c r="Q92" s="217"/>
      <c r="R92" s="879">
        <f t="shared" si="24"/>
        <v>15000</v>
      </c>
      <c r="S92" s="217">
        <f t="shared" si="26"/>
        <v>15000</v>
      </c>
      <c r="T92" s="217"/>
      <c r="U92" s="213"/>
    </row>
    <row r="93" spans="1:21" s="214" customFormat="1" ht="24">
      <c r="A93" s="1857" t="s">
        <v>2614</v>
      </c>
      <c r="B93" s="216">
        <f t="shared" si="23"/>
        <v>245000</v>
      </c>
      <c r="C93" s="217">
        <f>45000+200000</f>
        <v>245000</v>
      </c>
      <c r="D93" s="217"/>
      <c r="E93" s="217">
        <f t="shared" si="25"/>
        <v>245000</v>
      </c>
      <c r="F93" s="217"/>
      <c r="G93" s="217"/>
      <c r="H93" s="217"/>
      <c r="I93" s="217"/>
      <c r="J93" s="217"/>
      <c r="K93" s="217"/>
      <c r="L93" s="217"/>
      <c r="M93" s="217"/>
      <c r="N93" s="217"/>
      <c r="O93" s="217"/>
      <c r="P93" s="217"/>
      <c r="Q93" s="217"/>
      <c r="R93" s="879">
        <f t="shared" si="24"/>
        <v>245000</v>
      </c>
      <c r="S93" s="217">
        <f t="shared" si="26"/>
        <v>245000</v>
      </c>
      <c r="T93" s="217"/>
      <c r="U93" s="213"/>
    </row>
    <row r="94" spans="1:21" s="214" customFormat="1">
      <c r="A94" s="1857" t="s">
        <v>2615</v>
      </c>
      <c r="B94" s="216">
        <f t="shared" si="23"/>
        <v>35000</v>
      </c>
      <c r="C94" s="217">
        <v>35000</v>
      </c>
      <c r="D94" s="217"/>
      <c r="E94" s="217">
        <f t="shared" si="25"/>
        <v>35000</v>
      </c>
      <c r="F94" s="217"/>
      <c r="G94" s="217"/>
      <c r="H94" s="217"/>
      <c r="I94" s="217"/>
      <c r="J94" s="217"/>
      <c r="K94" s="217"/>
      <c r="L94" s="217"/>
      <c r="M94" s="217"/>
      <c r="N94" s="217"/>
      <c r="O94" s="217"/>
      <c r="P94" s="217"/>
      <c r="Q94" s="217"/>
      <c r="R94" s="879">
        <f t="shared" si="24"/>
        <v>35000</v>
      </c>
      <c r="S94" s="217">
        <f t="shared" si="26"/>
        <v>35000</v>
      </c>
      <c r="T94" s="217"/>
      <c r="U94" s="213"/>
    </row>
    <row r="95" spans="1:21" s="214" customFormat="1">
      <c r="A95" s="1857" t="s">
        <v>2653</v>
      </c>
      <c r="B95" s="216">
        <f t="shared" si="23"/>
        <v>14983</v>
      </c>
      <c r="C95" s="217">
        <f>15000+14983-15000</f>
        <v>14983</v>
      </c>
      <c r="D95" s="217"/>
      <c r="E95" s="217">
        <f t="shared" si="25"/>
        <v>14983</v>
      </c>
      <c r="F95" s="217"/>
      <c r="G95" s="217"/>
      <c r="H95" s="217"/>
      <c r="I95" s="217"/>
      <c r="J95" s="217"/>
      <c r="K95" s="217"/>
      <c r="L95" s="217"/>
      <c r="M95" s="217"/>
      <c r="N95" s="217"/>
      <c r="O95" s="217"/>
      <c r="P95" s="217"/>
      <c r="Q95" s="217"/>
      <c r="R95" s="879">
        <f t="shared" si="24"/>
        <v>14983</v>
      </c>
      <c r="S95" s="217">
        <f>R95</f>
        <v>14983</v>
      </c>
      <c r="T95" s="217"/>
      <c r="U95" s="213"/>
    </row>
    <row r="96" spans="1:21" s="214" customFormat="1">
      <c r="A96" s="219" t="s">
        <v>831</v>
      </c>
      <c r="B96" s="216">
        <f>SUM(C96:D96)</f>
        <v>6731906</v>
      </c>
      <c r="C96" s="216">
        <f t="shared" ref="C96:R96" si="27">SUM(C83:C95)</f>
        <v>6731906</v>
      </c>
      <c r="D96" s="216">
        <f t="shared" si="27"/>
        <v>0</v>
      </c>
      <c r="E96" s="216">
        <f t="shared" si="27"/>
        <v>6731906</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4">
        <f t="shared" si="27"/>
        <v>6731906</v>
      </c>
      <c r="S96" s="220">
        <f>SUM(S84:S87,S89:S95)</f>
        <v>6598995</v>
      </c>
      <c r="T96" s="216">
        <f>SUM(T84:T87,T89:T95)</f>
        <v>0</v>
      </c>
      <c r="U96" s="213"/>
    </row>
    <row r="97" spans="1:21" s="214" customFormat="1">
      <c r="A97" s="219" t="s">
        <v>832</v>
      </c>
      <c r="B97" s="216">
        <f>SUM(C97:D97)</f>
        <v>71064823</v>
      </c>
      <c r="C97" s="216">
        <f t="shared" ref="C97:R97" si="28">SUM(C63+C70+C77+C81+C96)</f>
        <v>71064823</v>
      </c>
      <c r="D97" s="216">
        <f t="shared" si="28"/>
        <v>0</v>
      </c>
      <c r="E97" s="216">
        <f t="shared" si="28"/>
        <v>38902755</v>
      </c>
      <c r="F97" s="216">
        <f t="shared" si="28"/>
        <v>28262068</v>
      </c>
      <c r="G97" s="216">
        <f t="shared" si="28"/>
        <v>0</v>
      </c>
      <c r="H97" s="216">
        <f t="shared" si="28"/>
        <v>3900000</v>
      </c>
      <c r="I97" s="216">
        <f t="shared" si="28"/>
        <v>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71064823</v>
      </c>
      <c r="S97" s="216">
        <f>SUM(S63+S70+S81+S96)</f>
        <v>64182003</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9627300</v>
      </c>
      <c r="C99" s="1702">
        <v>9627300</v>
      </c>
      <c r="D99" s="1702"/>
      <c r="E99" s="1702">
        <f>C99-G99</f>
        <v>2820686</v>
      </c>
      <c r="F99" s="217"/>
      <c r="G99" s="217">
        <v>6806614</v>
      </c>
      <c r="H99" s="217"/>
      <c r="I99" s="217"/>
      <c r="J99" s="217"/>
      <c r="K99" s="217"/>
      <c r="L99" s="217"/>
      <c r="M99" s="217"/>
      <c r="N99" s="217"/>
      <c r="O99" s="217"/>
      <c r="P99" s="217"/>
      <c r="Q99" s="217"/>
      <c r="R99" s="879">
        <f t="shared" ref="R99:R103" si="29">SUM(E99:Q99)</f>
        <v>9627300</v>
      </c>
      <c r="S99" s="217">
        <f>R99</f>
        <v>9627300</v>
      </c>
      <c r="T99" s="217"/>
      <c r="U99" s="213"/>
    </row>
    <row r="100" spans="1:21" s="214" customFormat="1">
      <c r="A100" s="440" t="s">
        <v>1999</v>
      </c>
      <c r="B100" s="216">
        <f t="shared" ref="B100:B103" si="30">SUM(C100+D100)</f>
        <v>0</v>
      </c>
      <c r="C100" s="217"/>
      <c r="D100" s="217"/>
      <c r="E100" s="217"/>
      <c r="F100" s="217"/>
      <c r="G100" s="217"/>
      <c r="H100" s="217"/>
      <c r="I100" s="217"/>
      <c r="J100" s="217"/>
      <c r="K100" s="217"/>
      <c r="L100" s="217"/>
      <c r="M100" s="217"/>
      <c r="N100" s="217"/>
      <c r="O100" s="217"/>
      <c r="P100" s="217"/>
      <c r="Q100" s="217"/>
      <c r="R100" s="879">
        <f t="shared" si="29"/>
        <v>0</v>
      </c>
      <c r="S100" s="217"/>
      <c r="T100" s="217"/>
      <c r="U100" s="213"/>
    </row>
    <row r="101" spans="1:21" s="214" customFormat="1" ht="12" customHeight="1">
      <c r="A101" s="215" t="s">
        <v>835</v>
      </c>
      <c r="B101" s="216">
        <f t="shared" si="30"/>
        <v>0</v>
      </c>
      <c r="C101" s="217"/>
      <c r="D101" s="217"/>
      <c r="E101" s="217"/>
      <c r="F101" s="217"/>
      <c r="G101" s="217"/>
      <c r="H101" s="217"/>
      <c r="I101" s="217"/>
      <c r="J101" s="217"/>
      <c r="K101" s="217"/>
      <c r="L101" s="217"/>
      <c r="M101" s="217"/>
      <c r="N101" s="217"/>
      <c r="O101" s="217"/>
      <c r="P101" s="217"/>
      <c r="Q101" s="217"/>
      <c r="R101" s="879">
        <f t="shared" si="29"/>
        <v>0</v>
      </c>
      <c r="S101" s="217"/>
      <c r="T101" s="217"/>
      <c r="U101" s="213"/>
    </row>
    <row r="102" spans="1:21" s="214" customFormat="1">
      <c r="A102" s="440" t="s">
        <v>2000</v>
      </c>
      <c r="B102" s="216">
        <f t="shared" si="30"/>
        <v>0</v>
      </c>
      <c r="C102" s="217"/>
      <c r="D102" s="217"/>
      <c r="E102" s="217"/>
      <c r="F102" s="217"/>
      <c r="G102" s="217"/>
      <c r="H102" s="217"/>
      <c r="I102" s="217"/>
      <c r="J102" s="217"/>
      <c r="K102" s="217"/>
      <c r="L102" s="217"/>
      <c r="M102" s="217"/>
      <c r="N102" s="217"/>
      <c r="O102" s="217"/>
      <c r="P102" s="217"/>
      <c r="Q102" s="217"/>
      <c r="R102" s="879">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9">
        <f t="shared" si="29"/>
        <v>0</v>
      </c>
      <c r="S103" s="217"/>
      <c r="T103" s="217"/>
      <c r="U103" s="213"/>
    </row>
    <row r="104" spans="1:21" s="214" customFormat="1">
      <c r="A104" s="219" t="s">
        <v>836</v>
      </c>
      <c r="B104" s="216">
        <f>SUM(C104:D104)</f>
        <v>9627300</v>
      </c>
      <c r="C104" s="216">
        <f>SUM(C99:C103)</f>
        <v>9627300</v>
      </c>
      <c r="D104" s="216">
        <f t="shared" ref="D104:T104" si="31">SUM(D99:D103)</f>
        <v>0</v>
      </c>
      <c r="E104" s="216">
        <f t="shared" si="31"/>
        <v>2820686</v>
      </c>
      <c r="F104" s="216">
        <f t="shared" si="31"/>
        <v>0</v>
      </c>
      <c r="G104" s="216">
        <f t="shared" si="31"/>
        <v>6806614</v>
      </c>
      <c r="H104" s="216">
        <f t="shared" si="31"/>
        <v>0</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4">
        <f t="shared" si="31"/>
        <v>9627300</v>
      </c>
      <c r="S104" s="220">
        <f t="shared" si="31"/>
        <v>9627300</v>
      </c>
      <c r="T104" s="220">
        <f t="shared" si="31"/>
        <v>0</v>
      </c>
      <c r="U104" s="213"/>
    </row>
    <row r="105" spans="1:21" s="214" customFormat="1">
      <c r="A105" s="219" t="s">
        <v>837</v>
      </c>
      <c r="B105" s="220">
        <f>SUM(C105:D105)</f>
        <v>80692123</v>
      </c>
      <c r="C105" s="220">
        <f t="shared" ref="C105:R105" si="32">SUM(C97+C104)</f>
        <v>80692123</v>
      </c>
      <c r="D105" s="220">
        <f t="shared" si="32"/>
        <v>0</v>
      </c>
      <c r="E105" s="220">
        <f t="shared" si="32"/>
        <v>41723441</v>
      </c>
      <c r="F105" s="220">
        <f t="shared" si="32"/>
        <v>28262068</v>
      </c>
      <c r="G105" s="220">
        <f t="shared" si="32"/>
        <v>6806614</v>
      </c>
      <c r="H105" s="220">
        <f t="shared" si="32"/>
        <v>3900000</v>
      </c>
      <c r="I105" s="220">
        <f t="shared" si="32"/>
        <v>0</v>
      </c>
      <c r="J105" s="220">
        <f t="shared" si="32"/>
        <v>0</v>
      </c>
      <c r="K105" s="220">
        <f t="shared" si="32"/>
        <v>0</v>
      </c>
      <c r="L105" s="220">
        <f t="shared" si="32"/>
        <v>0</v>
      </c>
      <c r="M105" s="220">
        <f t="shared" si="32"/>
        <v>0</v>
      </c>
      <c r="N105" s="220">
        <f t="shared" si="32"/>
        <v>0</v>
      </c>
      <c r="O105" s="220">
        <f t="shared" si="32"/>
        <v>0</v>
      </c>
      <c r="P105" s="220">
        <f t="shared" si="32"/>
        <v>0</v>
      </c>
      <c r="Q105" s="220">
        <f t="shared" si="32"/>
        <v>0</v>
      </c>
      <c r="R105" s="534">
        <f t="shared" si="32"/>
        <v>80692123</v>
      </c>
      <c r="S105" s="220">
        <f>S97+S104</f>
        <v>73809303</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73809303</v>
      </c>
      <c r="T107" s="234">
        <f>T105+T106</f>
        <v>0</v>
      </c>
    </row>
    <row r="108" spans="1:21" s="300" customFormat="1">
      <c r="A108" s="233" t="s">
        <v>943</v>
      </c>
      <c r="B108" s="228"/>
      <c r="C108" s="228"/>
      <c r="D108" s="228"/>
      <c r="E108" s="464">
        <f>Application!AO650</f>
        <v>41723441</v>
      </c>
      <c r="F108" s="464">
        <f>Application!AO637</f>
        <v>28262068</v>
      </c>
      <c r="G108" s="464">
        <f>Application!AO638</f>
        <v>6806614</v>
      </c>
      <c r="H108" s="464">
        <f>Application!AO639</f>
        <v>3900000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87" t="s">
        <v>1095</v>
      </c>
      <c r="E122" s="2587"/>
      <c r="F122" s="2587"/>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7" t="s">
        <v>1438</v>
      </c>
      <c r="E123" s="2578"/>
      <c r="F123" s="2578"/>
      <c r="G123" s="2578"/>
      <c r="H123" s="2578"/>
      <c r="I123" s="2578"/>
      <c r="J123" s="2578"/>
      <c r="K123" s="2578"/>
      <c r="L123" s="2578"/>
      <c r="M123" s="2578"/>
      <c r="N123" s="2578"/>
      <c r="O123" s="2578"/>
      <c r="P123" s="2578"/>
      <c r="Q123" s="2578"/>
      <c r="R123" s="2578"/>
      <c r="S123" s="2578"/>
      <c r="T123" s="514"/>
      <c r="U123" s="516"/>
    </row>
    <row r="124" spans="1:21" ht="12.75">
      <c r="A124" s="513" t="s">
        <v>1097</v>
      </c>
      <c r="B124" s="523"/>
      <c r="C124" s="513"/>
      <c r="D124" s="2578"/>
      <c r="E124" s="2578"/>
      <c r="F124" s="2578"/>
      <c r="G124" s="2578"/>
      <c r="H124" s="2578"/>
      <c r="I124" s="2578"/>
      <c r="J124" s="2578"/>
      <c r="K124" s="2578"/>
      <c r="L124" s="2578"/>
      <c r="M124" s="2578"/>
      <c r="N124" s="2578"/>
      <c r="O124" s="2578"/>
      <c r="P124" s="2578"/>
      <c r="Q124" s="2578"/>
      <c r="R124" s="2578"/>
      <c r="S124" s="2578"/>
      <c r="T124" s="514"/>
      <c r="U124" s="516"/>
    </row>
    <row r="125" spans="1:21" ht="12.75">
      <c r="A125" s="513" t="s">
        <v>1098</v>
      </c>
      <c r="B125" s="523"/>
      <c r="C125" s="513"/>
      <c r="D125" s="2578"/>
      <c r="E125" s="2578"/>
      <c r="F125" s="2578"/>
      <c r="G125" s="2578"/>
      <c r="H125" s="2578"/>
      <c r="I125" s="2578"/>
      <c r="J125" s="2578"/>
      <c r="K125" s="2578"/>
      <c r="L125" s="2578"/>
      <c r="M125" s="2578"/>
      <c r="N125" s="2578"/>
      <c r="O125" s="2578"/>
      <c r="P125" s="2578"/>
      <c r="Q125" s="2578"/>
      <c r="R125" s="2578"/>
      <c r="S125" s="2578"/>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85"/>
      <c r="E128" s="2585"/>
      <c r="F128" s="2585"/>
      <c r="G128" s="2585"/>
      <c r="H128" s="2585"/>
      <c r="I128" s="513"/>
      <c r="J128" s="2576"/>
      <c r="K128" s="2576"/>
      <c r="L128" s="513"/>
      <c r="M128" s="513"/>
      <c r="N128" s="513"/>
      <c r="O128" s="513"/>
      <c r="P128" s="513"/>
      <c r="Q128" s="513"/>
      <c r="R128" s="513"/>
      <c r="S128" s="513"/>
      <c r="T128" s="514"/>
      <c r="U128" s="516"/>
    </row>
    <row r="129" spans="1:21" ht="12.75">
      <c r="A129" s="513" t="s">
        <v>308</v>
      </c>
      <c r="B129" s="523"/>
      <c r="C129" s="513"/>
      <c r="D129" s="2586" t="s">
        <v>1102</v>
      </c>
      <c r="E129" s="2586"/>
      <c r="F129" s="2586"/>
      <c r="G129" s="2586"/>
      <c r="H129" s="2586"/>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67"/>
      <c r="E131" s="2067"/>
      <c r="F131" s="2067"/>
      <c r="G131" s="2067"/>
      <c r="H131" s="2067"/>
      <c r="I131" s="513"/>
      <c r="J131" s="2067"/>
      <c r="K131" s="2067"/>
      <c r="L131" s="2067"/>
      <c r="M131" s="2067"/>
      <c r="N131" s="513"/>
      <c r="O131" s="513"/>
      <c r="P131" s="513"/>
      <c r="Q131" s="513"/>
      <c r="R131" s="513"/>
      <c r="S131" s="513"/>
      <c r="T131" s="514"/>
      <c r="U131" s="516"/>
    </row>
    <row r="132" spans="1:21" ht="12" customHeight="1">
      <c r="A132" s="527"/>
      <c r="B132" s="513"/>
      <c r="C132" s="513"/>
      <c r="D132" s="2579" t="s">
        <v>1105</v>
      </c>
      <c r="E132" s="2579"/>
      <c r="F132" s="2579"/>
      <c r="G132" s="2579"/>
      <c r="H132" s="2579"/>
      <c r="I132" s="513"/>
      <c r="J132" s="2579" t="s">
        <v>1106</v>
      </c>
      <c r="K132" s="2579"/>
      <c r="L132" s="2579"/>
      <c r="M132" s="257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0"/>
      <c r="B138" s="2581"/>
      <c r="C138" s="2581"/>
      <c r="D138" s="518"/>
      <c r="E138" s="2576"/>
      <c r="F138" s="2576"/>
      <c r="G138" s="513"/>
      <c r="H138" s="513"/>
      <c r="I138" s="513"/>
      <c r="J138" s="513"/>
      <c r="K138" s="513"/>
      <c r="L138" s="513"/>
      <c r="M138" s="513"/>
      <c r="N138" s="513"/>
      <c r="O138" s="513"/>
      <c r="P138" s="513"/>
      <c r="Q138" s="513"/>
      <c r="R138" s="513"/>
      <c r="S138" s="513"/>
      <c r="T138" s="520"/>
      <c r="U138" s="521"/>
    </row>
    <row r="139" spans="1:21" ht="12.75">
      <c r="A139" s="2574" t="s">
        <v>1109</v>
      </c>
      <c r="B139" s="2575"/>
      <c r="C139" s="2575"/>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A2" sqref="A2"/>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4" t="s">
        <v>1441</v>
      </c>
      <c r="B1" s="2595"/>
      <c r="C1" s="2595"/>
      <c r="D1" s="2595"/>
      <c r="E1" s="2595"/>
      <c r="F1" s="2595"/>
      <c r="G1" s="2595"/>
      <c r="H1" s="2595"/>
      <c r="I1" s="2595"/>
      <c r="J1" s="2596"/>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4050000</v>
      </c>
      <c r="C4" s="566">
        <f>B4</f>
        <v>4050000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4050000</v>
      </c>
      <c r="C8" s="565">
        <f>SUM(C4:C7)</f>
        <v>4050000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1500000</v>
      </c>
      <c r="C10" s="566">
        <f>B10</f>
        <v>1500000</v>
      </c>
      <c r="D10" s="566"/>
      <c r="E10" s="565">
        <f>'Sources and Uses Budget'!S10</f>
        <v>1500000</v>
      </c>
      <c r="F10" s="566">
        <f>E10</f>
        <v>1500000</v>
      </c>
      <c r="G10" s="566"/>
      <c r="H10" s="565">
        <f>'Sources and Uses Budget'!T10</f>
        <v>0</v>
      </c>
      <c r="I10" s="566"/>
      <c r="J10" s="566"/>
      <c r="K10" s="563"/>
    </row>
    <row r="11" spans="1:11" s="564" customFormat="1">
      <c r="A11" s="569" t="s">
        <v>630</v>
      </c>
      <c r="B11" s="565">
        <f>'Sources and Uses Budget'!C11</f>
        <v>1500000</v>
      </c>
      <c r="C11" s="565">
        <f>SUM(C9:C10)</f>
        <v>1500000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5550000</v>
      </c>
      <c r="C12" s="565">
        <f>SUM(C8+C11)</f>
        <v>5550000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204437</v>
      </c>
      <c r="C27" s="566">
        <f>B27</f>
        <v>204437</v>
      </c>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3073000</v>
      </c>
      <c r="C29" s="566">
        <f>B29</f>
        <v>3073000</v>
      </c>
      <c r="D29" s="566"/>
      <c r="E29" s="565">
        <f>'Sources and Uses Budget'!S29</f>
        <v>3073000</v>
      </c>
      <c r="F29" s="566">
        <f>E29</f>
        <v>3073000</v>
      </c>
      <c r="G29" s="566"/>
      <c r="H29" s="565">
        <f>'Sources and Uses Budget'!T29</f>
        <v>0</v>
      </c>
      <c r="I29" s="566"/>
      <c r="J29" s="566"/>
      <c r="K29" s="563"/>
    </row>
    <row r="30" spans="1:11" s="564" customFormat="1">
      <c r="A30" s="215" t="s">
        <v>633</v>
      </c>
      <c r="B30" s="565">
        <f>'Sources and Uses Budget'!C30</f>
        <v>37358900</v>
      </c>
      <c r="C30" s="566">
        <f>B30</f>
        <v>37358900</v>
      </c>
      <c r="D30" s="566"/>
      <c r="E30" s="565">
        <f>'Sources and Uses Budget'!S30</f>
        <v>37358900</v>
      </c>
      <c r="F30" s="566">
        <f>E30</f>
        <v>37358900</v>
      </c>
      <c r="G30" s="566"/>
      <c r="H30" s="565">
        <f>'Sources and Uses Budget'!T30</f>
        <v>0</v>
      </c>
      <c r="I30" s="566"/>
      <c r="J30" s="566"/>
      <c r="K30" s="563"/>
    </row>
    <row r="31" spans="1:11" s="564" customFormat="1">
      <c r="A31" s="215" t="s">
        <v>634</v>
      </c>
      <c r="B31" s="565">
        <f>'Sources and Uses Budget'!C31</f>
        <v>1677276</v>
      </c>
      <c r="C31" s="566">
        <f>B31</f>
        <v>1677276</v>
      </c>
      <c r="D31" s="566"/>
      <c r="E31" s="565">
        <f>'Sources and Uses Budget'!S31</f>
        <v>1677276</v>
      </c>
      <c r="F31" s="566">
        <f>E31</f>
        <v>1677276</v>
      </c>
      <c r="G31" s="566"/>
      <c r="H31" s="565">
        <f>'Sources and Uses Budget'!T31</f>
        <v>0</v>
      </c>
      <c r="I31" s="566"/>
      <c r="J31" s="566"/>
      <c r="K31" s="563"/>
    </row>
    <row r="32" spans="1:11" s="564" customFormat="1">
      <c r="A32" s="215" t="s">
        <v>142</v>
      </c>
      <c r="B32" s="565">
        <f>'Sources and Uses Budget'!C32</f>
        <v>2515914</v>
      </c>
      <c r="C32" s="566">
        <f>B32</f>
        <v>2515914</v>
      </c>
      <c r="D32" s="566"/>
      <c r="E32" s="565">
        <f>'Sources and Uses Budget'!S32</f>
        <v>2515914</v>
      </c>
      <c r="F32" s="566">
        <f>E32</f>
        <v>2515914</v>
      </c>
      <c r="G32" s="566"/>
      <c r="H32" s="565">
        <f>'Sources and Uses Budget'!T32</f>
        <v>0</v>
      </c>
      <c r="I32" s="566"/>
      <c r="J32" s="566"/>
      <c r="K32" s="563"/>
    </row>
    <row r="33" spans="1:11" s="564" customFormat="1">
      <c r="A33" s="215" t="s">
        <v>143</v>
      </c>
      <c r="B33" s="565">
        <f>'Sources and Uses Budget'!C33</f>
        <v>1677277</v>
      </c>
      <c r="C33" s="566">
        <f>B33</f>
        <v>1677277</v>
      </c>
      <c r="D33" s="566"/>
      <c r="E33" s="565">
        <f>'Sources and Uses Budget'!S33</f>
        <v>1677277</v>
      </c>
      <c r="F33" s="566">
        <f>E33</f>
        <v>1677277</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717035</v>
      </c>
      <c r="C35" s="566">
        <f>B35</f>
        <v>717035</v>
      </c>
      <c r="D35" s="566"/>
      <c r="E35" s="565">
        <f>'Sources and Uses Budget'!S35</f>
        <v>717035</v>
      </c>
      <c r="F35" s="566">
        <f>E35</f>
        <v>717035</v>
      </c>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(Payment &amp; Performance Bonds)</v>
      </c>
      <c r="B37" s="565">
        <f>'Sources and Uses Budget'!C37</f>
        <v>956047</v>
      </c>
      <c r="C37" s="566">
        <f>B37</f>
        <v>956047</v>
      </c>
      <c r="D37" s="566"/>
      <c r="E37" s="565">
        <f>'Sources and Uses Budget'!S37</f>
        <v>956047</v>
      </c>
      <c r="F37" s="566">
        <f>E37</f>
        <v>956047</v>
      </c>
      <c r="G37" s="566"/>
      <c r="H37" s="565">
        <f>'Sources and Uses Budget'!T37</f>
        <v>0</v>
      </c>
      <c r="I37" s="566"/>
      <c r="J37" s="566"/>
      <c r="K37" s="563"/>
    </row>
    <row r="38" spans="1:11" s="564" customFormat="1">
      <c r="A38" s="573" t="s">
        <v>148</v>
      </c>
      <c r="B38" s="565">
        <f>'Sources and Uses Budget'!C38</f>
        <v>47975449</v>
      </c>
      <c r="C38" s="565">
        <f>SUM(C29:C37)</f>
        <v>47975449</v>
      </c>
      <c r="D38" s="565">
        <f>SUM(D29:D37)</f>
        <v>0</v>
      </c>
      <c r="E38" s="565">
        <f>'Sources and Uses Budget'!S38</f>
        <v>47975449</v>
      </c>
      <c r="F38" s="572">
        <f>SUM(F29:F37)</f>
        <v>47975449</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1160000</v>
      </c>
      <c r="C40" s="566">
        <f>B40</f>
        <v>1160000</v>
      </c>
      <c r="D40" s="566"/>
      <c r="E40" s="565">
        <f>'Sources and Uses Budget'!S40</f>
        <v>1160000</v>
      </c>
      <c r="F40" s="566">
        <f>E40</f>
        <v>1160000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1160000</v>
      </c>
      <c r="C42" s="565">
        <f>SUM(C39:C41)</f>
        <v>1160000</v>
      </c>
      <c r="D42" s="565">
        <f>SUM(D39:D41)</f>
        <v>0</v>
      </c>
      <c r="E42" s="565">
        <f>'Sources and Uses Budget'!S42</f>
        <v>1160000</v>
      </c>
      <c r="F42" s="572">
        <f>SUM(F40:F41)</f>
        <v>1160000</v>
      </c>
      <c r="G42" s="572">
        <f>SUM(G40:G41)</f>
        <v>0</v>
      </c>
      <c r="H42" s="565">
        <f>'Sources and Uses Budget'!T42</f>
        <v>0</v>
      </c>
      <c r="I42" s="572">
        <f>SUM(I40:I41)</f>
        <v>0</v>
      </c>
      <c r="J42" s="572">
        <f>SUM(J40:J41)</f>
        <v>0</v>
      </c>
      <c r="K42" s="563"/>
    </row>
    <row r="43" spans="1:11" s="564" customFormat="1">
      <c r="A43" s="569" t="s">
        <v>153</v>
      </c>
      <c r="B43" s="565">
        <f>'Sources and Uses Budget'!C43</f>
        <v>670300</v>
      </c>
      <c r="C43" s="566">
        <f>B43</f>
        <v>670300</v>
      </c>
      <c r="D43" s="566"/>
      <c r="E43" s="565">
        <f>'Sources and Uses Budget'!S43</f>
        <v>670300</v>
      </c>
      <c r="F43" s="566">
        <f>E43</f>
        <v>670300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2818422</v>
      </c>
      <c r="C45" s="566">
        <f>B45</f>
        <v>2818422</v>
      </c>
      <c r="D45" s="566"/>
      <c r="E45" s="565">
        <f>'Sources and Uses Budget'!S45</f>
        <v>1828041</v>
      </c>
      <c r="F45" s="566">
        <f>E45</f>
        <v>1828041</v>
      </c>
      <c r="G45" s="566"/>
      <c r="H45" s="565">
        <f>'Sources and Uses Budget'!T45</f>
        <v>0</v>
      </c>
      <c r="I45" s="566"/>
      <c r="J45" s="566"/>
      <c r="K45" s="563"/>
    </row>
    <row r="46" spans="1:11" s="564" customFormat="1">
      <c r="A46" s="568" t="s">
        <v>156</v>
      </c>
      <c r="B46" s="565">
        <f>'Sources and Uses Budget'!C46</f>
        <v>656090</v>
      </c>
      <c r="C46" s="566">
        <f>B46</f>
        <v>656090</v>
      </c>
      <c r="D46" s="566"/>
      <c r="E46" s="565">
        <f>'Sources and Uses Budget'!S46</f>
        <v>492067</v>
      </c>
      <c r="F46" s="566">
        <f>E46</f>
        <v>492067</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60000</v>
      </c>
      <c r="C50" s="566">
        <f>B50</f>
        <v>60000</v>
      </c>
      <c r="D50" s="566"/>
      <c r="E50" s="565">
        <f>'Sources and Uses Budget'!S50</f>
        <v>45000</v>
      </c>
      <c r="F50" s="566">
        <f>E50</f>
        <v>45000</v>
      </c>
      <c r="G50" s="566"/>
      <c r="H50" s="565">
        <f>'Sources and Uses Budget'!T50</f>
        <v>0</v>
      </c>
      <c r="I50" s="566"/>
      <c r="J50" s="566"/>
      <c r="K50" s="563"/>
    </row>
    <row r="51" spans="1:11" s="564" customFormat="1">
      <c r="A51" s="568" t="s">
        <v>159</v>
      </c>
      <c r="B51" s="565">
        <f>'Sources and Uses Budget'!C51</f>
        <v>25000</v>
      </c>
      <c r="C51" s="566">
        <f>B51</f>
        <v>25000</v>
      </c>
      <c r="D51" s="566"/>
      <c r="E51" s="565">
        <f>'Sources and Uses Budget'!S51</f>
        <v>25000</v>
      </c>
      <c r="F51" s="566">
        <f>E51</f>
        <v>25000</v>
      </c>
      <c r="G51" s="566"/>
      <c r="H51" s="565">
        <f>'Sources and Uses Budget'!T51</f>
        <v>0</v>
      </c>
      <c r="I51" s="566"/>
      <c r="J51" s="566"/>
      <c r="K51" s="563"/>
    </row>
    <row r="52" spans="1:11" s="564" customFormat="1">
      <c r="A52" s="568" t="s">
        <v>160</v>
      </c>
      <c r="B52" s="565">
        <f>'Sources and Uses Budget'!C52</f>
        <v>494754</v>
      </c>
      <c r="C52" s="566">
        <f>B52</f>
        <v>494754</v>
      </c>
      <c r="D52" s="566"/>
      <c r="E52" s="565">
        <f>'Sources and Uses Budget'!S52</f>
        <v>494754</v>
      </c>
      <c r="F52" s="566">
        <f>E52</f>
        <v>494754</v>
      </c>
      <c r="G52" s="566"/>
      <c r="H52" s="565">
        <f>'Sources and Uses Budget'!T52</f>
        <v>0</v>
      </c>
      <c r="I52" s="566"/>
      <c r="J52" s="566"/>
      <c r="K52" s="563"/>
    </row>
    <row r="53" spans="1:11" s="564" customFormat="1">
      <c r="A53" s="571" t="str">
        <f>'Sources and Uses Budget'!$A53</f>
        <v>Other: (Lender inspection Fees)</v>
      </c>
      <c r="B53" s="565">
        <f>'Sources and Uses Budget'!C53</f>
        <v>45000</v>
      </c>
      <c r="C53" s="566">
        <f>B53</f>
        <v>45000</v>
      </c>
      <c r="D53" s="566"/>
      <c r="E53" s="565">
        <f>'Sources and Uses Budget'!S53</f>
        <v>33750</v>
      </c>
      <c r="F53" s="566">
        <f>E53</f>
        <v>33750</v>
      </c>
      <c r="G53" s="566"/>
      <c r="H53" s="565">
        <f>'Sources and Uses Budget'!T53</f>
        <v>0</v>
      </c>
      <c r="I53" s="566"/>
      <c r="J53" s="566"/>
      <c r="K53" s="563"/>
    </row>
    <row r="54" spans="1:11" s="575" customFormat="1">
      <c r="A54" s="569" t="s">
        <v>162</v>
      </c>
      <c r="B54" s="565">
        <f>'Sources and Uses Budget'!C54</f>
        <v>4099266</v>
      </c>
      <c r="C54" s="572">
        <f>SUM(C45:C53)</f>
        <v>4099266</v>
      </c>
      <c r="D54" s="572">
        <f>SUM(D45:D53)</f>
        <v>0</v>
      </c>
      <c r="E54" s="565">
        <f>'Sources and Uses Budget'!S54</f>
        <v>2918612</v>
      </c>
      <c r="F54" s="572">
        <f>SUM(F45:F53)</f>
        <v>2918612</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282621</v>
      </c>
      <c r="C56" s="566">
        <f>B56</f>
        <v>282621</v>
      </c>
      <c r="D56" s="566"/>
      <c r="E56" s="567"/>
      <c r="F56" s="567"/>
      <c r="G56" s="567"/>
      <c r="H56" s="567"/>
      <c r="I56" s="567"/>
      <c r="J56" s="567"/>
      <c r="K56" s="563"/>
    </row>
    <row r="57" spans="1:11" s="564" customFormat="1" ht="12" customHeight="1">
      <c r="A57" s="568" t="s">
        <v>157</v>
      </c>
      <c r="B57" s="565">
        <f>'Sources and Uses Budget'!C57</f>
        <v>5000</v>
      </c>
      <c r="C57" s="566">
        <f>B57</f>
        <v>5000</v>
      </c>
      <c r="D57" s="566"/>
      <c r="E57" s="567"/>
      <c r="F57" s="567"/>
      <c r="G57" s="567"/>
      <c r="H57" s="567"/>
      <c r="I57" s="567"/>
      <c r="J57" s="567"/>
      <c r="K57" s="563"/>
    </row>
    <row r="58" spans="1:11" s="564" customFormat="1">
      <c r="A58" s="568" t="s">
        <v>161</v>
      </c>
      <c r="B58" s="565">
        <f>'Sources and Uses Budget'!C58</f>
        <v>10000</v>
      </c>
      <c r="C58" s="566">
        <f>B58</f>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(Issuer Fee+ Administrative Fee)</v>
      </c>
      <c r="B61" s="565">
        <f>'Sources and Uses Budget'!C61</f>
        <v>82709</v>
      </c>
      <c r="C61" s="566">
        <f>B61</f>
        <v>82709</v>
      </c>
      <c r="D61" s="566"/>
      <c r="E61" s="567"/>
      <c r="F61" s="567"/>
      <c r="G61" s="567"/>
      <c r="H61" s="567"/>
      <c r="I61" s="567"/>
      <c r="J61" s="567"/>
      <c r="K61" s="563"/>
    </row>
    <row r="62" spans="1:11" s="564" customFormat="1" ht="13.7" customHeight="1">
      <c r="A62" s="569" t="s">
        <v>309</v>
      </c>
      <c r="B62" s="565">
        <f>'Sources and Uses Budget'!C62</f>
        <v>380330</v>
      </c>
      <c r="C62" s="565">
        <f>SUM(C56:C61)</f>
        <v>380330</v>
      </c>
      <c r="D62" s="565">
        <f>SUM(D56:D61)</f>
        <v>0</v>
      </c>
      <c r="E62" s="567"/>
      <c r="F62" s="567"/>
      <c r="G62" s="567"/>
      <c r="H62" s="567"/>
      <c r="I62" s="567"/>
      <c r="J62" s="567"/>
      <c r="K62" s="563"/>
    </row>
    <row r="63" spans="1:11" s="564" customFormat="1">
      <c r="A63" s="576" t="s">
        <v>310</v>
      </c>
      <c r="B63" s="565">
        <f>'Sources and Uses Budget'!C63</f>
        <v>60039782</v>
      </c>
      <c r="C63" s="565">
        <f>SUM(C8+C11+C13+C14+C15+C26+C27+C38+C42+C43+C54+C62)</f>
        <v>60039782</v>
      </c>
      <c r="D63" s="565">
        <f>SUM(D8+D11+D13+D14+D15+D26+D27+D38+D42+D43+D54+D62)</f>
        <v>0</v>
      </c>
      <c r="E63" s="565">
        <f>'Sources and Uses Budget'!S63</f>
        <v>54224361</v>
      </c>
      <c r="F63" s="565">
        <f>SUM(F10+F13+F14+F15+F26+F27+F38+F42+F43+F54)</f>
        <v>54224361</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135000</v>
      </c>
      <c r="C65" s="566">
        <f>B65</f>
        <v>135000</v>
      </c>
      <c r="D65" s="566"/>
      <c r="E65" s="565">
        <f>'Sources and Uses Budget'!S65</f>
        <v>100000</v>
      </c>
      <c r="F65" s="566">
        <f>E65</f>
        <v>100000</v>
      </c>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24">
      <c r="A69" s="571" t="str">
        <f>'Sources and Uses Budget'!$A69</f>
        <v>Other: (Sponsor Legal + CalHFA Cost of Issuance Fee + GP Legal)</v>
      </c>
      <c r="B69" s="565">
        <f>'Sources and Uses Budget'!C69</f>
        <v>285000</v>
      </c>
      <c r="C69" s="566">
        <f>B69</f>
        <v>285000</v>
      </c>
      <c r="D69" s="566"/>
      <c r="E69" s="565">
        <f>'Sources and Uses Budget'!S69</f>
        <v>175000</v>
      </c>
      <c r="F69" s="566">
        <f>E69</f>
        <v>175000</v>
      </c>
      <c r="G69" s="566"/>
      <c r="H69" s="565">
        <f>'Sources and Uses Budget'!T69</f>
        <v>0</v>
      </c>
      <c r="I69" s="566"/>
      <c r="J69" s="566"/>
      <c r="K69" s="563"/>
    </row>
    <row r="70" spans="1:11" s="564" customFormat="1">
      <c r="A70" s="569" t="s">
        <v>635</v>
      </c>
      <c r="B70" s="565">
        <f>'Sources and Uses Budget'!C70</f>
        <v>420000</v>
      </c>
      <c r="C70" s="565">
        <f>SUM(C64:C69)</f>
        <v>420000</v>
      </c>
      <c r="D70" s="565">
        <f>SUM(D64:D69)</f>
        <v>0</v>
      </c>
      <c r="E70" s="565">
        <f>'Sources and Uses Budget'!S70</f>
        <v>275000</v>
      </c>
      <c r="F70" s="572">
        <f>SUM(F65:F69)</f>
        <v>275000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755988</v>
      </c>
      <c r="C75" s="566">
        <f>B75</f>
        <v>755988</v>
      </c>
      <c r="D75" s="566"/>
      <c r="E75" s="567"/>
      <c r="F75" s="567"/>
      <c r="G75" s="567"/>
      <c r="H75" s="567"/>
      <c r="I75" s="567"/>
      <c r="J75" s="567"/>
      <c r="K75" s="563"/>
    </row>
    <row r="76" spans="1:11" s="564" customFormat="1">
      <c r="A76" s="571" t="str">
        <f>'Sources and Uses Budget'!$A76</f>
        <v>Other: (Replacement Reserve)</v>
      </c>
      <c r="B76" s="565">
        <f>'Sources and Uses Budget'!C76</f>
        <v>33500</v>
      </c>
      <c r="C76" s="566">
        <f>B76</f>
        <v>33500</v>
      </c>
      <c r="D76" s="566"/>
      <c r="E76" s="567"/>
      <c r="F76" s="567"/>
      <c r="G76" s="567"/>
      <c r="H76" s="567"/>
      <c r="I76" s="567"/>
      <c r="J76" s="567"/>
      <c r="K76" s="563"/>
    </row>
    <row r="77" spans="1:11" s="564" customFormat="1">
      <c r="A77" s="569" t="s">
        <v>640</v>
      </c>
      <c r="B77" s="565">
        <f>'Sources and Uses Budget'!C77</f>
        <v>789488</v>
      </c>
      <c r="C77" s="565">
        <f>SUM(C72:C76)</f>
        <v>789488</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2473772</v>
      </c>
      <c r="C79" s="566">
        <f>B79</f>
        <v>2473772</v>
      </c>
      <c r="D79" s="566"/>
      <c r="E79" s="565">
        <f>'Sources and Uses Budget'!S79</f>
        <v>2473772</v>
      </c>
      <c r="F79" s="566">
        <f>E79</f>
        <v>2473772</v>
      </c>
      <c r="G79" s="566"/>
      <c r="H79" s="565">
        <f>'Sources and Uses Budget'!T79</f>
        <v>0</v>
      </c>
      <c r="I79" s="566"/>
      <c r="J79" s="566"/>
      <c r="K79" s="563"/>
    </row>
    <row r="80" spans="1:11" s="564" customFormat="1">
      <c r="A80" s="568" t="s">
        <v>61</v>
      </c>
      <c r="B80" s="565">
        <f>'Sources and Uses Budget'!C80</f>
        <v>609875</v>
      </c>
      <c r="C80" s="566">
        <f>B80</f>
        <v>609875</v>
      </c>
      <c r="D80" s="566"/>
      <c r="E80" s="565">
        <f>'Sources and Uses Budget'!S80</f>
        <v>609875</v>
      </c>
      <c r="F80" s="566">
        <f>E80</f>
        <v>609875</v>
      </c>
      <c r="G80" s="566"/>
      <c r="H80" s="565">
        <f>'Sources and Uses Budget'!T80</f>
        <v>0</v>
      </c>
      <c r="I80" s="566"/>
      <c r="J80" s="566"/>
      <c r="K80" s="563"/>
    </row>
    <row r="81" spans="1:11" s="564" customFormat="1">
      <c r="A81" s="569" t="s">
        <v>1418</v>
      </c>
      <c r="B81" s="565">
        <f>'Sources and Uses Budget'!C81</f>
        <v>3083647</v>
      </c>
      <c r="C81" s="565">
        <f>SUM(C79:C80)</f>
        <v>3083647</v>
      </c>
      <c r="D81" s="565">
        <f>SUM(D79:D80)</f>
        <v>0</v>
      </c>
      <c r="E81" s="565">
        <f>'Sources and Uses Budget'!S81</f>
        <v>3083647</v>
      </c>
      <c r="F81" s="565">
        <f>SUM(F79:F80)</f>
        <v>3083647</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94911</v>
      </c>
      <c r="C83" s="566">
        <f>B83</f>
        <v>94911</v>
      </c>
      <c r="D83" s="566"/>
      <c r="E83" s="567"/>
      <c r="F83" s="567"/>
      <c r="G83" s="567"/>
      <c r="H83" s="567"/>
      <c r="I83" s="567"/>
      <c r="J83" s="567"/>
      <c r="K83" s="563"/>
    </row>
    <row r="84" spans="1:11" s="564" customFormat="1">
      <c r="A84" s="215" t="s">
        <v>824</v>
      </c>
      <c r="B84" s="565">
        <f>'Sources and Uses Budget'!C84</f>
        <v>55000</v>
      </c>
      <c r="C84" s="566">
        <f>B84</f>
        <v>55000</v>
      </c>
      <c r="D84" s="566"/>
      <c r="E84" s="565">
        <f>'Sources and Uses Budget'!S84</f>
        <v>55000</v>
      </c>
      <c r="F84" s="566">
        <f>E84</f>
        <v>55000</v>
      </c>
      <c r="G84" s="566"/>
      <c r="H84" s="565">
        <f>'Sources and Uses Budget'!T84</f>
        <v>0</v>
      </c>
      <c r="I84" s="566"/>
      <c r="J84" s="566"/>
      <c r="K84" s="563"/>
    </row>
    <row r="85" spans="1:11" s="564" customFormat="1">
      <c r="A85" s="215" t="s">
        <v>825</v>
      </c>
      <c r="B85" s="565">
        <f>'Sources and Uses Budget'!C85</f>
        <v>5746512</v>
      </c>
      <c r="C85" s="566">
        <f>B85</f>
        <v>5746512</v>
      </c>
      <c r="D85" s="566"/>
      <c r="E85" s="565">
        <f>'Sources and Uses Budget'!S85</f>
        <v>5746512</v>
      </c>
      <c r="F85" s="566">
        <f>E85</f>
        <v>5746512</v>
      </c>
      <c r="G85" s="566"/>
      <c r="H85" s="565">
        <f>'Sources and Uses Budget'!T85</f>
        <v>0</v>
      </c>
      <c r="I85" s="566"/>
      <c r="J85" s="566"/>
      <c r="K85" s="563"/>
    </row>
    <row r="86" spans="1:11" s="564" customFormat="1">
      <c r="A86" s="215" t="s">
        <v>826</v>
      </c>
      <c r="B86" s="565">
        <f>'Sources and Uses Budget'!C86</f>
        <v>335000</v>
      </c>
      <c r="C86" s="566">
        <f>B86</f>
        <v>335000</v>
      </c>
      <c r="D86" s="566"/>
      <c r="E86" s="565">
        <f>'Sources and Uses Budget'!S86</f>
        <v>335000</v>
      </c>
      <c r="F86" s="566">
        <f>E86</f>
        <v>335000</v>
      </c>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38000</v>
      </c>
      <c r="C88" s="566">
        <f t="shared" ref="C88:C95" si="0">B88</f>
        <v>38000</v>
      </c>
      <c r="D88" s="566"/>
      <c r="E88" s="567"/>
      <c r="F88" s="567"/>
      <c r="G88" s="567"/>
      <c r="H88" s="567"/>
      <c r="I88" s="567"/>
      <c r="J88" s="567"/>
      <c r="K88" s="563"/>
    </row>
    <row r="89" spans="1:11" s="564" customFormat="1">
      <c r="A89" s="215" t="s">
        <v>829</v>
      </c>
      <c r="B89" s="565">
        <f>'Sources and Uses Budget'!C89</f>
        <v>25000</v>
      </c>
      <c r="C89" s="566">
        <f t="shared" si="0"/>
        <v>25000</v>
      </c>
      <c r="D89" s="566"/>
      <c r="E89" s="565">
        <f>'Sources and Uses Budget'!S89</f>
        <v>25000</v>
      </c>
      <c r="F89" s="566">
        <f t="shared" ref="F89:F95" si="1">E89</f>
        <v>25000</v>
      </c>
      <c r="G89" s="566"/>
      <c r="H89" s="565">
        <f>'Sources and Uses Budget'!T89</f>
        <v>0</v>
      </c>
      <c r="I89" s="566"/>
      <c r="J89" s="566"/>
      <c r="K89" s="563"/>
    </row>
    <row r="90" spans="1:11" s="564" customFormat="1">
      <c r="A90" s="215" t="s">
        <v>830</v>
      </c>
      <c r="B90" s="565">
        <f>'Sources and Uses Budget'!C90</f>
        <v>20000</v>
      </c>
      <c r="C90" s="566">
        <f t="shared" si="0"/>
        <v>20000</v>
      </c>
      <c r="D90" s="566"/>
      <c r="E90" s="565">
        <f>'Sources and Uses Budget'!S90</f>
        <v>20000</v>
      </c>
      <c r="F90" s="566">
        <f t="shared" si="1"/>
        <v>20000</v>
      </c>
      <c r="G90" s="566"/>
      <c r="H90" s="565">
        <f>'Sources and Uses Budget'!T90</f>
        <v>0</v>
      </c>
      <c r="I90" s="566"/>
      <c r="J90" s="566"/>
      <c r="K90" s="563"/>
    </row>
    <row r="91" spans="1:11" s="564" customFormat="1">
      <c r="A91" s="226" t="s">
        <v>389</v>
      </c>
      <c r="B91" s="565">
        <f>'Sources and Uses Budget'!C91</f>
        <v>107500</v>
      </c>
      <c r="C91" s="566">
        <f t="shared" si="0"/>
        <v>107500</v>
      </c>
      <c r="D91" s="566"/>
      <c r="E91" s="565">
        <f>'Sources and Uses Budget'!S91</f>
        <v>107500</v>
      </c>
      <c r="F91" s="566">
        <f t="shared" si="1"/>
        <v>107500</v>
      </c>
      <c r="G91" s="566"/>
      <c r="H91" s="565">
        <f>'Sources and Uses Budget'!T91</f>
        <v>0</v>
      </c>
      <c r="I91" s="566"/>
      <c r="J91" s="566"/>
      <c r="K91" s="563"/>
    </row>
    <row r="92" spans="1:11" s="564" customFormat="1">
      <c r="A92" s="858" t="s">
        <v>1420</v>
      </c>
      <c r="B92" s="565">
        <f>'Sources and Uses Budget'!C92</f>
        <v>15000</v>
      </c>
      <c r="C92" s="566">
        <f t="shared" si="0"/>
        <v>15000</v>
      </c>
      <c r="D92" s="566"/>
      <c r="E92" s="565">
        <f>'Sources and Uses Budget'!S92</f>
        <v>15000</v>
      </c>
      <c r="F92" s="566">
        <f t="shared" si="1"/>
        <v>15000</v>
      </c>
      <c r="G92" s="566"/>
      <c r="H92" s="565">
        <f>'Sources and Uses Budget'!T92</f>
        <v>0</v>
      </c>
      <c r="I92" s="566"/>
      <c r="J92" s="566"/>
      <c r="K92" s="563"/>
    </row>
    <row r="93" spans="1:11" s="564" customFormat="1" ht="24">
      <c r="A93" s="571" t="str">
        <f>'Sources and Uses Budget'!$A93</f>
        <v>Other: (3rd Party Construction Mgmt.+predevelopment loan interest)</v>
      </c>
      <c r="B93" s="565">
        <f>'Sources and Uses Budget'!C93</f>
        <v>245000</v>
      </c>
      <c r="C93" s="566">
        <f t="shared" si="0"/>
        <v>245000</v>
      </c>
      <c r="D93" s="566"/>
      <c r="E93" s="565">
        <f>'Sources and Uses Budget'!S93</f>
        <v>245000</v>
      </c>
      <c r="F93" s="566">
        <f t="shared" si="1"/>
        <v>245000</v>
      </c>
      <c r="G93" s="566"/>
      <c r="H93" s="565">
        <f>'Sources and Uses Budget'!T93</f>
        <v>0</v>
      </c>
      <c r="I93" s="566"/>
      <c r="J93" s="566"/>
      <c r="K93" s="563"/>
    </row>
    <row r="94" spans="1:11" s="564" customFormat="1">
      <c r="A94" s="571" t="str">
        <f>'Sources and Uses Budget'!$A94</f>
        <v>Other: Misc Report &amp; Consultant Fees</v>
      </c>
      <c r="B94" s="565">
        <f>'Sources and Uses Budget'!C94</f>
        <v>35000</v>
      </c>
      <c r="C94" s="566">
        <f t="shared" si="0"/>
        <v>35000</v>
      </c>
      <c r="D94" s="566"/>
      <c r="E94" s="565">
        <f>'Sources and Uses Budget'!S94</f>
        <v>35000</v>
      </c>
      <c r="F94" s="566">
        <f t="shared" si="1"/>
        <v>35000</v>
      </c>
      <c r="G94" s="566"/>
      <c r="H94" s="565">
        <f>'Sources and Uses Budget'!T94</f>
        <v>0</v>
      </c>
      <c r="I94" s="566"/>
      <c r="J94" s="566"/>
      <c r="K94" s="563"/>
    </row>
    <row r="95" spans="1:11" s="564" customFormat="1">
      <c r="A95" s="571" t="str">
        <f>'Sources and Uses Budget'!$A95</f>
        <v>Other: (Final Cost Audit Expense</v>
      </c>
      <c r="B95" s="565">
        <f>'Sources and Uses Budget'!C95</f>
        <v>14983</v>
      </c>
      <c r="C95" s="566">
        <f t="shared" si="0"/>
        <v>14983</v>
      </c>
      <c r="D95" s="566"/>
      <c r="E95" s="565">
        <f>'Sources and Uses Budget'!S95</f>
        <v>14983</v>
      </c>
      <c r="F95" s="566">
        <f t="shared" si="1"/>
        <v>14983</v>
      </c>
      <c r="G95" s="566"/>
      <c r="H95" s="565">
        <f>'Sources and Uses Budget'!T95</f>
        <v>0</v>
      </c>
      <c r="I95" s="566"/>
      <c r="J95" s="566"/>
      <c r="K95" s="563"/>
    </row>
    <row r="96" spans="1:11" s="564" customFormat="1">
      <c r="A96" s="569" t="s">
        <v>831</v>
      </c>
      <c r="B96" s="565">
        <f>'Sources and Uses Budget'!C96</f>
        <v>6731906</v>
      </c>
      <c r="C96" s="565">
        <f>SUM(C83:C95)</f>
        <v>6731906</v>
      </c>
      <c r="D96" s="565">
        <f>SUM(D83:D95)</f>
        <v>0</v>
      </c>
      <c r="E96" s="565">
        <f>'Sources and Uses Budget'!S96</f>
        <v>6598995</v>
      </c>
      <c r="F96" s="572">
        <f>SUM(F84:F87,F89:F95)</f>
        <v>6598995</v>
      </c>
      <c r="G96" s="572">
        <f>SUM(G84:G87,G89:G95)</f>
        <v>0</v>
      </c>
      <c r="H96" s="565">
        <f>'Sources and Uses Budget'!T96</f>
        <v>0</v>
      </c>
      <c r="I96" s="565">
        <f>SUM(I84:I87,I89:I95)</f>
        <v>0</v>
      </c>
      <c r="J96" s="565">
        <f>SUM(J84:J87,J89:J95)</f>
        <v>0</v>
      </c>
      <c r="K96" s="563"/>
    </row>
    <row r="97" spans="1:11" s="564" customFormat="1">
      <c r="A97" s="569" t="s">
        <v>1141</v>
      </c>
      <c r="B97" s="565">
        <f>'Sources and Uses Budget'!C97</f>
        <v>71064823</v>
      </c>
      <c r="C97" s="565">
        <f>SUM(C63+C70+C77+C81+C96)</f>
        <v>71064823</v>
      </c>
      <c r="D97" s="565">
        <f>SUM(D63+D70+D77+D81+D96)</f>
        <v>0</v>
      </c>
      <c r="E97" s="565">
        <f>'Sources and Uses Budget'!S97</f>
        <v>64182003</v>
      </c>
      <c r="F97" s="572">
        <f>SUM(+F63+F70+F81+F96)</f>
        <v>64182003</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9627300</v>
      </c>
      <c r="C99" s="566">
        <f>B99</f>
        <v>9627300</v>
      </c>
      <c r="D99" s="566"/>
      <c r="E99" s="565">
        <f>'Sources and Uses Budget'!S99</f>
        <v>9627300</v>
      </c>
      <c r="F99" s="566">
        <f>E99</f>
        <v>9627300</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9627300</v>
      </c>
      <c r="C104" s="565">
        <f>SUM(C99:C103)</f>
        <v>9627300</v>
      </c>
      <c r="D104" s="565">
        <f>SUM(D99:D103)</f>
        <v>0</v>
      </c>
      <c r="E104" s="565">
        <f>'Sources and Uses Budget'!S104</f>
        <v>9627300</v>
      </c>
      <c r="F104" s="572">
        <f>SUM(F99:F103)</f>
        <v>9627300</v>
      </c>
      <c r="G104" s="572">
        <f>SUM(G99:G103)</f>
        <v>0</v>
      </c>
      <c r="H104" s="565">
        <f>'Sources and Uses Budget'!T104</f>
        <v>0</v>
      </c>
      <c r="I104" s="572">
        <f>SUM(I99:I103)</f>
        <v>0</v>
      </c>
      <c r="J104" s="572">
        <f>SUM(J99:J103)</f>
        <v>0</v>
      </c>
      <c r="K104" s="563"/>
    </row>
    <row r="105" spans="1:11" s="564" customFormat="1">
      <c r="A105" s="569" t="s">
        <v>1142</v>
      </c>
      <c r="B105" s="565">
        <f>'Sources and Uses Budget'!C105</f>
        <v>80692123</v>
      </c>
      <c r="C105" s="572">
        <f>SUM(C97+C104)</f>
        <v>80692123</v>
      </c>
      <c r="D105" s="572">
        <f>SUM(D97+D104)</f>
        <v>0</v>
      </c>
      <c r="E105" s="565">
        <f>'Sources and Uses Budget'!S105</f>
        <v>73809303</v>
      </c>
      <c r="F105" s="572">
        <f>F97+F104</f>
        <v>73809303</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73809303</v>
      </c>
      <c r="F107" s="581">
        <f>F105+F106</f>
        <v>73809303</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8"/>
      <c r="E124" s="2589"/>
      <c r="F124" s="2589"/>
      <c r="G124" s="2589"/>
      <c r="H124" s="2589"/>
      <c r="I124" s="2589"/>
      <c r="J124" s="583"/>
      <c r="K124" s="563"/>
    </row>
    <row r="125" spans="1:11" s="564" customFormat="1" ht="12.75">
      <c r="A125" s="594"/>
      <c r="B125" s="593"/>
      <c r="C125" s="594"/>
      <c r="D125" s="2589"/>
      <c r="E125" s="2589"/>
      <c r="F125" s="2589"/>
      <c r="G125" s="2589"/>
      <c r="H125" s="2589"/>
      <c r="I125" s="2589"/>
      <c r="J125" s="583"/>
      <c r="K125" s="563"/>
    </row>
    <row r="126" spans="1:11" s="564" customFormat="1" ht="12.75">
      <c r="A126" s="594"/>
      <c r="B126" s="593"/>
      <c r="C126" s="594"/>
      <c r="D126" s="2589"/>
      <c r="E126" s="2589"/>
      <c r="F126" s="2589"/>
      <c r="G126" s="2589"/>
      <c r="H126" s="2589"/>
      <c r="I126" s="2589"/>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0"/>
      <c r="B139" s="2591"/>
      <c r="C139" s="2591"/>
      <c r="D139" s="606"/>
      <c r="E139" s="594"/>
      <c r="F139" s="594"/>
      <c r="G139" s="594"/>
    </row>
    <row r="140" spans="1:11" ht="12" customHeight="1">
      <c r="A140" s="2592"/>
      <c r="B140" s="2593"/>
      <c r="C140" s="2593"/>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sqref="A1:BE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597" t="s">
        <v>2032</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598"/>
      <c r="AW1" s="2598"/>
      <c r="AX1" s="2598"/>
      <c r="AY1" s="2598"/>
      <c r="AZ1" s="2598"/>
      <c r="BA1" s="2598"/>
      <c r="BB1" s="2598"/>
      <c r="BC1" s="2598"/>
      <c r="BD1" s="2598"/>
      <c r="BE1" s="2599"/>
    </row>
    <row r="2" spans="1:58" ht="15.75" customHeight="1">
      <c r="A2" s="2600" t="s">
        <v>2033</v>
      </c>
      <c r="B2" s="2601"/>
      <c r="C2" s="2601"/>
      <c r="D2" s="2601"/>
      <c r="E2" s="2601"/>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01"/>
      <c r="AZ2" s="2601"/>
      <c r="BA2" s="2601"/>
      <c r="BB2" s="2601"/>
      <c r="BC2" s="2601"/>
      <c r="BD2" s="2601"/>
      <c r="BE2" s="260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03" t="str">
        <f>IF(Application!H18="","",Application!H18)</f>
        <v>Shiloh Terrace</v>
      </c>
      <c r="M4" s="2604"/>
      <c r="N4" s="2604"/>
      <c r="O4" s="2604"/>
      <c r="P4" s="2604"/>
      <c r="Q4" s="2604"/>
      <c r="R4" s="2604"/>
      <c r="S4" s="2604"/>
      <c r="T4" s="2604"/>
      <c r="U4" s="2604"/>
      <c r="V4" s="2604"/>
      <c r="W4" s="2604"/>
      <c r="X4" s="2604"/>
      <c r="Y4" s="2604"/>
      <c r="Z4" s="2604"/>
      <c r="AA4" s="2604"/>
      <c r="AB4" s="2604"/>
      <c r="AC4" s="2605"/>
      <c r="AD4" s="1529"/>
      <c r="AE4" s="1529"/>
      <c r="AF4" s="2606" t="s">
        <v>2034</v>
      </c>
      <c r="AG4" s="2607"/>
      <c r="AH4" s="2607"/>
      <c r="AI4" s="2607"/>
      <c r="AJ4" s="2607"/>
      <c r="AK4" s="2607"/>
      <c r="AL4" s="2607"/>
      <c r="AM4" s="2607"/>
      <c r="AN4" s="2607"/>
      <c r="AO4" s="2607"/>
      <c r="AP4" s="2608">
        <v>44392</v>
      </c>
      <c r="AQ4" s="2609"/>
      <c r="AR4" s="2609"/>
      <c r="AS4" s="2609"/>
      <c r="AT4" s="2609"/>
      <c r="AU4" s="261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1" t="s">
        <v>2035</v>
      </c>
      <c r="AG5" s="2612"/>
      <c r="AH5" s="2612"/>
      <c r="AI5" s="2612"/>
      <c r="AJ5" s="2612"/>
      <c r="AK5" s="2612"/>
      <c r="AL5" s="2612"/>
      <c r="AM5" s="2612"/>
      <c r="AN5" s="2612"/>
      <c r="AO5" s="2612"/>
      <c r="AP5" s="2608">
        <v>44392</v>
      </c>
      <c r="AQ5" s="2609"/>
      <c r="AR5" s="2609"/>
      <c r="AS5" s="2609"/>
      <c r="AT5" s="2609"/>
      <c r="AU5" s="2610"/>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27" t="str">
        <f>IF(Application!H16="","",Application!H16)</f>
        <v>Central Valley Coalition for Affordable Housing</v>
      </c>
      <c r="M6" s="2628"/>
      <c r="N6" s="2628"/>
      <c r="O6" s="2628"/>
      <c r="P6" s="2628"/>
      <c r="Q6" s="2628"/>
      <c r="R6" s="2628"/>
      <c r="S6" s="2628"/>
      <c r="T6" s="2628"/>
      <c r="U6" s="2628"/>
      <c r="V6" s="2628"/>
      <c r="W6" s="2628"/>
      <c r="X6" s="2628"/>
      <c r="Y6" s="2628"/>
      <c r="Z6" s="2628"/>
      <c r="AA6" s="2628"/>
      <c r="AB6" s="2628"/>
      <c r="AC6" s="262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0" t="str">
        <f>Application!T196</f>
        <v>No</v>
      </c>
      <c r="AC8" s="2631"/>
      <c r="AD8" s="263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633" t="e">
        <f>VLOOKUP("CalHFA Permanent Loan",Application!C564:AS575,37,TRUE)</f>
        <v>#N/A</v>
      </c>
      <c r="O10" s="2634"/>
      <c r="P10" s="2634"/>
      <c r="Q10" s="2634"/>
      <c r="R10" s="2634"/>
      <c r="S10" s="2634"/>
      <c r="T10" s="2635"/>
      <c r="U10" s="1529"/>
      <c r="V10" s="1529"/>
      <c r="W10" s="1529"/>
      <c r="X10" s="2613" t="s">
        <v>2039</v>
      </c>
      <c r="Y10" s="2614"/>
      <c r="Z10" s="2614"/>
      <c r="AA10" s="2614"/>
      <c r="AB10" s="2614"/>
      <c r="AC10" s="2614"/>
      <c r="AD10" s="2614"/>
      <c r="AE10" s="2614"/>
      <c r="AF10" s="2614"/>
      <c r="AG10" s="2614"/>
      <c r="AH10" s="2614"/>
      <c r="AI10" s="2614"/>
      <c r="AJ10" s="2614"/>
      <c r="AK10" s="2615"/>
      <c r="AL10" s="2619">
        <f>Application!W471</f>
        <v>14</v>
      </c>
      <c r="AM10" s="2620"/>
      <c r="AN10" s="2620"/>
      <c r="AO10" s="2620"/>
      <c r="AP10" s="2621"/>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636">
        <f>Application!AA925</f>
        <v>3900000</v>
      </c>
      <c r="O11" s="2637"/>
      <c r="P11" s="2637"/>
      <c r="Q11" s="2637"/>
      <c r="R11" s="2637"/>
      <c r="S11" s="2637"/>
      <c r="T11" s="2638"/>
      <c r="U11" s="1529"/>
      <c r="V11" s="1529"/>
      <c r="W11" s="1529"/>
      <c r="X11" s="2639" t="s">
        <v>2041</v>
      </c>
      <c r="Y11" s="2640"/>
      <c r="Z11" s="2640"/>
      <c r="AA11" s="2640"/>
      <c r="AB11" s="2640"/>
      <c r="AC11" s="2640"/>
      <c r="AD11" s="2640"/>
      <c r="AE11" s="2640"/>
      <c r="AF11" s="2640"/>
      <c r="AG11" s="2640"/>
      <c r="AH11" s="2640"/>
      <c r="AI11" s="2640"/>
      <c r="AJ11" s="2640"/>
      <c r="AK11" s="2641"/>
      <c r="AL11" s="2616">
        <v>44270</v>
      </c>
      <c r="AM11" s="2617"/>
      <c r="AN11" s="2617"/>
      <c r="AO11" s="2617"/>
      <c r="AP11" s="2618"/>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3" t="s">
        <v>2042</v>
      </c>
      <c r="Y12" s="2614"/>
      <c r="Z12" s="2614"/>
      <c r="AA12" s="2614"/>
      <c r="AB12" s="2614"/>
      <c r="AC12" s="2614"/>
      <c r="AD12" s="2614"/>
      <c r="AE12" s="2614"/>
      <c r="AF12" s="2614"/>
      <c r="AG12" s="2614"/>
      <c r="AH12" s="2614"/>
      <c r="AI12" s="2614"/>
      <c r="AJ12" s="2614"/>
      <c r="AK12" s="2615"/>
      <c r="AL12" s="2616">
        <v>44341</v>
      </c>
      <c r="AM12" s="2617"/>
      <c r="AN12" s="2617"/>
      <c r="AO12" s="2617"/>
      <c r="AP12" s="2618"/>
      <c r="AQ12" s="1532"/>
      <c r="AR12" s="1532"/>
      <c r="AS12" s="1532"/>
      <c r="AT12" s="1532"/>
      <c r="AU12" s="1532"/>
      <c r="AV12" s="1529"/>
      <c r="AW12" s="1529"/>
      <c r="AX12" s="1529"/>
      <c r="AY12" s="1529"/>
      <c r="AZ12" s="1529"/>
      <c r="BA12" s="1529"/>
      <c r="BB12" s="1529"/>
      <c r="BC12" s="1529"/>
      <c r="BD12" s="1529"/>
      <c r="BE12" s="1535"/>
    </row>
    <row r="13" spans="1:58" thickBot="1">
      <c r="A13" s="1818"/>
      <c r="B13" s="2613" t="s">
        <v>2043</v>
      </c>
      <c r="C13" s="2614"/>
      <c r="D13" s="2614"/>
      <c r="E13" s="2614"/>
      <c r="F13" s="2614"/>
      <c r="G13" s="2614"/>
      <c r="H13" s="2614"/>
      <c r="I13" s="2614"/>
      <c r="J13" s="2614"/>
      <c r="K13" s="2614"/>
      <c r="L13" s="2614"/>
      <c r="M13" s="2614"/>
      <c r="N13" s="2614"/>
      <c r="O13" s="2614"/>
      <c r="P13" s="2615"/>
      <c r="Q13" s="2622" t="s">
        <v>705</v>
      </c>
      <c r="R13" s="2609"/>
      <c r="S13" s="2609"/>
      <c r="T13" s="261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3" t="s">
        <v>2044</v>
      </c>
      <c r="C15" s="2623"/>
      <c r="D15" s="2623"/>
      <c r="E15" s="2623"/>
      <c r="F15" s="2623"/>
      <c r="G15" s="2623"/>
      <c r="H15" s="2623"/>
      <c r="I15" s="2623"/>
      <c r="J15" s="2623"/>
      <c r="K15" s="2623"/>
      <c r="L15" s="2624"/>
      <c r="M15" s="2606" t="s">
        <v>2045</v>
      </c>
      <c r="N15" s="2607"/>
      <c r="O15" s="2607"/>
      <c r="P15" s="2607"/>
      <c r="Q15" s="2607"/>
      <c r="R15" s="2607"/>
      <c r="S15" s="2625" t="str">
        <f>IF(Application!AB214="","",Application!AB214)</f>
        <v/>
      </c>
      <c r="T15" s="2625"/>
      <c r="U15" s="2625"/>
      <c r="V15" s="2625"/>
      <c r="W15" s="262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42" t="s">
        <v>2046</v>
      </c>
      <c r="C17" s="2643"/>
      <c r="D17" s="2643"/>
      <c r="E17" s="2643"/>
      <c r="F17" s="2643"/>
      <c r="G17" s="2643"/>
      <c r="H17" s="2643"/>
      <c r="I17" s="2643"/>
      <c r="J17" s="2643"/>
      <c r="K17" s="2643"/>
      <c r="L17" s="2643"/>
      <c r="M17" s="2643"/>
      <c r="N17" s="2643"/>
      <c r="O17" s="2643"/>
      <c r="P17" s="2643"/>
      <c r="Q17" s="2643"/>
      <c r="R17" s="2643"/>
      <c r="S17" s="2643"/>
      <c r="T17" s="2643"/>
      <c r="U17" s="2643"/>
      <c r="V17" s="2643"/>
      <c r="W17" s="2643"/>
      <c r="X17" s="2643"/>
      <c r="Y17" s="2643"/>
      <c r="Z17" s="2643"/>
      <c r="AA17" s="2643"/>
      <c r="AB17" s="2643"/>
      <c r="AC17" s="2643"/>
      <c r="AD17" s="2643"/>
      <c r="AE17" s="2643"/>
      <c r="AF17" s="2643"/>
      <c r="AG17" s="2643"/>
      <c r="AH17" s="2643"/>
      <c r="AI17" s="2643"/>
      <c r="AJ17" s="2643"/>
      <c r="AK17" s="2643"/>
      <c r="AL17" s="2643"/>
      <c r="AM17" s="2643"/>
      <c r="AN17" s="2643"/>
      <c r="AO17" s="2643"/>
      <c r="AP17" s="2643"/>
      <c r="AQ17" s="2643"/>
      <c r="AR17" s="2643"/>
      <c r="AS17" s="2643"/>
      <c r="AT17" s="2643"/>
      <c r="AU17" s="2643"/>
      <c r="AV17" s="2643"/>
      <c r="AW17" s="2643"/>
      <c r="AX17" s="2643"/>
      <c r="AY17" s="2644"/>
      <c r="AZ17" s="1529"/>
      <c r="BA17" s="1529"/>
      <c r="BB17" s="1529"/>
      <c r="BC17" s="1529"/>
      <c r="BD17" s="1529"/>
      <c r="BE17" s="1535"/>
      <c r="BF17" s="1527"/>
    </row>
    <row r="18" spans="1:58" ht="15.75" customHeight="1">
      <c r="A18" s="1818"/>
      <c r="B18" s="2645" t="s">
        <v>2047</v>
      </c>
      <c r="C18" s="2646"/>
      <c r="D18" s="2646"/>
      <c r="E18" s="2646"/>
      <c r="F18" s="2646"/>
      <c r="G18" s="2646"/>
      <c r="H18" s="2646"/>
      <c r="I18" s="2647"/>
      <c r="J18" s="2648" t="s">
        <v>1880</v>
      </c>
      <c r="K18" s="2649"/>
      <c r="L18" s="2649"/>
      <c r="M18" s="2649"/>
      <c r="N18" s="2649"/>
      <c r="O18" s="2650"/>
      <c r="P18" s="2648" t="s">
        <v>333</v>
      </c>
      <c r="Q18" s="2649"/>
      <c r="R18" s="2649"/>
      <c r="S18" s="2649"/>
      <c r="T18" s="2649"/>
      <c r="U18" s="2650"/>
      <c r="V18" s="2648" t="s">
        <v>334</v>
      </c>
      <c r="W18" s="2649"/>
      <c r="X18" s="2649"/>
      <c r="Y18" s="2649"/>
      <c r="Z18" s="2649"/>
      <c r="AA18" s="2650"/>
      <c r="AB18" s="2648" t="s">
        <v>168</v>
      </c>
      <c r="AC18" s="2649"/>
      <c r="AD18" s="2649"/>
      <c r="AE18" s="2649"/>
      <c r="AF18" s="2649"/>
      <c r="AG18" s="2650"/>
      <c r="AH18" s="2648" t="s">
        <v>169</v>
      </c>
      <c r="AI18" s="2649"/>
      <c r="AJ18" s="2649"/>
      <c r="AK18" s="2649"/>
      <c r="AL18" s="2649"/>
      <c r="AM18" s="2650"/>
      <c r="AN18" s="2648" t="s">
        <v>170</v>
      </c>
      <c r="AO18" s="2649"/>
      <c r="AP18" s="2649"/>
      <c r="AQ18" s="2649"/>
      <c r="AR18" s="2649"/>
      <c r="AS18" s="2650"/>
      <c r="AT18" s="2648" t="s">
        <v>2048</v>
      </c>
      <c r="AU18" s="2649"/>
      <c r="AV18" s="2649"/>
      <c r="AW18" s="2649"/>
      <c r="AX18" s="2649"/>
      <c r="AY18" s="2651"/>
      <c r="AZ18" s="1529"/>
      <c r="BA18" s="1529"/>
      <c r="BB18" s="1529"/>
      <c r="BC18" s="1529"/>
      <c r="BD18" s="1529"/>
      <c r="BE18" s="1535"/>
    </row>
    <row r="19" spans="1:58" ht="15">
      <c r="A19" s="1818"/>
      <c r="B19" s="2658">
        <v>0.2</v>
      </c>
      <c r="C19" s="2659"/>
      <c r="D19" s="2659"/>
      <c r="E19" s="2659"/>
      <c r="F19" s="2659"/>
      <c r="G19" s="2659"/>
      <c r="H19" s="2659"/>
      <c r="I19" s="2659"/>
      <c r="J19" s="2648">
        <f>SUM(P19:AS19)</f>
        <v>0</v>
      </c>
      <c r="K19" s="2649"/>
      <c r="L19" s="2649"/>
      <c r="M19" s="2649"/>
      <c r="N19" s="2649"/>
      <c r="O19" s="2650"/>
      <c r="P19" s="2652" cm="1">
        <f t="array" ref="P19">SUMPRODUCT((Application!$B$728:$B$752 = 'CalHFA Addendum'!P$18)*(Application!$AH$728:$AH$752 = 'CalHFA Addendum'!$B19),Application!$G$728:$G$752)</f>
        <v>0</v>
      </c>
      <c r="Q19" s="2653"/>
      <c r="R19" s="2653"/>
      <c r="S19" s="2653"/>
      <c r="T19" s="2653"/>
      <c r="U19" s="2654"/>
      <c r="V19" s="2652" cm="1">
        <f t="array" ref="V19">SUMPRODUCT((Application!$B$728:$B$752 = 'CalHFA Addendum'!V$18)*(Application!$AH$728:$AH$752 = 'CalHFA Addendum'!$B19),Application!$G$728:$G$752)</f>
        <v>0</v>
      </c>
      <c r="W19" s="2653"/>
      <c r="X19" s="2653"/>
      <c r="Y19" s="2653"/>
      <c r="Z19" s="2653"/>
      <c r="AA19" s="2654"/>
      <c r="AB19" s="2652" cm="1">
        <f t="array" ref="AB19">SUMPRODUCT((Application!$B$728:$B$752 = 'CalHFA Addendum'!AB$18)*(Application!$AH$728:$AH$752 = 'CalHFA Addendum'!$B19),Application!$G$728:$G$752)</f>
        <v>0</v>
      </c>
      <c r="AC19" s="2653"/>
      <c r="AD19" s="2653"/>
      <c r="AE19" s="2653"/>
      <c r="AF19" s="2653"/>
      <c r="AG19" s="2654"/>
      <c r="AH19" s="2652" cm="1">
        <f t="array" ref="AH19">SUMPRODUCT((Application!$B$728:$B$752 = 'CalHFA Addendum'!AH$18)*(Application!$AH$728:$AH$752 = 'CalHFA Addendum'!$B19),Application!$G$728:$G$752)</f>
        <v>0</v>
      </c>
      <c r="AI19" s="2653"/>
      <c r="AJ19" s="2653"/>
      <c r="AK19" s="2653"/>
      <c r="AL19" s="2653"/>
      <c r="AM19" s="2654"/>
      <c r="AN19" s="2652" cm="1">
        <f t="array" ref="AN19">SUMPRODUCT((Application!$B$728:$B$752 = 'CalHFA Addendum'!AN$18)*(Application!$AH$728:$AH$752 = 'CalHFA Addendum'!$B19),Application!$G$728:$G$752)</f>
        <v>0</v>
      </c>
      <c r="AO19" s="2653"/>
      <c r="AP19" s="2653"/>
      <c r="AQ19" s="2653"/>
      <c r="AR19" s="2653"/>
      <c r="AS19" s="2654"/>
      <c r="AT19" s="2655">
        <f t="shared" ref="AT19:AT27" si="0">J19/$J$29</f>
        <v>0</v>
      </c>
      <c r="AU19" s="2656"/>
      <c r="AV19" s="2656"/>
      <c r="AW19" s="2656"/>
      <c r="AX19" s="2656"/>
      <c r="AY19" s="2657"/>
      <c r="AZ19" s="1536"/>
      <c r="BA19" s="1529"/>
      <c r="BB19" s="1529"/>
      <c r="BC19" s="1529"/>
      <c r="BD19" s="1529"/>
      <c r="BE19" s="1535"/>
    </row>
    <row r="20" spans="1:58" ht="15" customHeight="1">
      <c r="A20" s="1818"/>
      <c r="B20" s="2658">
        <v>0.3</v>
      </c>
      <c r="C20" s="2659"/>
      <c r="D20" s="2659"/>
      <c r="E20" s="2659"/>
      <c r="F20" s="2659"/>
      <c r="G20" s="2659"/>
      <c r="H20" s="2659"/>
      <c r="I20" s="2659"/>
      <c r="J20" s="2648">
        <f t="shared" ref="J20:J27" si="1">SUM(P20:AS20)</f>
        <v>14</v>
      </c>
      <c r="K20" s="2649"/>
      <c r="L20" s="2649"/>
      <c r="M20" s="2649"/>
      <c r="N20" s="2649"/>
      <c r="O20" s="2650"/>
      <c r="P20" s="2652" cm="1">
        <f t="array" ref="P20">SUMPRODUCT((Application!$B$728:$B$752 = 'CalHFA Addendum'!P$18)*(Application!$AH$728:$AH$752 = 'CalHFA Addendum'!$B20),Application!$G$728:$G$752)</f>
        <v>0</v>
      </c>
      <c r="Q20" s="2653"/>
      <c r="R20" s="2653"/>
      <c r="S20" s="2653"/>
      <c r="T20" s="2653"/>
      <c r="U20" s="2654"/>
      <c r="V20" s="2652" cm="1">
        <f t="array" ref="V20">SUMPRODUCT((Application!$B$728:$B$752 = 'CalHFA Addendum'!V$18)*(Application!$AH$728:$AH$752 = 'CalHFA Addendum'!$B20),Application!$G$728:$G$752)</f>
        <v>0</v>
      </c>
      <c r="W20" s="2653"/>
      <c r="X20" s="2653"/>
      <c r="Y20" s="2653"/>
      <c r="Z20" s="2653"/>
      <c r="AA20" s="2654"/>
      <c r="AB20" s="2652" cm="1">
        <f t="array" ref="AB20">SUMPRODUCT((Application!$B$728:$B$752 = 'CalHFA Addendum'!AB$18)*(Application!$AH$728:$AH$752 = 'CalHFA Addendum'!$B20),Application!$G$728:$G$752)</f>
        <v>1</v>
      </c>
      <c r="AC20" s="2653"/>
      <c r="AD20" s="2653"/>
      <c r="AE20" s="2653"/>
      <c r="AF20" s="2653"/>
      <c r="AG20" s="2654"/>
      <c r="AH20" s="2652" cm="1">
        <f t="array" ref="AH20">SUMPRODUCT((Application!$B$728:$B$752 = 'CalHFA Addendum'!AH$18)*(Application!$AH$728:$AH$752 = 'CalHFA Addendum'!$B20),Application!$G$728:$G$752)</f>
        <v>13</v>
      </c>
      <c r="AI20" s="2653"/>
      <c r="AJ20" s="2653"/>
      <c r="AK20" s="2653"/>
      <c r="AL20" s="2653"/>
      <c r="AM20" s="2654"/>
      <c r="AN20" s="2652" cm="1">
        <f t="array" ref="AN20">SUMPRODUCT((Application!$B$728:$B$752 = 'CalHFA Addendum'!AN$18)*(Application!$AH$728:$AH$752 = 'CalHFA Addendum'!$B20),Application!$G$728:$G$752)</f>
        <v>0</v>
      </c>
      <c r="AO20" s="2653"/>
      <c r="AP20" s="2653"/>
      <c r="AQ20" s="2653"/>
      <c r="AR20" s="2653"/>
      <c r="AS20" s="2654"/>
      <c r="AT20" s="2655">
        <f t="shared" si="0"/>
        <v>0.1044776119402985</v>
      </c>
      <c r="AU20" s="2656"/>
      <c r="AV20" s="2656"/>
      <c r="AW20" s="2656"/>
      <c r="AX20" s="2656"/>
      <c r="AY20" s="2657"/>
      <c r="AZ20" s="1529"/>
      <c r="BA20" s="1529"/>
      <c r="BB20" s="1529"/>
      <c r="BC20" s="1529"/>
      <c r="BD20" s="1529"/>
      <c r="BE20" s="1535"/>
    </row>
    <row r="21" spans="1:58" ht="15">
      <c r="A21" s="1818"/>
      <c r="B21" s="2658">
        <v>0.4</v>
      </c>
      <c r="C21" s="2659"/>
      <c r="D21" s="2659"/>
      <c r="E21" s="2659"/>
      <c r="F21" s="2659"/>
      <c r="G21" s="2659"/>
      <c r="H21" s="2659"/>
      <c r="I21" s="2659"/>
      <c r="J21" s="2648">
        <f t="shared" si="1"/>
        <v>0</v>
      </c>
      <c r="K21" s="2649"/>
      <c r="L21" s="2649"/>
      <c r="M21" s="2649"/>
      <c r="N21" s="2649"/>
      <c r="O21" s="2650"/>
      <c r="P21" s="2652" cm="1">
        <f t="array" ref="P21">SUMPRODUCT((Application!$B$728:$B$752 = 'CalHFA Addendum'!P$18)*(Application!$AH$728:$AH$752 = 'CalHFA Addendum'!$B21),Application!$G$728:$G$752)</f>
        <v>0</v>
      </c>
      <c r="Q21" s="2653"/>
      <c r="R21" s="2653"/>
      <c r="S21" s="2653"/>
      <c r="T21" s="2653"/>
      <c r="U21" s="2654"/>
      <c r="V21" s="2652" cm="1">
        <f t="array" ref="V21">SUMPRODUCT((Application!$B$728:$B$752 = 'CalHFA Addendum'!V$18)*(Application!$AH$728:$AH$752 = 'CalHFA Addendum'!$B21),Application!$G$728:$G$752)</f>
        <v>0</v>
      </c>
      <c r="W21" s="2653"/>
      <c r="X21" s="2653"/>
      <c r="Y21" s="2653"/>
      <c r="Z21" s="2653"/>
      <c r="AA21" s="2654"/>
      <c r="AB21" s="2652" cm="1">
        <f t="array" ref="AB21">SUMPRODUCT((Application!$B$728:$B$752 = 'CalHFA Addendum'!AB$18)*(Application!$AH$728:$AH$752 = 'CalHFA Addendum'!$B21),Application!$G$728:$G$752)</f>
        <v>0</v>
      </c>
      <c r="AC21" s="2653"/>
      <c r="AD21" s="2653"/>
      <c r="AE21" s="2653"/>
      <c r="AF21" s="2653"/>
      <c r="AG21" s="2654"/>
      <c r="AH21" s="2652" cm="1">
        <f t="array" ref="AH21">SUMPRODUCT((Application!$B$728:$B$752 = 'CalHFA Addendum'!AH$18)*(Application!$AH$728:$AH$752 = 'CalHFA Addendum'!$B21),Application!$G$728:$G$752)</f>
        <v>0</v>
      </c>
      <c r="AI21" s="2653"/>
      <c r="AJ21" s="2653"/>
      <c r="AK21" s="2653"/>
      <c r="AL21" s="2653"/>
      <c r="AM21" s="2654"/>
      <c r="AN21" s="2652" cm="1">
        <f t="array" ref="AN21">SUMPRODUCT((Application!$B$728:$B$752 = 'CalHFA Addendum'!AN$18)*(Application!$AH$728:$AH$752 = 'CalHFA Addendum'!$B21),Application!$G$728:$G$752)</f>
        <v>0</v>
      </c>
      <c r="AO21" s="2653"/>
      <c r="AP21" s="2653"/>
      <c r="AQ21" s="2653"/>
      <c r="AR21" s="2653"/>
      <c r="AS21" s="2654"/>
      <c r="AT21" s="2655">
        <f t="shared" si="0"/>
        <v>0</v>
      </c>
      <c r="AU21" s="2656"/>
      <c r="AV21" s="2656"/>
      <c r="AW21" s="2656"/>
      <c r="AX21" s="2656"/>
      <c r="AY21" s="2657"/>
      <c r="AZ21" s="1529"/>
      <c r="BA21" s="1529"/>
      <c r="BB21" s="1529"/>
      <c r="BC21" s="1529"/>
      <c r="BD21" s="1529"/>
      <c r="BE21" s="1535"/>
    </row>
    <row r="22" spans="1:58" ht="15">
      <c r="A22" s="1818"/>
      <c r="B22" s="2658">
        <v>0.5</v>
      </c>
      <c r="C22" s="2659"/>
      <c r="D22" s="2659"/>
      <c r="E22" s="2659"/>
      <c r="F22" s="2659"/>
      <c r="G22" s="2659"/>
      <c r="H22" s="2659"/>
      <c r="I22" s="2659"/>
      <c r="J22" s="2648">
        <f t="shared" si="1"/>
        <v>14</v>
      </c>
      <c r="K22" s="2649"/>
      <c r="L22" s="2649"/>
      <c r="M22" s="2649"/>
      <c r="N22" s="2649"/>
      <c r="O22" s="2650"/>
      <c r="P22" s="2652" cm="1">
        <f t="array" ref="P22">SUMPRODUCT((Application!$B$728:$B$752 = 'CalHFA Addendum'!P$18)*(Application!$AH$728:$AH$752 = 'CalHFA Addendum'!$B22),Application!$G$728:$G$752)</f>
        <v>0</v>
      </c>
      <c r="Q22" s="2653"/>
      <c r="R22" s="2653"/>
      <c r="S22" s="2653"/>
      <c r="T22" s="2653"/>
      <c r="U22" s="2654"/>
      <c r="V22" s="2652" cm="1">
        <f t="array" ref="V22">SUMPRODUCT((Application!$B$728:$B$752 = 'CalHFA Addendum'!V$18)*(Application!$AH$728:$AH$752 = 'CalHFA Addendum'!$B22),Application!$G$728:$G$752)</f>
        <v>0</v>
      </c>
      <c r="W22" s="2653"/>
      <c r="X22" s="2653"/>
      <c r="Y22" s="2653"/>
      <c r="Z22" s="2653"/>
      <c r="AA22" s="2654"/>
      <c r="AB22" s="2652" cm="1">
        <f t="array" ref="AB22">SUMPRODUCT((Application!$B$728:$B$752 = 'CalHFA Addendum'!AB$18)*(Application!$AH$728:$AH$752 = 'CalHFA Addendum'!$B22),Application!$G$728:$G$752)</f>
        <v>1</v>
      </c>
      <c r="AC22" s="2653"/>
      <c r="AD22" s="2653"/>
      <c r="AE22" s="2653"/>
      <c r="AF22" s="2653"/>
      <c r="AG22" s="2654"/>
      <c r="AH22" s="2652" cm="1">
        <f t="array" ref="AH22">SUMPRODUCT((Application!$B$728:$B$752 = 'CalHFA Addendum'!AH$18)*(Application!$AH$728:$AH$752 = 'CalHFA Addendum'!$B22),Application!$G$728:$G$752)</f>
        <v>13</v>
      </c>
      <c r="AI22" s="2653"/>
      <c r="AJ22" s="2653"/>
      <c r="AK22" s="2653"/>
      <c r="AL22" s="2653"/>
      <c r="AM22" s="2654"/>
      <c r="AN22" s="2652" cm="1">
        <f t="array" ref="AN22">SUMPRODUCT((Application!$B$728:$B$752 = 'CalHFA Addendum'!AN$18)*(Application!$AH$728:$AH$752 = 'CalHFA Addendum'!$B22),Application!$G$728:$G$752)</f>
        <v>0</v>
      </c>
      <c r="AO22" s="2653"/>
      <c r="AP22" s="2653"/>
      <c r="AQ22" s="2653"/>
      <c r="AR22" s="2653"/>
      <c r="AS22" s="2654"/>
      <c r="AT22" s="2655">
        <f t="shared" si="0"/>
        <v>0.1044776119402985</v>
      </c>
      <c r="AU22" s="2656"/>
      <c r="AV22" s="2656"/>
      <c r="AW22" s="2656"/>
      <c r="AX22" s="2656"/>
      <c r="AY22" s="2657"/>
      <c r="AZ22" s="1529"/>
      <c r="BA22" s="1529"/>
      <c r="BB22" s="1529"/>
      <c r="BC22" s="1529"/>
      <c r="BD22" s="1529"/>
      <c r="BE22" s="1535"/>
    </row>
    <row r="23" spans="1:58" ht="15">
      <c r="A23" s="1818"/>
      <c r="B23" s="2658">
        <v>0.6</v>
      </c>
      <c r="C23" s="2659"/>
      <c r="D23" s="2659"/>
      <c r="E23" s="2659"/>
      <c r="F23" s="2659"/>
      <c r="G23" s="2659"/>
      <c r="H23" s="2659"/>
      <c r="I23" s="2659"/>
      <c r="J23" s="2648">
        <f t="shared" si="1"/>
        <v>49</v>
      </c>
      <c r="K23" s="2649"/>
      <c r="L23" s="2649"/>
      <c r="M23" s="2649"/>
      <c r="N23" s="2649"/>
      <c r="O23" s="2650"/>
      <c r="P23" s="2652" cm="1">
        <f t="array" ref="P23">SUMPRODUCT((Application!$B$728:$B$752 = 'CalHFA Addendum'!P$18)*(Application!$AH$728:$AH$752 = 'CalHFA Addendum'!$B23),Application!$G$728:$G$752)</f>
        <v>0</v>
      </c>
      <c r="Q23" s="2653"/>
      <c r="R23" s="2653"/>
      <c r="S23" s="2653"/>
      <c r="T23" s="2653"/>
      <c r="U23" s="2654"/>
      <c r="V23" s="2652" cm="1">
        <f t="array" ref="V23">SUMPRODUCT((Application!$B$728:$B$752 = 'CalHFA Addendum'!V$18)*(Application!$AH$728:$AH$752 = 'CalHFA Addendum'!$B23),Application!$G$728:$G$752)</f>
        <v>0</v>
      </c>
      <c r="W23" s="2653"/>
      <c r="X23" s="2653"/>
      <c r="Y23" s="2653"/>
      <c r="Z23" s="2653"/>
      <c r="AA23" s="2654"/>
      <c r="AB23" s="2652" cm="1">
        <f t="array" ref="AB23">SUMPRODUCT((Application!$B$728:$B$752 = 'CalHFA Addendum'!AB$18)*(Application!$AH$728:$AH$752 = 'CalHFA Addendum'!$B23),Application!$G$728:$G$752)</f>
        <v>0</v>
      </c>
      <c r="AC23" s="2653"/>
      <c r="AD23" s="2653"/>
      <c r="AE23" s="2653"/>
      <c r="AF23" s="2653"/>
      <c r="AG23" s="2654"/>
      <c r="AH23" s="2652" cm="1">
        <f t="array" ref="AH23">SUMPRODUCT((Application!$B$728:$B$752 = 'CalHFA Addendum'!AH$18)*(Application!$AH$728:$AH$752 = 'CalHFA Addendum'!$B23),Application!$G$728:$G$752)</f>
        <v>49</v>
      </c>
      <c r="AI23" s="2653"/>
      <c r="AJ23" s="2653"/>
      <c r="AK23" s="2653"/>
      <c r="AL23" s="2653"/>
      <c r="AM23" s="2654"/>
      <c r="AN23" s="2652" cm="1">
        <f t="array" ref="AN23">SUMPRODUCT((Application!$B$728:$B$752 = 'CalHFA Addendum'!AN$18)*(Application!$AH$728:$AH$752 = 'CalHFA Addendum'!$B23),Application!$G$728:$G$752)</f>
        <v>0</v>
      </c>
      <c r="AO23" s="2653"/>
      <c r="AP23" s="2653"/>
      <c r="AQ23" s="2653"/>
      <c r="AR23" s="2653"/>
      <c r="AS23" s="2654"/>
      <c r="AT23" s="2655">
        <f t="shared" si="0"/>
        <v>0.36567164179104478</v>
      </c>
      <c r="AU23" s="2656"/>
      <c r="AV23" s="2656"/>
      <c r="AW23" s="2656"/>
      <c r="AX23" s="2656"/>
      <c r="AY23" s="2657"/>
      <c r="AZ23" s="1529"/>
      <c r="BA23" s="1529"/>
      <c r="BB23" s="1529"/>
      <c r="BC23" s="1529"/>
      <c r="BD23" s="1529"/>
      <c r="BE23" s="1535"/>
    </row>
    <row r="24" spans="1:58" ht="15">
      <c r="A24" s="1818"/>
      <c r="B24" s="2658">
        <v>0.7</v>
      </c>
      <c r="C24" s="2659"/>
      <c r="D24" s="2659"/>
      <c r="E24" s="2659"/>
      <c r="F24" s="2659"/>
      <c r="G24" s="2659"/>
      <c r="H24" s="2659"/>
      <c r="I24" s="2659"/>
      <c r="J24" s="2648">
        <f t="shared" si="1"/>
        <v>56</v>
      </c>
      <c r="K24" s="2649"/>
      <c r="L24" s="2649"/>
      <c r="M24" s="2649"/>
      <c r="N24" s="2649"/>
      <c r="O24" s="2650"/>
      <c r="P24" s="2652" cm="1">
        <f t="array" ref="P24">SUMPRODUCT((Application!$B$728:$B$752 = 'CalHFA Addendum'!P$18)*(Application!$AH$728:$AH$752 = 'CalHFA Addendum'!$B24),Application!$G$728:$G$752)</f>
        <v>0</v>
      </c>
      <c r="Q24" s="2653"/>
      <c r="R24" s="2653"/>
      <c r="S24" s="2653"/>
      <c r="T24" s="2653"/>
      <c r="U24" s="2654"/>
      <c r="V24" s="2652" cm="1">
        <f t="array" ref="V24">SUMPRODUCT((Application!$B$728:$B$752 = 'CalHFA Addendum'!V$18)*(Application!$AH$728:$AH$752 = 'CalHFA Addendum'!$B24),Application!$G$728:$G$752)</f>
        <v>0</v>
      </c>
      <c r="W24" s="2653"/>
      <c r="X24" s="2653"/>
      <c r="Y24" s="2653"/>
      <c r="Z24" s="2653"/>
      <c r="AA24" s="2654"/>
      <c r="AB24" s="2652" cm="1">
        <f t="array" ref="AB24">SUMPRODUCT((Application!$B$728:$B$752 = 'CalHFA Addendum'!AB$18)*(Application!$AH$728:$AH$752 = 'CalHFA Addendum'!$B24),Application!$G$728:$G$752)</f>
        <v>4</v>
      </c>
      <c r="AC24" s="2653"/>
      <c r="AD24" s="2653"/>
      <c r="AE24" s="2653"/>
      <c r="AF24" s="2653"/>
      <c r="AG24" s="2654"/>
      <c r="AH24" s="2652" cm="1">
        <f t="array" ref="AH24">SUMPRODUCT((Application!$B$728:$B$752 = 'CalHFA Addendum'!AH$18)*(Application!$AH$728:$AH$752 = 'CalHFA Addendum'!$B24),Application!$G$728:$G$752)</f>
        <v>52</v>
      </c>
      <c r="AI24" s="2653"/>
      <c r="AJ24" s="2653"/>
      <c r="AK24" s="2653"/>
      <c r="AL24" s="2653"/>
      <c r="AM24" s="2654"/>
      <c r="AN24" s="2652" cm="1">
        <f t="array" ref="AN24">SUMPRODUCT((Application!$B$728:$B$752 = 'CalHFA Addendum'!AN$18)*(Application!$AH$728:$AH$752 = 'CalHFA Addendum'!$B24),Application!$G$728:$G$752)</f>
        <v>0</v>
      </c>
      <c r="AO24" s="2653"/>
      <c r="AP24" s="2653"/>
      <c r="AQ24" s="2653"/>
      <c r="AR24" s="2653"/>
      <c r="AS24" s="2654"/>
      <c r="AT24" s="2655">
        <f t="shared" si="0"/>
        <v>0.41791044776119401</v>
      </c>
      <c r="AU24" s="2656"/>
      <c r="AV24" s="2656"/>
      <c r="AW24" s="2656"/>
      <c r="AX24" s="2656"/>
      <c r="AY24" s="2657"/>
      <c r="AZ24" s="1529"/>
      <c r="BA24" s="1529"/>
      <c r="BB24" s="1529"/>
      <c r="BC24" s="1529"/>
      <c r="BD24" s="1529"/>
      <c r="BE24" s="1535"/>
    </row>
    <row r="25" spans="1:58" ht="15">
      <c r="A25" s="1818"/>
      <c r="B25" s="2658">
        <v>0.8</v>
      </c>
      <c r="C25" s="2659"/>
      <c r="D25" s="2659"/>
      <c r="E25" s="2659"/>
      <c r="F25" s="2659"/>
      <c r="G25" s="2659"/>
      <c r="H25" s="2659"/>
      <c r="I25" s="2659"/>
      <c r="J25" s="2648">
        <f t="shared" si="1"/>
        <v>0</v>
      </c>
      <c r="K25" s="2649"/>
      <c r="L25" s="2649"/>
      <c r="M25" s="2649"/>
      <c r="N25" s="2649"/>
      <c r="O25" s="2650"/>
      <c r="P25" s="2652" cm="1">
        <f t="array" ref="P25">SUMPRODUCT((Application!$B$728:$B$752 = 'CalHFA Addendum'!P$18)*(Application!$AH$728:$AH$752 = 'CalHFA Addendum'!$B25),Application!$G$728:$G$752)</f>
        <v>0</v>
      </c>
      <c r="Q25" s="2653"/>
      <c r="R25" s="2653"/>
      <c r="S25" s="2653"/>
      <c r="T25" s="2653"/>
      <c r="U25" s="2654"/>
      <c r="V25" s="2652" cm="1">
        <f t="array" ref="V25">SUMPRODUCT((Application!$B$728:$B$752 = 'CalHFA Addendum'!V$18)*(Application!$AH$728:$AH$752 = 'CalHFA Addendum'!$B25),Application!$G$728:$G$752)</f>
        <v>0</v>
      </c>
      <c r="W25" s="2653"/>
      <c r="X25" s="2653"/>
      <c r="Y25" s="2653"/>
      <c r="Z25" s="2653"/>
      <c r="AA25" s="2654"/>
      <c r="AB25" s="2652" cm="1">
        <f t="array" ref="AB25">SUMPRODUCT((Application!$B$728:$B$752 = 'CalHFA Addendum'!AB$18)*(Application!$AH$728:$AH$752 = 'CalHFA Addendum'!$B25),Application!$G$728:$G$752)</f>
        <v>0</v>
      </c>
      <c r="AC25" s="2653"/>
      <c r="AD25" s="2653"/>
      <c r="AE25" s="2653"/>
      <c r="AF25" s="2653"/>
      <c r="AG25" s="2654"/>
      <c r="AH25" s="2652" cm="1">
        <f t="array" ref="AH25">SUMPRODUCT((Application!$B$728:$B$752 = 'CalHFA Addendum'!AH$18)*(Application!$AH$728:$AH$752 = 'CalHFA Addendum'!$B25),Application!$G$728:$G$752)</f>
        <v>0</v>
      </c>
      <c r="AI25" s="2653"/>
      <c r="AJ25" s="2653"/>
      <c r="AK25" s="2653"/>
      <c r="AL25" s="2653"/>
      <c r="AM25" s="2654"/>
      <c r="AN25" s="2652" cm="1">
        <f t="array" ref="AN25">SUMPRODUCT((Application!$B$728:$B$752 = 'CalHFA Addendum'!AN$18)*(Application!$AH$728:$AH$752 = 'CalHFA Addendum'!$B25),Application!$G$728:$G$752)</f>
        <v>0</v>
      </c>
      <c r="AO25" s="2653"/>
      <c r="AP25" s="2653"/>
      <c r="AQ25" s="2653"/>
      <c r="AR25" s="2653"/>
      <c r="AS25" s="2654"/>
      <c r="AT25" s="2655">
        <f t="shared" si="0"/>
        <v>0</v>
      </c>
      <c r="AU25" s="2656"/>
      <c r="AV25" s="2656"/>
      <c r="AW25" s="2656"/>
      <c r="AX25" s="2656"/>
      <c r="AY25" s="2657"/>
      <c r="AZ25" s="1529"/>
      <c r="BA25" s="1529"/>
      <c r="BB25" s="1529"/>
      <c r="BC25" s="1529"/>
      <c r="BD25" s="1529"/>
      <c r="BE25" s="1535"/>
    </row>
    <row r="26" spans="1:58" ht="15">
      <c r="A26" s="1818"/>
      <c r="B26" s="2658">
        <v>0.9</v>
      </c>
      <c r="C26" s="2659"/>
      <c r="D26" s="2659"/>
      <c r="E26" s="2659"/>
      <c r="F26" s="2659"/>
      <c r="G26" s="2659"/>
      <c r="H26" s="2659"/>
      <c r="I26" s="2659"/>
      <c r="J26" s="2648">
        <f t="shared" si="1"/>
        <v>0</v>
      </c>
      <c r="K26" s="2649"/>
      <c r="L26" s="2649"/>
      <c r="M26" s="2649"/>
      <c r="N26" s="2649"/>
      <c r="O26" s="2650"/>
      <c r="P26" s="2652" cm="1">
        <f t="array" ref="P26">SUMPRODUCT((Application!$B$728:$B$752 = 'CalHFA Addendum'!P$18)*(Application!$AH$728:$AH$752 = 'CalHFA Addendum'!$B26),Application!$G$728:$G$752)</f>
        <v>0</v>
      </c>
      <c r="Q26" s="2653"/>
      <c r="R26" s="2653"/>
      <c r="S26" s="2653"/>
      <c r="T26" s="2653"/>
      <c r="U26" s="2654"/>
      <c r="V26" s="2652" cm="1">
        <f t="array" ref="V26">SUMPRODUCT((Application!$B$728:$B$752 = 'CalHFA Addendum'!V$18)*(Application!$AH$728:$AH$752 = 'CalHFA Addendum'!$B26),Application!$G$728:$G$752)</f>
        <v>0</v>
      </c>
      <c r="W26" s="2653"/>
      <c r="X26" s="2653"/>
      <c r="Y26" s="2653"/>
      <c r="Z26" s="2653"/>
      <c r="AA26" s="2654"/>
      <c r="AB26" s="2652" cm="1">
        <f t="array" ref="AB26">SUMPRODUCT((Application!$B$728:$B$752 = 'CalHFA Addendum'!AB$18)*(Application!$AH$728:$AH$752 = 'CalHFA Addendum'!$B26),Application!$G$728:$G$752)</f>
        <v>0</v>
      </c>
      <c r="AC26" s="2653"/>
      <c r="AD26" s="2653"/>
      <c r="AE26" s="2653"/>
      <c r="AF26" s="2653"/>
      <c r="AG26" s="2654"/>
      <c r="AH26" s="2652" cm="1">
        <f t="array" ref="AH26">SUMPRODUCT((Application!$B$728:$B$752 = 'CalHFA Addendum'!AH$18)*(Application!$AH$728:$AH$752 = 'CalHFA Addendum'!$B26),Application!$G$728:$G$752)</f>
        <v>0</v>
      </c>
      <c r="AI26" s="2653"/>
      <c r="AJ26" s="2653"/>
      <c r="AK26" s="2653"/>
      <c r="AL26" s="2653"/>
      <c r="AM26" s="2654"/>
      <c r="AN26" s="2652" cm="1">
        <f t="array" ref="AN26">SUMPRODUCT((Application!$B$728:$B$752 = 'CalHFA Addendum'!AN$18)*(Application!$AH$728:$AH$752 = 'CalHFA Addendum'!$B26),Application!$G$728:$G$752)</f>
        <v>0</v>
      </c>
      <c r="AO26" s="2653"/>
      <c r="AP26" s="2653"/>
      <c r="AQ26" s="2653"/>
      <c r="AR26" s="2653"/>
      <c r="AS26" s="2654"/>
      <c r="AT26" s="2655">
        <f t="shared" si="0"/>
        <v>0</v>
      </c>
      <c r="AU26" s="2656"/>
      <c r="AV26" s="2656"/>
      <c r="AW26" s="2656"/>
      <c r="AX26" s="2656"/>
      <c r="AY26" s="2657"/>
      <c r="AZ26" s="1529"/>
      <c r="BA26" s="1529"/>
      <c r="BB26" s="1529"/>
      <c r="BC26" s="1529"/>
      <c r="BD26" s="1529"/>
      <c r="BE26" s="1535"/>
    </row>
    <row r="27" spans="1:58" ht="15">
      <c r="A27" s="1818"/>
      <c r="B27" s="2658">
        <v>1</v>
      </c>
      <c r="C27" s="2659"/>
      <c r="D27" s="2659"/>
      <c r="E27" s="2659"/>
      <c r="F27" s="2659"/>
      <c r="G27" s="2659"/>
      <c r="H27" s="2659"/>
      <c r="I27" s="2659"/>
      <c r="J27" s="2648">
        <f t="shared" si="1"/>
        <v>0</v>
      </c>
      <c r="K27" s="2649"/>
      <c r="L27" s="2649"/>
      <c r="M27" s="2649"/>
      <c r="N27" s="2649"/>
      <c r="O27" s="2650"/>
      <c r="P27" s="2652" cm="1">
        <f t="array" ref="P27">SUMPRODUCT((Application!$B$728:$B$752 = 'CalHFA Addendum'!P$18)*(Application!$AH$728:$AH$752 = 'CalHFA Addendum'!$B27),Application!$G$728:$G$752)</f>
        <v>0</v>
      </c>
      <c r="Q27" s="2653"/>
      <c r="R27" s="2653"/>
      <c r="S27" s="2653"/>
      <c r="T27" s="2653"/>
      <c r="U27" s="2654"/>
      <c r="V27" s="2652" cm="1">
        <f t="array" ref="V27">SUMPRODUCT((Application!$B$728:$B$752 = 'CalHFA Addendum'!V$18)*(Application!$AH$728:$AH$752 = 'CalHFA Addendum'!$B27),Application!$G$728:$G$752)</f>
        <v>0</v>
      </c>
      <c r="W27" s="2653"/>
      <c r="X27" s="2653"/>
      <c r="Y27" s="2653"/>
      <c r="Z27" s="2653"/>
      <c r="AA27" s="2654"/>
      <c r="AB27" s="2652" cm="1">
        <f t="array" ref="AB27">SUMPRODUCT((Application!$B$728:$B$752 = 'CalHFA Addendum'!AB$18)*(Application!$AH$728:$AH$752 = 'CalHFA Addendum'!$B27),Application!$G$728:$G$752)</f>
        <v>0</v>
      </c>
      <c r="AC27" s="2653"/>
      <c r="AD27" s="2653"/>
      <c r="AE27" s="2653"/>
      <c r="AF27" s="2653"/>
      <c r="AG27" s="2654"/>
      <c r="AH27" s="2652" cm="1">
        <f t="array" ref="AH27">SUMPRODUCT((Application!$B$728:$B$752 = 'CalHFA Addendum'!AH$18)*(Application!$AH$728:$AH$752 = 'CalHFA Addendum'!$B27),Application!$G$728:$G$752)</f>
        <v>0</v>
      </c>
      <c r="AI27" s="2653"/>
      <c r="AJ27" s="2653"/>
      <c r="AK27" s="2653"/>
      <c r="AL27" s="2653"/>
      <c r="AM27" s="2654"/>
      <c r="AN27" s="2652" cm="1">
        <f t="array" ref="AN27">SUMPRODUCT((Application!$B$728:$B$752 = 'CalHFA Addendum'!AN$18)*(Application!$AH$728:$AH$752 = 'CalHFA Addendum'!$B27),Application!$G$728:$G$752)</f>
        <v>0</v>
      </c>
      <c r="AO27" s="2653"/>
      <c r="AP27" s="2653"/>
      <c r="AQ27" s="2653"/>
      <c r="AR27" s="2653"/>
      <c r="AS27" s="2654"/>
      <c r="AT27" s="2655">
        <f t="shared" si="0"/>
        <v>0</v>
      </c>
      <c r="AU27" s="2656"/>
      <c r="AV27" s="2656"/>
      <c r="AW27" s="2656"/>
      <c r="AX27" s="2656"/>
      <c r="AY27" s="2657"/>
      <c r="AZ27" s="1529"/>
      <c r="BA27" s="1529"/>
      <c r="BB27" s="1529"/>
      <c r="BC27" s="1529"/>
      <c r="BD27" s="1529"/>
      <c r="BE27" s="1535"/>
      <c r="BF27" s="1700"/>
    </row>
    <row r="28" spans="1:58" thickBot="1">
      <c r="A28" s="1818"/>
      <c r="B28" s="2670" t="s">
        <v>2049</v>
      </c>
      <c r="C28" s="2671"/>
      <c r="D28" s="2671"/>
      <c r="E28" s="2671"/>
      <c r="F28" s="2671"/>
      <c r="G28" s="2671"/>
      <c r="H28" s="2671"/>
      <c r="I28" s="2672"/>
      <c r="J28" s="2648">
        <f t="shared" ref="J28" si="2">SUM(P28:AS28)</f>
        <v>1</v>
      </c>
      <c r="K28" s="2649"/>
      <c r="L28" s="2649"/>
      <c r="M28" s="2649"/>
      <c r="N28" s="2649"/>
      <c r="O28" s="2650"/>
      <c r="P28" s="2660">
        <f>_xlfn.IFNA(VLOOKUP(P$18,Application!$J$772:$S$775,6,FALSE), 0)</f>
        <v>0</v>
      </c>
      <c r="Q28" s="2661"/>
      <c r="R28" s="2661"/>
      <c r="S28" s="2661"/>
      <c r="T28" s="2661"/>
      <c r="U28" s="2662"/>
      <c r="V28" s="2660">
        <f>_xlfn.IFNA(VLOOKUP(V$18,Application!$J$772:$S$775,6,FALSE), 0)</f>
        <v>0</v>
      </c>
      <c r="W28" s="2661"/>
      <c r="X28" s="2661"/>
      <c r="Y28" s="2661"/>
      <c r="Z28" s="2661"/>
      <c r="AA28" s="2662"/>
      <c r="AB28" s="2660">
        <f>_xlfn.IFNA(VLOOKUP(AB$18,Application!$J$772:$S$775,6,FALSE), 0)</f>
        <v>0</v>
      </c>
      <c r="AC28" s="2661"/>
      <c r="AD28" s="2661"/>
      <c r="AE28" s="2661"/>
      <c r="AF28" s="2661"/>
      <c r="AG28" s="2662"/>
      <c r="AH28" s="2660">
        <f>_xlfn.IFNA(VLOOKUP(AH$18,Application!$J$772:$S$775,6,FALSE), 0)</f>
        <v>1</v>
      </c>
      <c r="AI28" s="2661"/>
      <c r="AJ28" s="2661"/>
      <c r="AK28" s="2661"/>
      <c r="AL28" s="2661"/>
      <c r="AM28" s="2662"/>
      <c r="AN28" s="2660">
        <f>_xlfn.IFNA(VLOOKUP(AN$18,Application!$J$772:$S$775,6,FALSE), 0)</f>
        <v>0</v>
      </c>
      <c r="AO28" s="2661"/>
      <c r="AP28" s="2661"/>
      <c r="AQ28" s="2661"/>
      <c r="AR28" s="2661"/>
      <c r="AS28" s="2662"/>
      <c r="AT28" s="2655">
        <f t="shared" ref="AT28" si="3">J28/$J$29</f>
        <v>7.462686567164179E-3</v>
      </c>
      <c r="AU28" s="2656"/>
      <c r="AV28" s="2656"/>
      <c r="AW28" s="2656"/>
      <c r="AX28" s="2656"/>
      <c r="AY28" s="2657"/>
      <c r="AZ28" s="1529"/>
      <c r="BA28" s="1529"/>
      <c r="BB28" s="1529"/>
      <c r="BC28" s="1529"/>
      <c r="BD28" s="1529"/>
      <c r="BE28" s="1535"/>
    </row>
    <row r="29" spans="1:58" thickBot="1">
      <c r="A29" s="1818"/>
      <c r="B29" s="2663" t="s">
        <v>1880</v>
      </c>
      <c r="C29" s="2664"/>
      <c r="D29" s="2664"/>
      <c r="E29" s="2664"/>
      <c r="F29" s="2664"/>
      <c r="G29" s="2664"/>
      <c r="H29" s="2664"/>
      <c r="I29" s="2665"/>
      <c r="J29" s="2666">
        <f>SUM(J19:O28)</f>
        <v>134</v>
      </c>
      <c r="K29" s="2664"/>
      <c r="L29" s="2664"/>
      <c r="M29" s="2664"/>
      <c r="N29" s="2664"/>
      <c r="O29" s="2665"/>
      <c r="P29" s="2666">
        <f>SUM(P19:U28)</f>
        <v>0</v>
      </c>
      <c r="Q29" s="2664"/>
      <c r="R29" s="2664"/>
      <c r="S29" s="2664"/>
      <c r="T29" s="2664"/>
      <c r="U29" s="2665"/>
      <c r="V29" s="2666">
        <f>SUM(V19:AA28)</f>
        <v>0</v>
      </c>
      <c r="W29" s="2664"/>
      <c r="X29" s="2664"/>
      <c r="Y29" s="2664"/>
      <c r="Z29" s="2664"/>
      <c r="AA29" s="2665"/>
      <c r="AB29" s="2666">
        <f>SUM(AB19:AG28)</f>
        <v>6</v>
      </c>
      <c r="AC29" s="2664"/>
      <c r="AD29" s="2664"/>
      <c r="AE29" s="2664"/>
      <c r="AF29" s="2664"/>
      <c r="AG29" s="2665"/>
      <c r="AH29" s="2666">
        <f>SUM(AH19:AM28)</f>
        <v>128</v>
      </c>
      <c r="AI29" s="2664"/>
      <c r="AJ29" s="2664"/>
      <c r="AK29" s="2664"/>
      <c r="AL29" s="2664"/>
      <c r="AM29" s="2665"/>
      <c r="AN29" s="2666">
        <f>SUM(AN19:AS28)</f>
        <v>0</v>
      </c>
      <c r="AO29" s="2664"/>
      <c r="AP29" s="2664"/>
      <c r="AQ29" s="2664"/>
      <c r="AR29" s="2664"/>
      <c r="AS29" s="2665"/>
      <c r="AT29" s="2667">
        <f>J29/$J$29</f>
        <v>1</v>
      </c>
      <c r="AU29" s="2668"/>
      <c r="AV29" s="2668"/>
      <c r="AW29" s="2668"/>
      <c r="AX29" s="2668"/>
      <c r="AY29" s="2669"/>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73" t="s">
        <v>2050</v>
      </c>
      <c r="C31" s="2674"/>
      <c r="D31" s="2674"/>
      <c r="E31" s="2674"/>
      <c r="F31" s="2674"/>
      <c r="G31" s="2674"/>
      <c r="H31" s="2674"/>
      <c r="I31" s="2674"/>
      <c r="J31" s="2674"/>
      <c r="K31" s="2674"/>
      <c r="L31" s="2674"/>
      <c r="M31" s="2674"/>
      <c r="N31" s="2674"/>
      <c r="O31" s="2674"/>
      <c r="P31" s="2674"/>
      <c r="Q31" s="2674"/>
      <c r="R31" s="2674"/>
      <c r="S31" s="2674"/>
      <c r="T31" s="2674"/>
      <c r="U31" s="2674"/>
      <c r="V31" s="2674"/>
      <c r="W31" s="2674"/>
      <c r="X31" s="2674"/>
      <c r="Y31" s="2674"/>
      <c r="Z31" s="2674"/>
      <c r="AA31" s="2674"/>
      <c r="AB31" s="2674"/>
      <c r="AC31" s="2674"/>
      <c r="AD31" s="2674"/>
      <c r="AE31" s="2674"/>
      <c r="AF31" s="2674"/>
      <c r="AG31" s="2674"/>
      <c r="AH31" s="2674"/>
      <c r="AI31" s="2674"/>
      <c r="AJ31" s="2674"/>
      <c r="AK31" s="2674"/>
      <c r="AL31" s="2674"/>
      <c r="AM31" s="2674"/>
      <c r="AN31" s="2674"/>
      <c r="AO31" s="2674"/>
      <c r="AP31" s="2674"/>
      <c r="AQ31" s="2674"/>
      <c r="AR31" s="2674"/>
      <c r="AS31" s="2674"/>
      <c r="AT31" s="2674"/>
      <c r="AU31" s="2674"/>
      <c r="AV31" s="2674"/>
      <c r="AW31" s="2674"/>
      <c r="AX31" s="2674"/>
      <c r="AY31" s="2674"/>
      <c r="AZ31" s="2675"/>
      <c r="BA31" s="1529"/>
      <c r="BB31" s="1529"/>
      <c r="BC31" s="1529"/>
      <c r="BD31" s="1529"/>
      <c r="BE31" s="1535"/>
    </row>
    <row r="32" spans="1:58" thickBot="1">
      <c r="A32" s="1818"/>
      <c r="B32" s="2676" t="s">
        <v>2051</v>
      </c>
      <c r="C32" s="2677"/>
      <c r="D32" s="2677"/>
      <c r="E32" s="2677"/>
      <c r="F32" s="2677"/>
      <c r="G32" s="2677"/>
      <c r="H32" s="2677"/>
      <c r="I32" s="2678"/>
      <c r="J32" s="2680" t="s">
        <v>2052</v>
      </c>
      <c r="K32" s="2681"/>
      <c r="L32" s="2681"/>
      <c r="M32" s="2682"/>
      <c r="N32" s="2680" t="s">
        <v>2053</v>
      </c>
      <c r="O32" s="2681"/>
      <c r="P32" s="2681"/>
      <c r="Q32" s="2681"/>
      <c r="R32" s="2684" t="s">
        <v>2054</v>
      </c>
      <c r="S32" s="2685"/>
      <c r="T32" s="2685"/>
      <c r="U32" s="2685"/>
      <c r="V32" s="2685"/>
      <c r="W32" s="2685"/>
      <c r="X32" s="2685"/>
      <c r="Y32" s="2685"/>
      <c r="Z32" s="2685"/>
      <c r="AA32" s="2685"/>
      <c r="AB32" s="2685"/>
      <c r="AC32" s="2685"/>
      <c r="AD32" s="2685"/>
      <c r="AE32" s="2685"/>
      <c r="AF32" s="2685"/>
      <c r="AG32" s="2685"/>
      <c r="AH32" s="2685"/>
      <c r="AI32" s="2685"/>
      <c r="AJ32" s="2685"/>
      <c r="AK32" s="2685"/>
      <c r="AL32" s="2685"/>
      <c r="AM32" s="2685"/>
      <c r="AN32" s="2685"/>
      <c r="AO32" s="2685"/>
      <c r="AP32" s="2685"/>
      <c r="AQ32" s="2685"/>
      <c r="AR32" s="2685"/>
      <c r="AS32" s="2685"/>
      <c r="AT32" s="2685"/>
      <c r="AU32" s="2685"/>
      <c r="AV32" s="2685"/>
      <c r="AW32" s="2685"/>
      <c r="AX32" s="2685"/>
      <c r="AY32" s="2685"/>
      <c r="AZ32" s="2686"/>
      <c r="BA32" s="1529"/>
      <c r="BB32" s="1529"/>
      <c r="BC32" s="1529"/>
      <c r="BD32" s="1529"/>
      <c r="BE32" s="1535"/>
    </row>
    <row r="33" spans="1:58" ht="15" customHeight="1">
      <c r="A33" s="1818"/>
      <c r="B33" s="2679"/>
      <c r="C33" s="2677"/>
      <c r="D33" s="2677"/>
      <c r="E33" s="2677"/>
      <c r="F33" s="2677"/>
      <c r="G33" s="2677"/>
      <c r="H33" s="2677"/>
      <c r="I33" s="2678"/>
      <c r="J33" s="2683"/>
      <c r="K33" s="2681"/>
      <c r="L33" s="2681"/>
      <c r="M33" s="2682"/>
      <c r="N33" s="2683"/>
      <c r="O33" s="2681"/>
      <c r="P33" s="2681"/>
      <c r="Q33" s="2681"/>
      <c r="R33" s="2687" t="s">
        <v>2055</v>
      </c>
      <c r="S33" s="2688"/>
      <c r="T33" s="2688"/>
      <c r="U33" s="2688"/>
      <c r="V33" s="2688"/>
      <c r="W33" s="2688"/>
      <c r="X33" s="2688"/>
      <c r="Y33" s="2688"/>
      <c r="Z33" s="2688"/>
      <c r="AA33" s="2688"/>
      <c r="AB33" s="2688"/>
      <c r="AC33" s="2688"/>
      <c r="AD33" s="2688"/>
      <c r="AE33" s="2688"/>
      <c r="AF33" s="2688"/>
      <c r="AG33" s="2688"/>
      <c r="AH33" s="2688"/>
      <c r="AI33" s="2688"/>
      <c r="AJ33" s="2688"/>
      <c r="AK33" s="2688"/>
      <c r="AL33" s="2688"/>
      <c r="AM33" s="2688"/>
      <c r="AN33" s="2688"/>
      <c r="AO33" s="2688"/>
      <c r="AP33" s="2688"/>
      <c r="AQ33" s="2688"/>
      <c r="AR33" s="2688"/>
      <c r="AS33" s="2688"/>
      <c r="AT33" s="2688"/>
      <c r="AU33" s="2688"/>
      <c r="AV33" s="2688"/>
      <c r="AW33" s="2688"/>
      <c r="AX33" s="2688"/>
      <c r="AY33" s="2688"/>
      <c r="AZ33" s="2689"/>
      <c r="BA33" s="1536"/>
      <c r="BB33" s="1529"/>
      <c r="BC33" s="1529"/>
      <c r="BD33" s="1529"/>
      <c r="BE33" s="1535"/>
    </row>
    <row r="34" spans="1:58" ht="15.75" customHeight="1" thickBot="1">
      <c r="A34" s="1818"/>
      <c r="B34" s="2679"/>
      <c r="C34" s="2677"/>
      <c r="D34" s="2677"/>
      <c r="E34" s="2677"/>
      <c r="F34" s="2677"/>
      <c r="G34" s="2677"/>
      <c r="H34" s="2677"/>
      <c r="I34" s="2678"/>
      <c r="J34" s="2683"/>
      <c r="K34" s="2681"/>
      <c r="L34" s="2681"/>
      <c r="M34" s="2682"/>
      <c r="N34" s="2683"/>
      <c r="O34" s="2681"/>
      <c r="P34" s="2681"/>
      <c r="Q34" s="2681"/>
      <c r="R34" s="2690"/>
      <c r="S34" s="2691"/>
      <c r="T34" s="2691"/>
      <c r="U34" s="2691"/>
      <c r="V34" s="2691"/>
      <c r="W34" s="2691"/>
      <c r="X34" s="2691"/>
      <c r="Y34" s="2691"/>
      <c r="Z34" s="2691"/>
      <c r="AA34" s="2691"/>
      <c r="AB34" s="2691"/>
      <c r="AC34" s="2691"/>
      <c r="AD34" s="2691"/>
      <c r="AE34" s="2691"/>
      <c r="AF34" s="2691"/>
      <c r="AG34" s="2691"/>
      <c r="AH34" s="2691"/>
      <c r="AI34" s="2691"/>
      <c r="AJ34" s="2691"/>
      <c r="AK34" s="2691"/>
      <c r="AL34" s="2691"/>
      <c r="AM34" s="2691"/>
      <c r="AN34" s="2691"/>
      <c r="AO34" s="2691"/>
      <c r="AP34" s="2691"/>
      <c r="AQ34" s="2691"/>
      <c r="AR34" s="2691"/>
      <c r="AS34" s="2691"/>
      <c r="AT34" s="2691"/>
      <c r="AU34" s="2691"/>
      <c r="AV34" s="2691"/>
      <c r="AW34" s="2691"/>
      <c r="AX34" s="2691"/>
      <c r="AY34" s="2691"/>
      <c r="AZ34" s="2692"/>
      <c r="BA34" s="1536"/>
      <c r="BB34" s="1529"/>
      <c r="BC34" s="1529"/>
      <c r="BD34" s="1529"/>
      <c r="BE34" s="1535"/>
    </row>
    <row r="35" spans="1:58" ht="15.75" customHeight="1" thickBot="1">
      <c r="A35" s="1818"/>
      <c r="B35" s="2679"/>
      <c r="C35" s="2677"/>
      <c r="D35" s="2677"/>
      <c r="E35" s="2677"/>
      <c r="F35" s="2677"/>
      <c r="G35" s="2677"/>
      <c r="H35" s="2677"/>
      <c r="I35" s="2678"/>
      <c r="J35" s="2683"/>
      <c r="K35" s="2681"/>
      <c r="L35" s="2681"/>
      <c r="M35" s="2682"/>
      <c r="N35" s="2683"/>
      <c r="O35" s="2681"/>
      <c r="P35" s="2681"/>
      <c r="Q35" s="2681"/>
      <c r="R35" s="2693">
        <v>0.3</v>
      </c>
      <c r="S35" s="2694"/>
      <c r="T35" s="2694"/>
      <c r="U35" s="2695"/>
      <c r="V35" s="2693">
        <v>0.5</v>
      </c>
      <c r="W35" s="2694"/>
      <c r="X35" s="2694"/>
      <c r="Y35" s="2695"/>
      <c r="Z35" s="2693">
        <v>0.6</v>
      </c>
      <c r="AA35" s="2694"/>
      <c r="AB35" s="2694"/>
      <c r="AC35" s="2695"/>
      <c r="AD35" s="2693">
        <v>0.7</v>
      </c>
      <c r="AE35" s="2694"/>
      <c r="AF35" s="2694"/>
      <c r="AG35" s="2695"/>
      <c r="AH35" s="2693">
        <v>1</v>
      </c>
      <c r="AI35" s="2694"/>
      <c r="AJ35" s="2694"/>
      <c r="AK35" s="2695"/>
      <c r="AL35" s="2693">
        <v>1.2</v>
      </c>
      <c r="AM35" s="2694"/>
      <c r="AN35" s="2695"/>
      <c r="AO35" s="2704" t="s">
        <v>2056</v>
      </c>
      <c r="AP35" s="2705"/>
      <c r="AQ35" s="2705"/>
      <c r="AR35" s="2705"/>
      <c r="AS35" s="2705"/>
      <c r="AT35" s="2706"/>
      <c r="AU35" s="2704" t="s">
        <v>2057</v>
      </c>
      <c r="AV35" s="2705"/>
      <c r="AW35" s="2705"/>
      <c r="AX35" s="2705"/>
      <c r="AY35" s="2705"/>
      <c r="AZ35" s="2706"/>
      <c r="BA35" s="1536"/>
      <c r="BB35" s="1529"/>
      <c r="BC35" s="1529"/>
      <c r="BD35" s="1529"/>
      <c r="BE35" s="1535"/>
      <c r="BF35" s="1527"/>
    </row>
    <row r="36" spans="1:58" ht="15.75" customHeight="1" thickBot="1">
      <c r="A36" s="1818"/>
      <c r="B36" s="2707" t="s">
        <v>2058</v>
      </c>
      <c r="C36" s="2708"/>
      <c r="D36" s="2708"/>
      <c r="E36" s="2708"/>
      <c r="F36" s="2708"/>
      <c r="G36" s="2708"/>
      <c r="H36" s="2708"/>
      <c r="I36" s="2709"/>
      <c r="J36" s="2710" t="s">
        <v>2059</v>
      </c>
      <c r="K36" s="2711"/>
      <c r="L36" s="2711"/>
      <c r="M36" s="2712"/>
      <c r="N36" s="2713">
        <v>55</v>
      </c>
      <c r="O36" s="2714"/>
      <c r="P36" s="2714"/>
      <c r="Q36" s="2715"/>
      <c r="R36" s="2723">
        <v>14</v>
      </c>
      <c r="S36" s="2724"/>
      <c r="T36" s="2724"/>
      <c r="U36" s="2725"/>
      <c r="V36" s="2723">
        <v>14</v>
      </c>
      <c r="W36" s="2724"/>
      <c r="X36" s="2724"/>
      <c r="Y36" s="2725"/>
      <c r="Z36" s="2723">
        <v>49</v>
      </c>
      <c r="AA36" s="2724"/>
      <c r="AB36" s="2724"/>
      <c r="AC36" s="2725"/>
      <c r="AD36" s="2723">
        <v>56</v>
      </c>
      <c r="AE36" s="2724"/>
      <c r="AF36" s="2724"/>
      <c r="AG36" s="2725"/>
      <c r="AH36" s="2719"/>
      <c r="AI36" s="2719"/>
      <c r="AJ36" s="2719"/>
      <c r="AK36" s="2719"/>
      <c r="AL36" s="2719"/>
      <c r="AM36" s="2719"/>
      <c r="AN36" s="2719"/>
      <c r="AO36" s="2717">
        <f>SUM(R36:AN36)</f>
        <v>133</v>
      </c>
      <c r="AP36" s="2717"/>
      <c r="AQ36" s="2717"/>
      <c r="AR36" s="2717"/>
      <c r="AS36" s="2717"/>
      <c r="AT36" s="2717"/>
      <c r="AU36" s="2718">
        <f>AO36/$J$29</f>
        <v>0.9925373134328358</v>
      </c>
      <c r="AV36" s="2718"/>
      <c r="AW36" s="2718"/>
      <c r="AX36" s="2718"/>
      <c r="AY36" s="2718"/>
      <c r="AZ36" s="2718"/>
      <c r="BA36" s="1529"/>
      <c r="BB36" s="1529"/>
      <c r="BC36" s="1529"/>
      <c r="BD36" s="1529"/>
      <c r="BE36" s="1535"/>
      <c r="BF36" s="1527"/>
    </row>
    <row r="37" spans="1:58" ht="15.75" customHeight="1" thickBot="1">
      <c r="A37" s="1818"/>
      <c r="B37" s="2696" t="s">
        <v>2060</v>
      </c>
      <c r="C37" s="2697"/>
      <c r="D37" s="2697"/>
      <c r="E37" s="2697"/>
      <c r="F37" s="2697"/>
      <c r="G37" s="2697"/>
      <c r="H37" s="2697"/>
      <c r="I37" s="2698"/>
      <c r="J37" s="2699" t="s">
        <v>2061</v>
      </c>
      <c r="K37" s="2700"/>
      <c r="L37" s="2700"/>
      <c r="M37" s="2701"/>
      <c r="N37" s="2702">
        <v>55</v>
      </c>
      <c r="O37" s="2700"/>
      <c r="P37" s="2700"/>
      <c r="Q37" s="2703"/>
      <c r="R37" s="2720">
        <v>14</v>
      </c>
      <c r="S37" s="2721"/>
      <c r="T37" s="2721"/>
      <c r="U37" s="2722"/>
      <c r="V37" s="2720">
        <v>14</v>
      </c>
      <c r="W37" s="2721"/>
      <c r="X37" s="2721"/>
      <c r="Y37" s="2722"/>
      <c r="Z37" s="2723">
        <v>49</v>
      </c>
      <c r="AA37" s="2724"/>
      <c r="AB37" s="2724"/>
      <c r="AC37" s="2725"/>
      <c r="AD37" s="2723">
        <v>56</v>
      </c>
      <c r="AE37" s="2724"/>
      <c r="AF37" s="2724"/>
      <c r="AG37" s="2725"/>
      <c r="AH37" s="2716"/>
      <c r="AI37" s="2716"/>
      <c r="AJ37" s="2716"/>
      <c r="AK37" s="2716"/>
      <c r="AL37" s="2716"/>
      <c r="AM37" s="2716"/>
      <c r="AN37" s="2716"/>
      <c r="AO37" s="2717">
        <f t="shared" ref="AO37:AO47" si="4">SUM(R37:AN37)</f>
        <v>133</v>
      </c>
      <c r="AP37" s="2717"/>
      <c r="AQ37" s="2717"/>
      <c r="AR37" s="2717"/>
      <c r="AS37" s="2717"/>
      <c r="AT37" s="2717"/>
      <c r="AU37" s="2718">
        <f t="shared" ref="AU37:AU47" si="5">AO37/$J$29</f>
        <v>0.9925373134328358</v>
      </c>
      <c r="AV37" s="2718"/>
      <c r="AW37" s="2718"/>
      <c r="AX37" s="2718"/>
      <c r="AY37" s="2718"/>
      <c r="AZ37" s="2718"/>
      <c r="BA37" s="1529"/>
      <c r="BB37" s="1529"/>
      <c r="BC37" s="1529"/>
      <c r="BD37" s="1529"/>
      <c r="BE37" s="1535"/>
      <c r="BF37" s="1527"/>
    </row>
    <row r="38" spans="1:58" ht="15.75" customHeight="1">
      <c r="A38" s="1818"/>
      <c r="B38" s="2696" t="s">
        <v>2062</v>
      </c>
      <c r="C38" s="2697"/>
      <c r="D38" s="2697"/>
      <c r="E38" s="2697"/>
      <c r="F38" s="2697"/>
      <c r="G38" s="2697"/>
      <c r="H38" s="2697"/>
      <c r="I38" s="2698"/>
      <c r="J38" s="2699" t="s">
        <v>2063</v>
      </c>
      <c r="K38" s="2700"/>
      <c r="L38" s="2700"/>
      <c r="M38" s="2701"/>
      <c r="N38" s="2702">
        <v>55</v>
      </c>
      <c r="O38" s="2700"/>
      <c r="P38" s="2700"/>
      <c r="Q38" s="2703"/>
      <c r="R38" s="2720">
        <v>14</v>
      </c>
      <c r="S38" s="2721"/>
      <c r="T38" s="2721"/>
      <c r="U38" s="2722"/>
      <c r="V38" s="2720">
        <v>14</v>
      </c>
      <c r="W38" s="2721"/>
      <c r="X38" s="2721"/>
      <c r="Y38" s="2722"/>
      <c r="Z38" s="2723">
        <v>49</v>
      </c>
      <c r="AA38" s="2724"/>
      <c r="AB38" s="2724"/>
      <c r="AC38" s="2725"/>
      <c r="AD38" s="2723">
        <v>56</v>
      </c>
      <c r="AE38" s="2724"/>
      <c r="AF38" s="2724"/>
      <c r="AG38" s="2725"/>
      <c r="AH38" s="2716"/>
      <c r="AI38" s="2716"/>
      <c r="AJ38" s="2716"/>
      <c r="AK38" s="2716"/>
      <c r="AL38" s="2716"/>
      <c r="AM38" s="2716"/>
      <c r="AN38" s="2716"/>
      <c r="AO38" s="2717">
        <f t="shared" si="4"/>
        <v>133</v>
      </c>
      <c r="AP38" s="2717"/>
      <c r="AQ38" s="2717"/>
      <c r="AR38" s="2717"/>
      <c r="AS38" s="2717"/>
      <c r="AT38" s="2717"/>
      <c r="AU38" s="2718">
        <f t="shared" si="5"/>
        <v>0.9925373134328358</v>
      </c>
      <c r="AV38" s="2718"/>
      <c r="AW38" s="2718"/>
      <c r="AX38" s="2718"/>
      <c r="AY38" s="2718"/>
      <c r="AZ38" s="2718"/>
      <c r="BA38" s="1529"/>
      <c r="BB38" s="1529"/>
      <c r="BC38" s="1529"/>
      <c r="BD38" s="1529"/>
      <c r="BE38" s="1535"/>
      <c r="BF38" s="1527"/>
    </row>
    <row r="39" spans="1:58" ht="15.75" customHeight="1">
      <c r="A39" s="1818"/>
      <c r="B39" s="2696" t="s">
        <v>2064</v>
      </c>
      <c r="C39" s="2697"/>
      <c r="D39" s="2697"/>
      <c r="E39" s="2697"/>
      <c r="F39" s="2697"/>
      <c r="G39" s="2697"/>
      <c r="H39" s="2697"/>
      <c r="I39" s="2698"/>
      <c r="J39" s="2726"/>
      <c r="K39" s="2727"/>
      <c r="L39" s="2727"/>
      <c r="M39" s="2728"/>
      <c r="N39" s="2729"/>
      <c r="O39" s="2727"/>
      <c r="P39" s="2727"/>
      <c r="Q39" s="2730"/>
      <c r="R39" s="2716"/>
      <c r="S39" s="2716"/>
      <c r="T39" s="2716"/>
      <c r="U39" s="2716"/>
      <c r="V39" s="2716"/>
      <c r="W39" s="2716"/>
      <c r="X39" s="2716"/>
      <c r="Y39" s="2716"/>
      <c r="Z39" s="2716"/>
      <c r="AA39" s="2716"/>
      <c r="AB39" s="2716"/>
      <c r="AC39" s="2716"/>
      <c r="AD39" s="2716"/>
      <c r="AE39" s="2716"/>
      <c r="AF39" s="2716"/>
      <c r="AG39" s="2716"/>
      <c r="AH39" s="2716"/>
      <c r="AI39" s="2716"/>
      <c r="AJ39" s="2716"/>
      <c r="AK39" s="2716"/>
      <c r="AL39" s="2716"/>
      <c r="AM39" s="2716"/>
      <c r="AN39" s="2716"/>
      <c r="AO39" s="2717">
        <f t="shared" si="4"/>
        <v>0</v>
      </c>
      <c r="AP39" s="2717"/>
      <c r="AQ39" s="2717"/>
      <c r="AR39" s="2717"/>
      <c r="AS39" s="2717"/>
      <c r="AT39" s="2717"/>
      <c r="AU39" s="2718">
        <f t="shared" si="5"/>
        <v>0</v>
      </c>
      <c r="AV39" s="2718"/>
      <c r="AW39" s="2718"/>
      <c r="AX39" s="2718"/>
      <c r="AY39" s="2718"/>
      <c r="AZ39" s="2718"/>
      <c r="BA39" s="1529"/>
      <c r="BB39" s="1529"/>
      <c r="BC39" s="1529"/>
      <c r="BD39" s="1529"/>
      <c r="BE39" s="1535"/>
    </row>
    <row r="40" spans="1:58" ht="15.75" customHeight="1">
      <c r="A40" s="1818"/>
      <c r="B40" s="2696" t="s">
        <v>2064</v>
      </c>
      <c r="C40" s="2697"/>
      <c r="D40" s="2697"/>
      <c r="E40" s="2697"/>
      <c r="F40" s="2697"/>
      <c r="G40" s="2697"/>
      <c r="H40" s="2697"/>
      <c r="I40" s="2698"/>
      <c r="J40" s="2726"/>
      <c r="K40" s="2727"/>
      <c r="L40" s="2727"/>
      <c r="M40" s="2728"/>
      <c r="N40" s="2729"/>
      <c r="O40" s="2727"/>
      <c r="P40" s="2727"/>
      <c r="Q40" s="2730"/>
      <c r="R40" s="2716"/>
      <c r="S40" s="2716"/>
      <c r="T40" s="2716"/>
      <c r="U40" s="2716"/>
      <c r="V40" s="2716"/>
      <c r="W40" s="2716"/>
      <c r="X40" s="2716"/>
      <c r="Y40" s="2716"/>
      <c r="Z40" s="2716"/>
      <c r="AA40" s="2716"/>
      <c r="AB40" s="2716"/>
      <c r="AC40" s="2716"/>
      <c r="AD40" s="2716"/>
      <c r="AE40" s="2716"/>
      <c r="AF40" s="2716"/>
      <c r="AG40" s="2716"/>
      <c r="AH40" s="2716"/>
      <c r="AI40" s="2716"/>
      <c r="AJ40" s="2716"/>
      <c r="AK40" s="2716"/>
      <c r="AL40" s="2716"/>
      <c r="AM40" s="2716"/>
      <c r="AN40" s="2716"/>
      <c r="AO40" s="2717">
        <f t="shared" si="4"/>
        <v>0</v>
      </c>
      <c r="AP40" s="2717"/>
      <c r="AQ40" s="2717"/>
      <c r="AR40" s="2717"/>
      <c r="AS40" s="2717"/>
      <c r="AT40" s="2717"/>
      <c r="AU40" s="2718">
        <f t="shared" si="5"/>
        <v>0</v>
      </c>
      <c r="AV40" s="2718"/>
      <c r="AW40" s="2718"/>
      <c r="AX40" s="2718"/>
      <c r="AY40" s="2718"/>
      <c r="AZ40" s="2718"/>
      <c r="BA40" s="1529"/>
      <c r="BB40" s="1529"/>
      <c r="BC40" s="1529"/>
      <c r="BD40" s="1529"/>
      <c r="BE40" s="1535"/>
    </row>
    <row r="41" spans="1:58" ht="15.75" customHeight="1">
      <c r="A41" s="1818"/>
      <c r="B41" s="2731" t="s">
        <v>2065</v>
      </c>
      <c r="C41" s="2732"/>
      <c r="D41" s="2732"/>
      <c r="E41" s="2732"/>
      <c r="F41" s="2732"/>
      <c r="G41" s="2732"/>
      <c r="H41" s="2732"/>
      <c r="I41" s="2733"/>
      <c r="J41" s="2726"/>
      <c r="K41" s="2727"/>
      <c r="L41" s="2727"/>
      <c r="M41" s="2728"/>
      <c r="N41" s="2729"/>
      <c r="O41" s="2727"/>
      <c r="P41" s="2727"/>
      <c r="Q41" s="2730"/>
      <c r="R41" s="2716"/>
      <c r="S41" s="2716"/>
      <c r="T41" s="2716"/>
      <c r="U41" s="2716"/>
      <c r="V41" s="2716"/>
      <c r="W41" s="2716"/>
      <c r="X41" s="2716"/>
      <c r="Y41" s="2716"/>
      <c r="Z41" s="2716"/>
      <c r="AA41" s="2716"/>
      <c r="AB41" s="2716"/>
      <c r="AC41" s="2716"/>
      <c r="AD41" s="2716"/>
      <c r="AE41" s="2716"/>
      <c r="AF41" s="2716"/>
      <c r="AG41" s="2716"/>
      <c r="AH41" s="2716"/>
      <c r="AI41" s="2716"/>
      <c r="AJ41" s="2716"/>
      <c r="AK41" s="2716"/>
      <c r="AL41" s="2716"/>
      <c r="AM41" s="2716"/>
      <c r="AN41" s="2716"/>
      <c r="AO41" s="2717">
        <f t="shared" si="4"/>
        <v>0</v>
      </c>
      <c r="AP41" s="2717"/>
      <c r="AQ41" s="2717"/>
      <c r="AR41" s="2717"/>
      <c r="AS41" s="2717"/>
      <c r="AT41" s="2717"/>
      <c r="AU41" s="2718">
        <f t="shared" si="5"/>
        <v>0</v>
      </c>
      <c r="AV41" s="2718"/>
      <c r="AW41" s="2718"/>
      <c r="AX41" s="2718"/>
      <c r="AY41" s="2718"/>
      <c r="AZ41" s="2718"/>
      <c r="BA41" s="1529"/>
      <c r="BB41" s="1529"/>
      <c r="BC41" s="1529"/>
      <c r="BD41" s="1529"/>
      <c r="BE41" s="1535"/>
    </row>
    <row r="42" spans="1:58" ht="15.75" customHeight="1">
      <c r="A42" s="1818"/>
      <c r="B42" s="2731" t="s">
        <v>2065</v>
      </c>
      <c r="C42" s="2732"/>
      <c r="D42" s="2732"/>
      <c r="E42" s="2732"/>
      <c r="F42" s="2732"/>
      <c r="G42" s="2732"/>
      <c r="H42" s="2732"/>
      <c r="I42" s="2733"/>
      <c r="J42" s="2726"/>
      <c r="K42" s="2727"/>
      <c r="L42" s="2727"/>
      <c r="M42" s="2728"/>
      <c r="N42" s="2729"/>
      <c r="O42" s="2727"/>
      <c r="P42" s="2727"/>
      <c r="Q42" s="2730"/>
      <c r="R42" s="2716"/>
      <c r="S42" s="2716"/>
      <c r="T42" s="271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7">
        <f t="shared" si="4"/>
        <v>0</v>
      </c>
      <c r="AP42" s="2717"/>
      <c r="AQ42" s="2717"/>
      <c r="AR42" s="2717"/>
      <c r="AS42" s="2717"/>
      <c r="AT42" s="2717"/>
      <c r="AU42" s="2718">
        <f t="shared" si="5"/>
        <v>0</v>
      </c>
      <c r="AV42" s="2718"/>
      <c r="AW42" s="2718"/>
      <c r="AX42" s="2718"/>
      <c r="AY42" s="2718"/>
      <c r="AZ42" s="2718"/>
      <c r="BA42" s="1529"/>
      <c r="BB42" s="1529"/>
      <c r="BC42" s="1529"/>
      <c r="BD42" s="1529"/>
      <c r="BE42" s="1535"/>
    </row>
    <row r="43" spans="1:58" ht="15.75" customHeight="1">
      <c r="A43" s="1818"/>
      <c r="B43" s="2734" t="s">
        <v>2066</v>
      </c>
      <c r="C43" s="2735"/>
      <c r="D43" s="2735"/>
      <c r="E43" s="2735"/>
      <c r="F43" s="2735"/>
      <c r="G43" s="2735"/>
      <c r="H43" s="2735"/>
      <c r="I43" s="2736"/>
      <c r="J43" s="2726"/>
      <c r="K43" s="2727"/>
      <c r="L43" s="2727"/>
      <c r="M43" s="2728"/>
      <c r="N43" s="2729"/>
      <c r="O43" s="2727"/>
      <c r="P43" s="2727"/>
      <c r="Q43" s="2730"/>
      <c r="R43" s="2716"/>
      <c r="S43" s="2716"/>
      <c r="T43" s="2716"/>
      <c r="U43" s="2716"/>
      <c r="V43" s="2716"/>
      <c r="W43" s="2716"/>
      <c r="X43" s="2716"/>
      <c r="Y43" s="2716"/>
      <c r="Z43" s="2716"/>
      <c r="AA43" s="2716"/>
      <c r="AB43" s="2716"/>
      <c r="AC43" s="2716"/>
      <c r="AD43" s="2716"/>
      <c r="AE43" s="2716"/>
      <c r="AF43" s="2716"/>
      <c r="AG43" s="2716"/>
      <c r="AH43" s="2716"/>
      <c r="AI43" s="2716"/>
      <c r="AJ43" s="2716"/>
      <c r="AK43" s="2716"/>
      <c r="AL43" s="2716"/>
      <c r="AM43" s="2716"/>
      <c r="AN43" s="2716"/>
      <c r="AO43" s="2717">
        <f t="shared" si="4"/>
        <v>0</v>
      </c>
      <c r="AP43" s="2717"/>
      <c r="AQ43" s="2717"/>
      <c r="AR43" s="2717"/>
      <c r="AS43" s="2717"/>
      <c r="AT43" s="2717"/>
      <c r="AU43" s="2718">
        <f t="shared" si="5"/>
        <v>0</v>
      </c>
      <c r="AV43" s="2718"/>
      <c r="AW43" s="2718"/>
      <c r="AX43" s="2718"/>
      <c r="AY43" s="2718"/>
      <c r="AZ43" s="2718"/>
      <c r="BA43" s="1529"/>
      <c r="BB43" s="1529"/>
      <c r="BC43" s="1529"/>
      <c r="BD43" s="1529"/>
      <c r="BE43" s="1535"/>
    </row>
    <row r="44" spans="1:58" ht="15.75" customHeight="1">
      <c r="A44" s="1818"/>
      <c r="B44" s="2734" t="s">
        <v>2067</v>
      </c>
      <c r="C44" s="2735"/>
      <c r="D44" s="2735"/>
      <c r="E44" s="2735"/>
      <c r="F44" s="2735"/>
      <c r="G44" s="2735"/>
      <c r="H44" s="2735"/>
      <c r="I44" s="2736"/>
      <c r="J44" s="2726"/>
      <c r="K44" s="2727"/>
      <c r="L44" s="2727"/>
      <c r="M44" s="2728"/>
      <c r="N44" s="2729"/>
      <c r="O44" s="2727"/>
      <c r="P44" s="2727"/>
      <c r="Q44" s="2730"/>
      <c r="R44" s="2716"/>
      <c r="S44" s="2716"/>
      <c r="T44" s="2716"/>
      <c r="U44" s="2716"/>
      <c r="V44" s="2716"/>
      <c r="W44" s="2716"/>
      <c r="X44" s="2716"/>
      <c r="Y44" s="2716"/>
      <c r="Z44" s="2716"/>
      <c r="AA44" s="2716"/>
      <c r="AB44" s="2716"/>
      <c r="AC44" s="2716"/>
      <c r="AD44" s="2716"/>
      <c r="AE44" s="2716"/>
      <c r="AF44" s="2716"/>
      <c r="AG44" s="2716"/>
      <c r="AH44" s="2716"/>
      <c r="AI44" s="2716"/>
      <c r="AJ44" s="2716"/>
      <c r="AK44" s="2716"/>
      <c r="AL44" s="2716"/>
      <c r="AM44" s="2716"/>
      <c r="AN44" s="2716"/>
      <c r="AO44" s="2717">
        <f t="shared" si="4"/>
        <v>0</v>
      </c>
      <c r="AP44" s="2717"/>
      <c r="AQ44" s="2717"/>
      <c r="AR44" s="2717"/>
      <c r="AS44" s="2717"/>
      <c r="AT44" s="2717"/>
      <c r="AU44" s="2718">
        <f t="shared" si="5"/>
        <v>0</v>
      </c>
      <c r="AV44" s="2718"/>
      <c r="AW44" s="2718"/>
      <c r="AX44" s="2718"/>
      <c r="AY44" s="2718"/>
      <c r="AZ44" s="2718"/>
      <c r="BA44" s="1529"/>
      <c r="BB44" s="1529"/>
      <c r="BC44" s="1529"/>
      <c r="BD44" s="1529"/>
      <c r="BE44" s="1535"/>
    </row>
    <row r="45" spans="1:58" ht="15.75" customHeight="1">
      <c r="A45" s="1818"/>
      <c r="B45" s="2737" t="s">
        <v>2068</v>
      </c>
      <c r="C45" s="2738"/>
      <c r="D45" s="2738"/>
      <c r="E45" s="2738"/>
      <c r="F45" s="2738"/>
      <c r="G45" s="2738"/>
      <c r="H45" s="2738"/>
      <c r="I45" s="2739"/>
      <c r="J45" s="2726"/>
      <c r="K45" s="2727"/>
      <c r="L45" s="2727"/>
      <c r="M45" s="2728"/>
      <c r="N45" s="2729"/>
      <c r="O45" s="2727"/>
      <c r="P45" s="2727"/>
      <c r="Q45" s="2730"/>
      <c r="R45" s="2716"/>
      <c r="S45" s="2716"/>
      <c r="T45" s="2716"/>
      <c r="U45" s="2716"/>
      <c r="V45" s="2716"/>
      <c r="W45" s="2716"/>
      <c r="X45" s="2716"/>
      <c r="Y45" s="2716"/>
      <c r="Z45" s="2716"/>
      <c r="AA45" s="2716"/>
      <c r="AB45" s="2716"/>
      <c r="AC45" s="2716"/>
      <c r="AD45" s="2716"/>
      <c r="AE45" s="2716"/>
      <c r="AF45" s="2716"/>
      <c r="AG45" s="2716"/>
      <c r="AH45" s="2716"/>
      <c r="AI45" s="2716"/>
      <c r="AJ45" s="2716"/>
      <c r="AK45" s="2716"/>
      <c r="AL45" s="2716"/>
      <c r="AM45" s="2716"/>
      <c r="AN45" s="2716"/>
      <c r="AO45" s="2717">
        <f t="shared" si="4"/>
        <v>0</v>
      </c>
      <c r="AP45" s="2717"/>
      <c r="AQ45" s="2717"/>
      <c r="AR45" s="2717"/>
      <c r="AS45" s="2717"/>
      <c r="AT45" s="2717"/>
      <c r="AU45" s="2718">
        <f t="shared" si="5"/>
        <v>0</v>
      </c>
      <c r="AV45" s="2718"/>
      <c r="AW45" s="2718"/>
      <c r="AX45" s="2718"/>
      <c r="AY45" s="2718"/>
      <c r="AZ45" s="2718"/>
      <c r="BA45" s="1529"/>
      <c r="BB45" s="1529"/>
      <c r="BC45" s="1529"/>
      <c r="BD45" s="1529"/>
      <c r="BE45" s="1535"/>
    </row>
    <row r="46" spans="1:58" ht="15.75" customHeight="1">
      <c r="A46" s="1818"/>
      <c r="B46" s="2737" t="s">
        <v>2069</v>
      </c>
      <c r="C46" s="2738"/>
      <c r="D46" s="2738"/>
      <c r="E46" s="2738"/>
      <c r="F46" s="2738"/>
      <c r="G46" s="2738"/>
      <c r="H46" s="2738"/>
      <c r="I46" s="2739"/>
      <c r="J46" s="2726"/>
      <c r="K46" s="2727"/>
      <c r="L46" s="2727"/>
      <c r="M46" s="2728"/>
      <c r="N46" s="2702"/>
      <c r="O46" s="2700"/>
      <c r="P46" s="2700"/>
      <c r="Q46" s="2703"/>
      <c r="R46" s="2716"/>
      <c r="S46" s="2716"/>
      <c r="T46" s="2716"/>
      <c r="U46" s="2716"/>
      <c r="V46" s="2716"/>
      <c r="W46" s="2716"/>
      <c r="X46" s="2716"/>
      <c r="Y46" s="2716"/>
      <c r="Z46" s="2716"/>
      <c r="AA46" s="2716"/>
      <c r="AB46" s="2716"/>
      <c r="AC46" s="2716"/>
      <c r="AD46" s="2716"/>
      <c r="AE46" s="2716"/>
      <c r="AF46" s="2716"/>
      <c r="AG46" s="2716"/>
      <c r="AH46" s="2716"/>
      <c r="AI46" s="2716"/>
      <c r="AJ46" s="2716"/>
      <c r="AK46" s="2716"/>
      <c r="AL46" s="2716"/>
      <c r="AM46" s="2716"/>
      <c r="AN46" s="2716"/>
      <c r="AO46" s="2717">
        <f t="shared" si="4"/>
        <v>0</v>
      </c>
      <c r="AP46" s="2717"/>
      <c r="AQ46" s="2717"/>
      <c r="AR46" s="2717"/>
      <c r="AS46" s="2717"/>
      <c r="AT46" s="2717"/>
      <c r="AU46" s="2718">
        <f t="shared" si="5"/>
        <v>0</v>
      </c>
      <c r="AV46" s="2718"/>
      <c r="AW46" s="2718"/>
      <c r="AX46" s="2718"/>
      <c r="AY46" s="2718"/>
      <c r="AZ46" s="2718"/>
      <c r="BA46" s="1529"/>
      <c r="BB46" s="1529"/>
      <c r="BC46" s="1529"/>
      <c r="BD46" s="1529"/>
      <c r="BE46" s="1535"/>
    </row>
    <row r="47" spans="1:58" ht="15.75" customHeight="1" thickBot="1">
      <c r="A47" s="1818"/>
      <c r="B47" s="2740" t="s">
        <v>308</v>
      </c>
      <c r="C47" s="2741"/>
      <c r="D47" s="2741"/>
      <c r="E47" s="2741"/>
      <c r="F47" s="2741"/>
      <c r="G47" s="2741"/>
      <c r="H47" s="2741"/>
      <c r="I47" s="2742"/>
      <c r="J47" s="2743"/>
      <c r="K47" s="2744"/>
      <c r="L47" s="2744"/>
      <c r="M47" s="2745"/>
      <c r="N47" s="2746"/>
      <c r="O47" s="2744"/>
      <c r="P47" s="2744"/>
      <c r="Q47" s="2747"/>
      <c r="R47" s="2716"/>
      <c r="S47" s="2716"/>
      <c r="T47" s="2716"/>
      <c r="U47" s="2716"/>
      <c r="V47" s="2716"/>
      <c r="W47" s="2716"/>
      <c r="X47" s="2716"/>
      <c r="Y47" s="2716"/>
      <c r="Z47" s="2716"/>
      <c r="AA47" s="2716"/>
      <c r="AB47" s="2716"/>
      <c r="AC47" s="2716"/>
      <c r="AD47" s="2716"/>
      <c r="AE47" s="2716"/>
      <c r="AF47" s="2716"/>
      <c r="AG47" s="2716"/>
      <c r="AH47" s="2716"/>
      <c r="AI47" s="2716"/>
      <c r="AJ47" s="2716"/>
      <c r="AK47" s="2716"/>
      <c r="AL47" s="2716"/>
      <c r="AM47" s="2716"/>
      <c r="AN47" s="2716"/>
      <c r="AO47" s="2717">
        <f t="shared" si="4"/>
        <v>0</v>
      </c>
      <c r="AP47" s="2717"/>
      <c r="AQ47" s="2717"/>
      <c r="AR47" s="2717"/>
      <c r="AS47" s="2717"/>
      <c r="AT47" s="2717"/>
      <c r="AU47" s="2718">
        <f t="shared" si="5"/>
        <v>0</v>
      </c>
      <c r="AV47" s="2718"/>
      <c r="AW47" s="2718"/>
      <c r="AX47" s="2718"/>
      <c r="AY47" s="2718"/>
      <c r="AZ47" s="2718"/>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8" t="s">
        <v>2072</v>
      </c>
      <c r="C50" s="2749"/>
      <c r="D50" s="2749"/>
      <c r="E50" s="2749"/>
      <c r="F50" s="2749"/>
      <c r="G50" s="2749"/>
      <c r="H50" s="2749"/>
      <c r="I50" s="2749"/>
      <c r="J50" s="2749"/>
      <c r="K50" s="2749"/>
      <c r="L50" s="2749"/>
      <c r="M50" s="2749"/>
      <c r="N50" s="2749"/>
      <c r="O50" s="2749"/>
      <c r="P50" s="2749"/>
      <c r="Q50" s="2749"/>
      <c r="R50" s="2749"/>
      <c r="S50" s="2749"/>
      <c r="T50" s="2749"/>
      <c r="U50" s="2749"/>
      <c r="V50" s="2749"/>
      <c r="W50" s="2749"/>
      <c r="X50" s="2749"/>
      <c r="Y50" s="2749"/>
      <c r="Z50" s="2749"/>
      <c r="AA50" s="2749"/>
      <c r="AB50" s="2749"/>
      <c r="AC50" s="2749"/>
      <c r="AD50" s="2749"/>
      <c r="AE50" s="2749"/>
      <c r="AF50" s="2749"/>
      <c r="AG50" s="2749"/>
      <c r="AH50" s="2749"/>
      <c r="AI50" s="2749"/>
      <c r="AJ50" s="2749"/>
      <c r="AK50" s="2749"/>
      <c r="AL50" s="2749"/>
      <c r="AM50" s="2749"/>
      <c r="AN50" s="2749"/>
      <c r="AO50" s="2750"/>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1" t="s">
        <v>2073</v>
      </c>
      <c r="C51" s="2752"/>
      <c r="D51" s="2752"/>
      <c r="E51" s="2752"/>
      <c r="F51" s="2752"/>
      <c r="G51" s="2752"/>
      <c r="H51" s="2752"/>
      <c r="I51" s="2753"/>
      <c r="J51" s="2751" t="s">
        <v>2074</v>
      </c>
      <c r="K51" s="2752"/>
      <c r="L51" s="2752"/>
      <c r="M51" s="2752"/>
      <c r="N51" s="2752"/>
      <c r="O51" s="2752"/>
      <c r="P51" s="2752"/>
      <c r="Q51" s="2753"/>
      <c r="R51" s="2754" t="s">
        <v>2075</v>
      </c>
      <c r="S51" s="2755"/>
      <c r="T51" s="2755"/>
      <c r="U51" s="2755"/>
      <c r="V51" s="2755"/>
      <c r="W51" s="2755"/>
      <c r="X51" s="2755"/>
      <c r="Y51" s="2756"/>
      <c r="Z51" s="2757" t="s">
        <v>2076</v>
      </c>
      <c r="AA51" s="2758"/>
      <c r="AB51" s="2758"/>
      <c r="AC51" s="2758"/>
      <c r="AD51" s="2758"/>
      <c r="AE51" s="2758"/>
      <c r="AF51" s="2758"/>
      <c r="AG51" s="2759"/>
      <c r="AH51" s="2757" t="s">
        <v>2077</v>
      </c>
      <c r="AI51" s="2758"/>
      <c r="AJ51" s="2758"/>
      <c r="AK51" s="2758"/>
      <c r="AL51" s="2758"/>
      <c r="AM51" s="2758"/>
      <c r="AN51" s="2758"/>
      <c r="AO51" s="2759"/>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0" t="s">
        <v>2517</v>
      </c>
      <c r="C52" s="2761"/>
      <c r="D52" s="2761"/>
      <c r="E52" s="2761"/>
      <c r="F52" s="2761"/>
      <c r="G52" s="2761"/>
      <c r="H52" s="2761"/>
      <c r="I52" s="2761"/>
      <c r="J52" s="2761" t="s">
        <v>2626</v>
      </c>
      <c r="K52" s="2761"/>
      <c r="L52" s="2761"/>
      <c r="M52" s="2761"/>
      <c r="N52" s="2761"/>
      <c r="O52" s="2761"/>
      <c r="P52" s="2761"/>
      <c r="Q52" s="2761"/>
      <c r="R52" s="2762">
        <v>13300</v>
      </c>
      <c r="S52" s="2762"/>
      <c r="T52" s="2762"/>
      <c r="U52" s="2762"/>
      <c r="V52" s="2762"/>
      <c r="W52" s="2762"/>
      <c r="X52" s="2762"/>
      <c r="Y52" s="2762"/>
      <c r="Z52" s="2761">
        <f>84/52</f>
        <v>1.6153846153846154</v>
      </c>
      <c r="AA52" s="2761"/>
      <c r="AB52" s="2761"/>
      <c r="AC52" s="2761"/>
      <c r="AD52" s="2761"/>
      <c r="AE52" s="2761"/>
      <c r="AF52" s="2761"/>
      <c r="AG52" s="2761"/>
      <c r="AH52" s="2761"/>
      <c r="AI52" s="2761"/>
      <c r="AJ52" s="2761"/>
      <c r="AK52" s="2761"/>
      <c r="AL52" s="2761"/>
      <c r="AM52" s="2761"/>
      <c r="AN52" s="2761"/>
      <c r="AO52" s="276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0" t="s">
        <v>2517</v>
      </c>
      <c r="C53" s="2761"/>
      <c r="D53" s="2761"/>
      <c r="E53" s="2761"/>
      <c r="F53" s="2761"/>
      <c r="G53" s="2761"/>
      <c r="H53" s="2761"/>
      <c r="I53" s="2761"/>
      <c r="J53" s="2761" t="s">
        <v>2626</v>
      </c>
      <c r="K53" s="2761"/>
      <c r="L53" s="2761"/>
      <c r="M53" s="2761"/>
      <c r="N53" s="2761"/>
      <c r="O53" s="2761"/>
      <c r="P53" s="2761"/>
      <c r="Q53" s="2761"/>
      <c r="R53" s="2762">
        <v>13300</v>
      </c>
      <c r="S53" s="2762"/>
      <c r="T53" s="2762"/>
      <c r="U53" s="2762"/>
      <c r="V53" s="2762"/>
      <c r="W53" s="2762"/>
      <c r="X53" s="2762"/>
      <c r="Y53" s="2762"/>
      <c r="Z53" s="2761">
        <f>80/52</f>
        <v>1.5384615384615385</v>
      </c>
      <c r="AA53" s="2761"/>
      <c r="AB53" s="2761"/>
      <c r="AC53" s="2761"/>
      <c r="AD53" s="2761"/>
      <c r="AE53" s="2761"/>
      <c r="AF53" s="2761"/>
      <c r="AG53" s="2761"/>
      <c r="AH53" s="2761"/>
      <c r="AI53" s="2761"/>
      <c r="AJ53" s="2761"/>
      <c r="AK53" s="2761"/>
      <c r="AL53" s="2761"/>
      <c r="AM53" s="2761"/>
      <c r="AN53" s="2761"/>
      <c r="AO53" s="276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0"/>
      <c r="C54" s="2761"/>
      <c r="D54" s="2761"/>
      <c r="E54" s="2761"/>
      <c r="F54" s="2761"/>
      <c r="G54" s="2761"/>
      <c r="H54" s="2761"/>
      <c r="I54" s="2761"/>
      <c r="J54" s="2761"/>
      <c r="K54" s="2761"/>
      <c r="L54" s="2761"/>
      <c r="M54" s="2761"/>
      <c r="N54" s="2761"/>
      <c r="O54" s="2761"/>
      <c r="P54" s="2761"/>
      <c r="Q54" s="2761"/>
      <c r="R54" s="2762"/>
      <c r="S54" s="2762"/>
      <c r="T54" s="2762"/>
      <c r="U54" s="2762"/>
      <c r="V54" s="2762"/>
      <c r="W54" s="2762"/>
      <c r="X54" s="2762"/>
      <c r="Y54" s="2762"/>
      <c r="Z54" s="2761"/>
      <c r="AA54" s="2761"/>
      <c r="AB54" s="2761"/>
      <c r="AC54" s="2761"/>
      <c r="AD54" s="2761"/>
      <c r="AE54" s="2761"/>
      <c r="AF54" s="2761"/>
      <c r="AG54" s="2761"/>
      <c r="AH54" s="2761"/>
      <c r="AI54" s="2761"/>
      <c r="AJ54" s="2761"/>
      <c r="AK54" s="2761"/>
      <c r="AL54" s="2761"/>
      <c r="AM54" s="2761"/>
      <c r="AN54" s="2761"/>
      <c r="AO54" s="276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0"/>
      <c r="C55" s="2761"/>
      <c r="D55" s="2761"/>
      <c r="E55" s="2761"/>
      <c r="F55" s="2761"/>
      <c r="G55" s="2761"/>
      <c r="H55" s="2761"/>
      <c r="I55" s="2761"/>
      <c r="J55" s="2761"/>
      <c r="K55" s="2761"/>
      <c r="L55" s="2761"/>
      <c r="M55" s="2761"/>
      <c r="N55" s="2761"/>
      <c r="O55" s="2761"/>
      <c r="P55" s="2761"/>
      <c r="Q55" s="2761"/>
      <c r="R55" s="2762"/>
      <c r="S55" s="2762"/>
      <c r="T55" s="2762"/>
      <c r="U55" s="2762"/>
      <c r="V55" s="2762"/>
      <c r="W55" s="2762"/>
      <c r="X55" s="2762"/>
      <c r="Y55" s="2762"/>
      <c r="Z55" s="2761"/>
      <c r="AA55" s="2761"/>
      <c r="AB55" s="2761"/>
      <c r="AC55" s="2761"/>
      <c r="AD55" s="2761"/>
      <c r="AE55" s="2761"/>
      <c r="AF55" s="2761"/>
      <c r="AG55" s="2761"/>
      <c r="AH55" s="2761"/>
      <c r="AI55" s="2761"/>
      <c r="AJ55" s="2761"/>
      <c r="AK55" s="2761"/>
      <c r="AL55" s="2761"/>
      <c r="AM55" s="2761"/>
      <c r="AN55" s="2761"/>
      <c r="AO55" s="2763"/>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3"/>
      <c r="C56" s="2774"/>
      <c r="D56" s="2774"/>
      <c r="E56" s="2774"/>
      <c r="F56" s="2774"/>
      <c r="G56" s="2774"/>
      <c r="H56" s="2774"/>
      <c r="I56" s="2774"/>
      <c r="J56" s="2774"/>
      <c r="K56" s="2774"/>
      <c r="L56" s="2774"/>
      <c r="M56" s="2774"/>
      <c r="N56" s="2774"/>
      <c r="O56" s="2774"/>
      <c r="P56" s="2774"/>
      <c r="Q56" s="2774"/>
      <c r="R56" s="2775"/>
      <c r="S56" s="2775"/>
      <c r="T56" s="2775"/>
      <c r="U56" s="2775"/>
      <c r="V56" s="2775"/>
      <c r="W56" s="2775"/>
      <c r="X56" s="2775"/>
      <c r="Y56" s="2775"/>
      <c r="Z56" s="2774"/>
      <c r="AA56" s="2774"/>
      <c r="AB56" s="2774"/>
      <c r="AC56" s="2774"/>
      <c r="AD56" s="2774"/>
      <c r="AE56" s="2774"/>
      <c r="AF56" s="2774"/>
      <c r="AG56" s="2774"/>
      <c r="AH56" s="2774"/>
      <c r="AI56" s="2774"/>
      <c r="AJ56" s="2774"/>
      <c r="AK56" s="2774"/>
      <c r="AL56" s="2774"/>
      <c r="AM56" s="2774"/>
      <c r="AN56" s="2774"/>
      <c r="AO56" s="277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7" t="s">
        <v>1880</v>
      </c>
      <c r="C57" s="2778"/>
      <c r="D57" s="2778"/>
      <c r="E57" s="2778"/>
      <c r="F57" s="2778"/>
      <c r="G57" s="2778"/>
      <c r="H57" s="2778"/>
      <c r="I57" s="2778"/>
      <c r="J57" s="2778"/>
      <c r="K57" s="2778"/>
      <c r="L57" s="2778"/>
      <c r="M57" s="2778"/>
      <c r="N57" s="2778"/>
      <c r="O57" s="2778"/>
      <c r="P57" s="2778"/>
      <c r="Q57" s="2778"/>
      <c r="R57" s="2779">
        <f>SUM(R52:Y56)</f>
        <v>26600</v>
      </c>
      <c r="S57" s="2779"/>
      <c r="T57" s="2779"/>
      <c r="U57" s="2779"/>
      <c r="V57" s="2779"/>
      <c r="W57" s="2779"/>
      <c r="X57" s="2779"/>
      <c r="Y57" s="2779"/>
      <c r="Z57" s="2779">
        <f t="shared" ref="Z57" si="6">SUM(Z52:AG56)</f>
        <v>3.1538461538461542</v>
      </c>
      <c r="AA57" s="2779"/>
      <c r="AB57" s="2779"/>
      <c r="AC57" s="2779"/>
      <c r="AD57" s="2779"/>
      <c r="AE57" s="2779"/>
      <c r="AF57" s="2779"/>
      <c r="AG57" s="2779"/>
      <c r="AH57" s="2779">
        <f t="shared" ref="AH57" si="7">SUM(AH52:AO56)</f>
        <v>0</v>
      </c>
      <c r="AI57" s="2779"/>
      <c r="AJ57" s="2779"/>
      <c r="AK57" s="2779"/>
      <c r="AL57" s="2779"/>
      <c r="AM57" s="2779"/>
      <c r="AN57" s="2779"/>
      <c r="AO57" s="277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4" t="s">
        <v>2073</v>
      </c>
      <c r="C59" s="2765"/>
      <c r="D59" s="2765"/>
      <c r="E59" s="2765"/>
      <c r="F59" s="2765"/>
      <c r="G59" s="2765"/>
      <c r="H59" s="2765"/>
      <c r="I59" s="2766"/>
      <c r="J59" s="2767" t="s">
        <v>2078</v>
      </c>
      <c r="K59" s="2767"/>
      <c r="L59" s="2767"/>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7"/>
      <c r="AQ59" s="2767"/>
      <c r="AR59" s="2767"/>
      <c r="AS59" s="2767"/>
      <c r="AT59" s="2767"/>
      <c r="AU59" s="2767"/>
      <c r="AV59" s="2767"/>
      <c r="AW59" s="2768"/>
      <c r="AX59" s="1529"/>
      <c r="AY59" s="1529"/>
      <c r="AZ59" s="1529"/>
      <c r="BA59" s="1529"/>
      <c r="BB59" s="1529"/>
      <c r="BC59" s="1529"/>
      <c r="BD59" s="1529"/>
      <c r="BE59" s="1535"/>
    </row>
    <row r="60" spans="1:58" ht="15.75" customHeight="1">
      <c r="A60" s="1818"/>
      <c r="B60" s="2769" t="str">
        <f>IF(B52="", "", B52)</f>
        <v>Central Valley Coalition for Affordable Housing</v>
      </c>
      <c r="C60" s="2770"/>
      <c r="D60" s="2770"/>
      <c r="E60" s="2770"/>
      <c r="F60" s="2770"/>
      <c r="G60" s="2770"/>
      <c r="H60" s="2770"/>
      <c r="I60" s="2771"/>
      <c r="J60" s="2772" t="s">
        <v>2669</v>
      </c>
      <c r="K60" s="2761"/>
      <c r="L60" s="2761"/>
      <c r="M60" s="2761"/>
      <c r="N60" s="2761"/>
      <c r="O60" s="2761"/>
      <c r="P60" s="2761"/>
      <c r="Q60" s="2761"/>
      <c r="R60" s="2761"/>
      <c r="S60" s="2761"/>
      <c r="T60" s="2761"/>
      <c r="U60" s="2761"/>
      <c r="V60" s="2761"/>
      <c r="W60" s="2761"/>
      <c r="X60" s="2761"/>
      <c r="Y60" s="2761"/>
      <c r="Z60" s="2761"/>
      <c r="AA60" s="2761"/>
      <c r="AB60" s="2761"/>
      <c r="AC60" s="2761"/>
      <c r="AD60" s="2761"/>
      <c r="AE60" s="2761"/>
      <c r="AF60" s="2761"/>
      <c r="AG60" s="2761"/>
      <c r="AH60" s="2761"/>
      <c r="AI60" s="2761"/>
      <c r="AJ60" s="2761"/>
      <c r="AK60" s="2761"/>
      <c r="AL60" s="2761"/>
      <c r="AM60" s="2761"/>
      <c r="AN60" s="2761"/>
      <c r="AO60" s="2761"/>
      <c r="AP60" s="2761"/>
      <c r="AQ60" s="2761"/>
      <c r="AR60" s="2761"/>
      <c r="AS60" s="2761"/>
      <c r="AT60" s="2761"/>
      <c r="AU60" s="2761"/>
      <c r="AV60" s="2761"/>
      <c r="AW60" s="2763"/>
      <c r="AX60" s="1529"/>
      <c r="AY60" s="1529"/>
      <c r="AZ60" s="1529"/>
      <c r="BA60" s="1529"/>
      <c r="BB60" s="1529"/>
      <c r="BC60" s="1529"/>
      <c r="BD60" s="1529"/>
      <c r="BE60" s="1535"/>
    </row>
    <row r="61" spans="1:58" ht="15.75" customHeight="1">
      <c r="A61" s="1818"/>
      <c r="B61" s="2769" t="str">
        <f t="shared" ref="B61:B64" si="8">IF(B53="", "", B53)</f>
        <v>Central Valley Coalition for Affordable Housing</v>
      </c>
      <c r="C61" s="2770"/>
      <c r="D61" s="2770"/>
      <c r="E61" s="2770"/>
      <c r="F61" s="2770"/>
      <c r="G61" s="2770"/>
      <c r="H61" s="2770"/>
      <c r="I61" s="2771"/>
      <c r="J61" s="2772" t="s">
        <v>2668</v>
      </c>
      <c r="K61" s="2761"/>
      <c r="L61" s="2761"/>
      <c r="M61" s="2761"/>
      <c r="N61" s="2761"/>
      <c r="O61" s="2761"/>
      <c r="P61" s="2761"/>
      <c r="Q61" s="2761"/>
      <c r="R61" s="2761"/>
      <c r="S61" s="2761"/>
      <c r="T61" s="2761"/>
      <c r="U61" s="2761"/>
      <c r="V61" s="2761"/>
      <c r="W61" s="2761"/>
      <c r="X61" s="2761"/>
      <c r="Y61" s="2761"/>
      <c r="Z61" s="2761"/>
      <c r="AA61" s="2761"/>
      <c r="AB61" s="2761"/>
      <c r="AC61" s="2761"/>
      <c r="AD61" s="2761"/>
      <c r="AE61" s="2761"/>
      <c r="AF61" s="2761"/>
      <c r="AG61" s="2761"/>
      <c r="AH61" s="2761"/>
      <c r="AI61" s="2761"/>
      <c r="AJ61" s="2761"/>
      <c r="AK61" s="2761"/>
      <c r="AL61" s="2761"/>
      <c r="AM61" s="2761"/>
      <c r="AN61" s="2761"/>
      <c r="AO61" s="2761"/>
      <c r="AP61" s="2761"/>
      <c r="AQ61" s="2761"/>
      <c r="AR61" s="2761"/>
      <c r="AS61" s="2761"/>
      <c r="AT61" s="2761"/>
      <c r="AU61" s="2761"/>
      <c r="AV61" s="2761"/>
      <c r="AW61" s="2763"/>
      <c r="AX61" s="1529"/>
      <c r="AY61" s="1529"/>
      <c r="AZ61" s="1529"/>
      <c r="BA61" s="1529"/>
      <c r="BB61" s="1529"/>
      <c r="BC61" s="1529"/>
      <c r="BD61" s="1529"/>
      <c r="BE61" s="1535"/>
    </row>
    <row r="62" spans="1:58" ht="15.75" customHeight="1">
      <c r="A62" s="1818"/>
      <c r="B62" s="2769" t="str">
        <f t="shared" si="8"/>
        <v/>
      </c>
      <c r="C62" s="2770"/>
      <c r="D62" s="2770"/>
      <c r="E62" s="2770"/>
      <c r="F62" s="2770"/>
      <c r="G62" s="2770"/>
      <c r="H62" s="2770"/>
      <c r="I62" s="2771"/>
      <c r="J62" s="2772"/>
      <c r="K62" s="2761"/>
      <c r="L62" s="2761"/>
      <c r="M62" s="2761"/>
      <c r="N62" s="2761"/>
      <c r="O62" s="2761"/>
      <c r="P62" s="2761"/>
      <c r="Q62" s="2761"/>
      <c r="R62" s="2761"/>
      <c r="S62" s="2761"/>
      <c r="T62" s="2761"/>
      <c r="U62" s="2761"/>
      <c r="V62" s="2761"/>
      <c r="W62" s="2761"/>
      <c r="X62" s="2761"/>
      <c r="Y62" s="2761"/>
      <c r="Z62" s="2761"/>
      <c r="AA62" s="2761"/>
      <c r="AB62" s="2761"/>
      <c r="AC62" s="2761"/>
      <c r="AD62" s="2761"/>
      <c r="AE62" s="2761"/>
      <c r="AF62" s="2761"/>
      <c r="AG62" s="2761"/>
      <c r="AH62" s="2761"/>
      <c r="AI62" s="2761"/>
      <c r="AJ62" s="2761"/>
      <c r="AK62" s="2761"/>
      <c r="AL62" s="2761"/>
      <c r="AM62" s="2761"/>
      <c r="AN62" s="2761"/>
      <c r="AO62" s="2761"/>
      <c r="AP62" s="2761"/>
      <c r="AQ62" s="2761"/>
      <c r="AR62" s="2761"/>
      <c r="AS62" s="2761"/>
      <c r="AT62" s="2761"/>
      <c r="AU62" s="2761"/>
      <c r="AV62" s="2761"/>
      <c r="AW62" s="2763"/>
      <c r="AX62" s="1529"/>
      <c r="AY62" s="1529"/>
      <c r="AZ62" s="1529"/>
      <c r="BA62" s="1529"/>
      <c r="BB62" s="1529"/>
      <c r="BC62" s="1529"/>
      <c r="BD62" s="1529"/>
      <c r="BE62" s="1535"/>
    </row>
    <row r="63" spans="1:58" ht="15.75" customHeight="1">
      <c r="A63" s="1818"/>
      <c r="B63" s="2769" t="str">
        <f t="shared" si="8"/>
        <v/>
      </c>
      <c r="C63" s="2770"/>
      <c r="D63" s="2770"/>
      <c r="E63" s="2770"/>
      <c r="F63" s="2770"/>
      <c r="G63" s="2770"/>
      <c r="H63" s="2770"/>
      <c r="I63" s="2771"/>
      <c r="J63" s="2772"/>
      <c r="K63" s="2761"/>
      <c r="L63" s="2761"/>
      <c r="M63" s="2761"/>
      <c r="N63" s="2761"/>
      <c r="O63" s="2761"/>
      <c r="P63" s="2761"/>
      <c r="Q63" s="2761"/>
      <c r="R63" s="2761"/>
      <c r="S63" s="2761"/>
      <c r="T63" s="2761"/>
      <c r="U63" s="2761"/>
      <c r="V63" s="2761"/>
      <c r="W63" s="2761"/>
      <c r="X63" s="2761"/>
      <c r="Y63" s="2761"/>
      <c r="Z63" s="2761"/>
      <c r="AA63" s="2761"/>
      <c r="AB63" s="2761"/>
      <c r="AC63" s="2761"/>
      <c r="AD63" s="2761"/>
      <c r="AE63" s="2761"/>
      <c r="AF63" s="2761"/>
      <c r="AG63" s="2761"/>
      <c r="AH63" s="2761"/>
      <c r="AI63" s="2761"/>
      <c r="AJ63" s="2761"/>
      <c r="AK63" s="2761"/>
      <c r="AL63" s="2761"/>
      <c r="AM63" s="2761"/>
      <c r="AN63" s="2761"/>
      <c r="AO63" s="2761"/>
      <c r="AP63" s="2761"/>
      <c r="AQ63" s="2761"/>
      <c r="AR63" s="2761"/>
      <c r="AS63" s="2761"/>
      <c r="AT63" s="2761"/>
      <c r="AU63" s="2761"/>
      <c r="AV63" s="2761"/>
      <c r="AW63" s="2763"/>
      <c r="AX63" s="1529"/>
      <c r="AY63" s="1529"/>
      <c r="AZ63" s="1529"/>
      <c r="BA63" s="1529"/>
      <c r="BB63" s="1529"/>
      <c r="BC63" s="1529"/>
      <c r="BD63" s="1529"/>
      <c r="BE63" s="1535"/>
    </row>
    <row r="64" spans="1:58" ht="15.75" customHeight="1" thickBot="1">
      <c r="A64" s="1818"/>
      <c r="B64" s="2792" t="str">
        <f t="shared" si="8"/>
        <v/>
      </c>
      <c r="C64" s="2793"/>
      <c r="D64" s="2793"/>
      <c r="E64" s="2793"/>
      <c r="F64" s="2793"/>
      <c r="G64" s="2793"/>
      <c r="H64" s="2793"/>
      <c r="I64" s="2794"/>
      <c r="J64" s="2795"/>
      <c r="K64" s="2774"/>
      <c r="L64" s="2774"/>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c r="AS64" s="2774"/>
      <c r="AT64" s="2774"/>
      <c r="AU64" s="2774"/>
      <c r="AV64" s="2774"/>
      <c r="AW64" s="277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2" t="s">
        <v>2080</v>
      </c>
      <c r="C68" s="2643"/>
      <c r="D68" s="2643"/>
      <c r="E68" s="2643"/>
      <c r="F68" s="2643"/>
      <c r="G68" s="2643"/>
      <c r="H68" s="2643"/>
      <c r="I68" s="2643"/>
      <c r="J68" s="2643"/>
      <c r="K68" s="2643"/>
      <c r="L68" s="2643"/>
      <c r="M68" s="2643"/>
      <c r="N68" s="2643"/>
      <c r="O68" s="2643"/>
      <c r="P68" s="2643"/>
      <c r="Q68" s="2643"/>
      <c r="R68" s="2643"/>
      <c r="S68" s="2643"/>
      <c r="T68" s="2643"/>
      <c r="U68" s="2643"/>
      <c r="V68" s="2643"/>
      <c r="W68" s="2643"/>
      <c r="X68" s="2643"/>
      <c r="Y68" s="2643"/>
      <c r="Z68" s="2643"/>
      <c r="AA68" s="2644"/>
      <c r="AB68" s="1529"/>
      <c r="AC68" s="2808" t="s">
        <v>2081</v>
      </c>
      <c r="AD68" s="2809"/>
      <c r="AE68" s="2809"/>
      <c r="AF68" s="2809"/>
      <c r="AG68" s="2809"/>
      <c r="AH68" s="2809"/>
      <c r="AI68" s="2809"/>
      <c r="AJ68" s="2809"/>
      <c r="AK68" s="2809"/>
      <c r="AL68" s="2809"/>
      <c r="AM68" s="2809"/>
      <c r="AN68" s="2809"/>
      <c r="AO68" s="2809"/>
      <c r="AP68" s="2809"/>
      <c r="AQ68" s="2809"/>
      <c r="AR68" s="2809"/>
      <c r="AS68" s="2809"/>
      <c r="AT68" s="2809"/>
      <c r="AU68" s="2809"/>
      <c r="AV68" s="2780" t="s">
        <v>2628</v>
      </c>
      <c r="AW68" s="2780"/>
      <c r="AX68" s="2780"/>
      <c r="AY68" s="2780"/>
      <c r="AZ68" s="2780"/>
      <c r="BA68" s="2780"/>
      <c r="BB68" s="2780"/>
      <c r="BC68" s="2781"/>
      <c r="BD68" s="1529"/>
      <c r="BE68" s="1535"/>
    </row>
    <row r="69" spans="1:57" ht="15.75" customHeight="1" thickBot="1">
      <c r="A69" s="1818"/>
      <c r="B69" s="2782" t="s">
        <v>2082</v>
      </c>
      <c r="C69" s="2783"/>
      <c r="D69" s="2783"/>
      <c r="E69" s="2783"/>
      <c r="F69" s="2783"/>
      <c r="G69" s="2783"/>
      <c r="H69" s="2783"/>
      <c r="I69" s="2783"/>
      <c r="J69" s="2783"/>
      <c r="K69" s="2783"/>
      <c r="L69" s="2783"/>
      <c r="M69" s="2783"/>
      <c r="N69" s="2783"/>
      <c r="O69" s="2784" t="s">
        <v>2083</v>
      </c>
      <c r="P69" s="2785"/>
      <c r="Q69" s="2785"/>
      <c r="R69" s="2785"/>
      <c r="S69" s="2785"/>
      <c r="T69" s="2785"/>
      <c r="U69" s="2785"/>
      <c r="V69" s="2785"/>
      <c r="W69" s="2785"/>
      <c r="X69" s="2785"/>
      <c r="Y69" s="2785"/>
      <c r="Z69" s="2785"/>
      <c r="AA69" s="2786"/>
      <c r="AB69" s="1529"/>
      <c r="AC69" s="2787" t="s">
        <v>2084</v>
      </c>
      <c r="AD69" s="2788"/>
      <c r="AE69" s="2788"/>
      <c r="AF69" s="2788"/>
      <c r="AG69" s="2788"/>
      <c r="AH69" s="2788"/>
      <c r="AI69" s="2788"/>
      <c r="AJ69" s="2788"/>
      <c r="AK69" s="2788"/>
      <c r="AL69" s="2788"/>
      <c r="AM69" s="2788"/>
      <c r="AN69" s="2788"/>
      <c r="AO69" s="2788"/>
      <c r="AP69" s="2788"/>
      <c r="AQ69" s="2788"/>
      <c r="AR69" s="2788"/>
      <c r="AS69" s="2788"/>
      <c r="AT69" s="2788"/>
      <c r="AU69" s="2788"/>
      <c r="AV69" s="2789" t="s">
        <v>625</v>
      </c>
      <c r="AW69" s="2790"/>
      <c r="AX69" s="2790"/>
      <c r="AY69" s="2790"/>
      <c r="AZ69" s="2790"/>
      <c r="BA69" s="2790"/>
      <c r="BB69" s="2790"/>
      <c r="BC69" s="2791"/>
      <c r="BD69" s="1529"/>
      <c r="BE69" s="1535"/>
    </row>
    <row r="70" spans="1:57" ht="15.75" customHeight="1">
      <c r="A70" s="1818"/>
      <c r="B70" s="2796" t="s">
        <v>2627</v>
      </c>
      <c r="C70" s="2797"/>
      <c r="D70" s="2797"/>
      <c r="E70" s="2797"/>
      <c r="F70" s="2797"/>
      <c r="G70" s="2797"/>
      <c r="H70" s="2797"/>
      <c r="I70" s="2797"/>
      <c r="J70" s="2797"/>
      <c r="K70" s="2797"/>
      <c r="L70" s="2797"/>
      <c r="M70" s="2797"/>
      <c r="N70" s="2797"/>
      <c r="O70" s="2798">
        <v>4050000</v>
      </c>
      <c r="P70" s="2798"/>
      <c r="Q70" s="2798"/>
      <c r="R70" s="2798"/>
      <c r="S70" s="2798"/>
      <c r="T70" s="2798"/>
      <c r="U70" s="2798"/>
      <c r="V70" s="2798"/>
      <c r="W70" s="2798"/>
      <c r="X70" s="2798"/>
      <c r="Y70" s="2798"/>
      <c r="Z70" s="2798"/>
      <c r="AA70" s="2799"/>
      <c r="AB70" s="1529"/>
      <c r="AC70" s="2800" t="s">
        <v>2085</v>
      </c>
      <c r="AD70" s="2801"/>
      <c r="AE70" s="2801"/>
      <c r="AF70" s="2802" t="s">
        <v>2629</v>
      </c>
      <c r="AG70" s="2803"/>
      <c r="AH70" s="2803"/>
      <c r="AI70" s="2803"/>
      <c r="AJ70" s="2803"/>
      <c r="AK70" s="2803"/>
      <c r="AL70" s="2803"/>
      <c r="AM70" s="2803"/>
      <c r="AN70" s="2803"/>
      <c r="AO70" s="2803"/>
      <c r="AP70" s="2803"/>
      <c r="AQ70" s="2803"/>
      <c r="AR70" s="2803"/>
      <c r="AS70" s="2803"/>
      <c r="AT70" s="2803"/>
      <c r="AU70" s="2804"/>
      <c r="AV70" s="1529"/>
      <c r="AW70" s="1529"/>
      <c r="AX70" s="1529"/>
      <c r="AY70" s="1529"/>
      <c r="AZ70" s="1529"/>
      <c r="BA70" s="1529"/>
      <c r="BB70" s="1529"/>
      <c r="BC70" s="1529"/>
      <c r="BD70" s="1529"/>
      <c r="BE70" s="1535"/>
    </row>
    <row r="71" spans="1:57" ht="15.75" customHeight="1" thickBot="1">
      <c r="A71" s="1818"/>
      <c r="B71" s="2729"/>
      <c r="C71" s="2727"/>
      <c r="D71" s="2727"/>
      <c r="E71" s="2727"/>
      <c r="F71" s="2727"/>
      <c r="G71" s="2727"/>
      <c r="H71" s="2727"/>
      <c r="I71" s="2727"/>
      <c r="J71" s="2727"/>
      <c r="K71" s="2727"/>
      <c r="L71" s="2727"/>
      <c r="M71" s="2727"/>
      <c r="N71" s="2727"/>
      <c r="O71" s="2798"/>
      <c r="P71" s="2798"/>
      <c r="Q71" s="2798"/>
      <c r="R71" s="2798"/>
      <c r="S71" s="2798"/>
      <c r="T71" s="2798"/>
      <c r="U71" s="2798"/>
      <c r="V71" s="2798"/>
      <c r="W71" s="2798"/>
      <c r="X71" s="2798"/>
      <c r="Y71" s="2798"/>
      <c r="Z71" s="2798"/>
      <c r="AA71" s="2799"/>
      <c r="AB71" s="1529"/>
      <c r="AC71" s="2805" t="s">
        <v>2086</v>
      </c>
      <c r="AD71" s="2806"/>
      <c r="AE71" s="2806"/>
      <c r="AF71" s="2807" t="s">
        <v>2630</v>
      </c>
      <c r="AG71" s="2744"/>
      <c r="AH71" s="2744"/>
      <c r="AI71" s="2744"/>
      <c r="AJ71" s="2744"/>
      <c r="AK71" s="2744"/>
      <c r="AL71" s="2744"/>
      <c r="AM71" s="2744"/>
      <c r="AN71" s="2744"/>
      <c r="AO71" s="2744"/>
      <c r="AP71" s="2744"/>
      <c r="AQ71" s="2744"/>
      <c r="AR71" s="2744"/>
      <c r="AS71" s="2744"/>
      <c r="AT71" s="2744"/>
      <c r="AU71" s="2745"/>
      <c r="AV71" s="1529"/>
      <c r="AW71" s="1529"/>
      <c r="AX71" s="1529"/>
      <c r="AY71" s="1529"/>
      <c r="AZ71" s="1529"/>
      <c r="BA71" s="1529"/>
      <c r="BB71" s="1529"/>
      <c r="BC71" s="1529"/>
      <c r="BD71" s="1529"/>
      <c r="BE71" s="1535"/>
    </row>
    <row r="72" spans="1:57" ht="15.75" customHeight="1">
      <c r="A72" s="1818"/>
      <c r="B72" s="2729"/>
      <c r="C72" s="2727"/>
      <c r="D72" s="2727"/>
      <c r="E72" s="2727"/>
      <c r="F72" s="2727"/>
      <c r="G72" s="2727"/>
      <c r="H72" s="2727"/>
      <c r="I72" s="2727"/>
      <c r="J72" s="2727"/>
      <c r="K72" s="2727"/>
      <c r="L72" s="2727"/>
      <c r="M72" s="2727"/>
      <c r="N72" s="2727"/>
      <c r="O72" s="2798"/>
      <c r="P72" s="2798"/>
      <c r="Q72" s="2798"/>
      <c r="R72" s="2798"/>
      <c r="S72" s="2798"/>
      <c r="T72" s="2798"/>
      <c r="U72" s="2798"/>
      <c r="V72" s="2798"/>
      <c r="W72" s="2798"/>
      <c r="X72" s="2798"/>
      <c r="Y72" s="2798"/>
      <c r="Z72" s="2798"/>
      <c r="AA72" s="2799"/>
      <c r="AB72" s="1529"/>
      <c r="AC72" s="2815" t="s">
        <v>2087</v>
      </c>
      <c r="AD72" s="2816"/>
      <c r="AE72" s="2816"/>
      <c r="AF72" s="2816"/>
      <c r="AG72" s="2816"/>
      <c r="AH72" s="2816"/>
      <c r="AI72" s="2816"/>
      <c r="AJ72" s="2816"/>
      <c r="AK72" s="2816"/>
      <c r="AL72" s="2816"/>
      <c r="AM72" s="2816"/>
      <c r="AN72" s="2816"/>
      <c r="AO72" s="2816"/>
      <c r="AP72" s="2816"/>
      <c r="AQ72" s="2816"/>
      <c r="AR72" s="2816"/>
      <c r="AS72" s="2816"/>
      <c r="AT72" s="2816"/>
      <c r="AU72" s="2816"/>
      <c r="AV72" s="2816"/>
      <c r="AW72" s="2816"/>
      <c r="AX72" s="2816"/>
      <c r="AY72" s="2816"/>
      <c r="AZ72" s="2816"/>
      <c r="BA72" s="2816"/>
      <c r="BB72" s="2816"/>
      <c r="BC72" s="2817"/>
      <c r="BD72" s="1529"/>
      <c r="BE72" s="1535"/>
    </row>
    <row r="73" spans="1:57" ht="15.75" customHeight="1">
      <c r="A73" s="1818"/>
      <c r="B73" s="2729"/>
      <c r="C73" s="2727"/>
      <c r="D73" s="2727"/>
      <c r="E73" s="2727"/>
      <c r="F73" s="2727"/>
      <c r="G73" s="2727"/>
      <c r="H73" s="2727"/>
      <c r="I73" s="2727"/>
      <c r="J73" s="2727"/>
      <c r="K73" s="2727"/>
      <c r="L73" s="2727"/>
      <c r="M73" s="2727"/>
      <c r="N73" s="2727"/>
      <c r="O73" s="2798"/>
      <c r="P73" s="2798"/>
      <c r="Q73" s="2798"/>
      <c r="R73" s="2798"/>
      <c r="S73" s="2798"/>
      <c r="T73" s="2798"/>
      <c r="U73" s="2798"/>
      <c r="V73" s="2798"/>
      <c r="W73" s="2798"/>
      <c r="X73" s="2798"/>
      <c r="Y73" s="2798"/>
      <c r="Z73" s="2798"/>
      <c r="AA73" s="2799"/>
      <c r="AB73" s="1529"/>
      <c r="AC73" s="2729"/>
      <c r="AD73" s="2727"/>
      <c r="AE73" s="2727"/>
      <c r="AF73" s="2727"/>
      <c r="AG73" s="2727"/>
      <c r="AH73" s="2727"/>
      <c r="AI73" s="2727"/>
      <c r="AJ73" s="2727"/>
      <c r="AK73" s="2727"/>
      <c r="AL73" s="2727"/>
      <c r="AM73" s="2727"/>
      <c r="AN73" s="2727"/>
      <c r="AO73" s="2727"/>
      <c r="AP73" s="2727"/>
      <c r="AQ73" s="2727"/>
      <c r="AR73" s="2727"/>
      <c r="AS73" s="2727"/>
      <c r="AT73" s="2727"/>
      <c r="AU73" s="2727"/>
      <c r="AV73" s="2727"/>
      <c r="AW73" s="2727"/>
      <c r="AX73" s="2727"/>
      <c r="AY73" s="2727"/>
      <c r="AZ73" s="2727"/>
      <c r="BA73" s="2727"/>
      <c r="BB73" s="2727"/>
      <c r="BC73" s="2728"/>
      <c r="BD73" s="1529"/>
      <c r="BE73" s="1535"/>
    </row>
    <row r="74" spans="1:57" ht="15.75" customHeight="1" thickBot="1">
      <c r="A74" s="1818"/>
      <c r="B74" s="2729"/>
      <c r="C74" s="2727"/>
      <c r="D74" s="2727"/>
      <c r="E74" s="2727"/>
      <c r="F74" s="2727"/>
      <c r="G74" s="2727"/>
      <c r="H74" s="2727"/>
      <c r="I74" s="2727"/>
      <c r="J74" s="2727"/>
      <c r="K74" s="2727"/>
      <c r="L74" s="2727"/>
      <c r="M74" s="2727"/>
      <c r="N74" s="2727"/>
      <c r="O74" s="2818"/>
      <c r="P74" s="2818"/>
      <c r="Q74" s="2818"/>
      <c r="R74" s="2818"/>
      <c r="S74" s="2818"/>
      <c r="T74" s="2818"/>
      <c r="U74" s="2818"/>
      <c r="V74" s="2818"/>
      <c r="W74" s="2818"/>
      <c r="X74" s="2818"/>
      <c r="Y74" s="2818"/>
      <c r="Z74" s="2818"/>
      <c r="AA74" s="2819"/>
      <c r="AB74" s="1529"/>
      <c r="AC74" s="2729"/>
      <c r="AD74" s="2727"/>
      <c r="AE74" s="2727"/>
      <c r="AF74" s="2727"/>
      <c r="AG74" s="2727"/>
      <c r="AH74" s="2727"/>
      <c r="AI74" s="2727"/>
      <c r="AJ74" s="2727"/>
      <c r="AK74" s="2727"/>
      <c r="AL74" s="2727"/>
      <c r="AM74" s="2727"/>
      <c r="AN74" s="2727"/>
      <c r="AO74" s="2727"/>
      <c r="AP74" s="2727"/>
      <c r="AQ74" s="2727"/>
      <c r="AR74" s="2727"/>
      <c r="AS74" s="2727"/>
      <c r="AT74" s="2727"/>
      <c r="AU74" s="2727"/>
      <c r="AV74" s="2727"/>
      <c r="AW74" s="2727"/>
      <c r="AX74" s="2727"/>
      <c r="AY74" s="2727"/>
      <c r="AZ74" s="2727"/>
      <c r="BA74" s="2727"/>
      <c r="BB74" s="2727"/>
      <c r="BC74" s="2728"/>
      <c r="BD74" s="1529"/>
      <c r="BE74" s="1535"/>
    </row>
    <row r="75" spans="1:57" ht="15.75" customHeight="1" thickTop="1" thickBot="1">
      <c r="A75" s="1818"/>
      <c r="B75" s="2820" t="s">
        <v>129</v>
      </c>
      <c r="C75" s="2821"/>
      <c r="D75" s="2821"/>
      <c r="E75" s="2821"/>
      <c r="F75" s="2821"/>
      <c r="G75" s="2821"/>
      <c r="H75" s="2821"/>
      <c r="I75" s="2821"/>
      <c r="J75" s="2821"/>
      <c r="K75" s="2821"/>
      <c r="L75" s="2821"/>
      <c r="M75" s="2821"/>
      <c r="N75" s="2821"/>
      <c r="O75" s="2822">
        <f>SUM(O70:AA74)</f>
        <v>4050000</v>
      </c>
      <c r="P75" s="2823"/>
      <c r="Q75" s="2823"/>
      <c r="R75" s="2823"/>
      <c r="S75" s="2823"/>
      <c r="T75" s="2823"/>
      <c r="U75" s="2823"/>
      <c r="V75" s="2823"/>
      <c r="W75" s="2823"/>
      <c r="X75" s="2823"/>
      <c r="Y75" s="2823"/>
      <c r="Z75" s="2823"/>
      <c r="AA75" s="2824"/>
      <c r="AB75" s="1529"/>
      <c r="AC75" s="2729"/>
      <c r="AD75" s="2727"/>
      <c r="AE75" s="2727"/>
      <c r="AF75" s="2727"/>
      <c r="AG75" s="2727"/>
      <c r="AH75" s="2727"/>
      <c r="AI75" s="2727"/>
      <c r="AJ75" s="2727"/>
      <c r="AK75" s="2727"/>
      <c r="AL75" s="2727"/>
      <c r="AM75" s="2727"/>
      <c r="AN75" s="2727"/>
      <c r="AO75" s="2727"/>
      <c r="AP75" s="2727"/>
      <c r="AQ75" s="2727"/>
      <c r="AR75" s="2727"/>
      <c r="AS75" s="2727"/>
      <c r="AT75" s="2727"/>
      <c r="AU75" s="2727"/>
      <c r="AV75" s="2727"/>
      <c r="AW75" s="2727"/>
      <c r="AX75" s="2727"/>
      <c r="AY75" s="2727"/>
      <c r="AZ75" s="2727"/>
      <c r="BA75" s="2727"/>
      <c r="BB75" s="2727"/>
      <c r="BC75" s="272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9"/>
      <c r="AD76" s="2727"/>
      <c r="AE76" s="2727"/>
      <c r="AF76" s="2727"/>
      <c r="AG76" s="2727"/>
      <c r="AH76" s="2727"/>
      <c r="AI76" s="2727"/>
      <c r="AJ76" s="2727"/>
      <c r="AK76" s="2727"/>
      <c r="AL76" s="2727"/>
      <c r="AM76" s="2727"/>
      <c r="AN76" s="2727"/>
      <c r="AO76" s="2727"/>
      <c r="AP76" s="2727"/>
      <c r="AQ76" s="2727"/>
      <c r="AR76" s="2727"/>
      <c r="AS76" s="2727"/>
      <c r="AT76" s="2727"/>
      <c r="AU76" s="2727"/>
      <c r="AV76" s="2727"/>
      <c r="AW76" s="2727"/>
      <c r="AX76" s="2727"/>
      <c r="AY76" s="2727"/>
      <c r="AZ76" s="2727"/>
      <c r="BA76" s="2727"/>
      <c r="BB76" s="2727"/>
      <c r="BC76" s="2728"/>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6"/>
      <c r="AD77" s="2744"/>
      <c r="AE77" s="2744"/>
      <c r="AF77" s="2744"/>
      <c r="AG77" s="2744"/>
      <c r="AH77" s="2744"/>
      <c r="AI77" s="2744"/>
      <c r="AJ77" s="2744"/>
      <c r="AK77" s="2744"/>
      <c r="AL77" s="2744"/>
      <c r="AM77" s="2744"/>
      <c r="AN77" s="2744"/>
      <c r="AO77" s="2744"/>
      <c r="AP77" s="2744"/>
      <c r="AQ77" s="2744"/>
      <c r="AR77" s="2744"/>
      <c r="AS77" s="2744"/>
      <c r="AT77" s="2744"/>
      <c r="AU77" s="2744"/>
      <c r="AV77" s="2744"/>
      <c r="AW77" s="2744"/>
      <c r="AX77" s="2744"/>
      <c r="AY77" s="2744"/>
      <c r="AZ77" s="2744"/>
      <c r="BA77" s="2744"/>
      <c r="BB77" s="2744"/>
      <c r="BC77" s="274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3" t="s">
        <v>2089</v>
      </c>
      <c r="C79" s="2614"/>
      <c r="D79" s="2614"/>
      <c r="E79" s="2614"/>
      <c r="F79" s="2614"/>
      <c r="G79" s="2614"/>
      <c r="H79" s="2614"/>
      <c r="I79" s="2614"/>
      <c r="J79" s="2614"/>
      <c r="K79" s="2614"/>
      <c r="L79" s="2614"/>
      <c r="M79" s="2614"/>
      <c r="N79" s="2614"/>
      <c r="O79" s="2614"/>
      <c r="P79" s="2614"/>
      <c r="Q79" s="2614"/>
      <c r="R79" s="2614"/>
      <c r="S79" s="2614"/>
      <c r="T79" s="2614"/>
      <c r="U79" s="2614"/>
      <c r="V79" s="2614"/>
      <c r="W79" s="2614"/>
      <c r="X79" s="2614"/>
      <c r="Y79" s="2614"/>
      <c r="Z79" s="2614"/>
      <c r="AA79" s="2614"/>
      <c r="AB79" s="2810"/>
      <c r="AC79" s="2810"/>
      <c r="AD79" s="2810"/>
      <c r="AE79" s="2810"/>
      <c r="AF79" s="2810"/>
      <c r="AG79" s="281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3"/>
      <c r="C80" s="2614"/>
      <c r="D80" s="2614"/>
      <c r="E80" s="2614"/>
      <c r="F80" s="2614"/>
      <c r="G80" s="2614"/>
      <c r="H80" s="2615"/>
      <c r="I80" s="2812" t="s">
        <v>2090</v>
      </c>
      <c r="J80" s="2813"/>
      <c r="K80" s="2813"/>
      <c r="L80" s="2813"/>
      <c r="M80" s="2813"/>
      <c r="N80" s="2814"/>
      <c r="O80" s="2812" t="s">
        <v>2091</v>
      </c>
      <c r="P80" s="2813"/>
      <c r="Q80" s="2813"/>
      <c r="R80" s="2813"/>
      <c r="S80" s="2813"/>
      <c r="T80" s="2813"/>
      <c r="U80" s="2814"/>
      <c r="V80" s="2812" t="s">
        <v>2092</v>
      </c>
      <c r="W80" s="2813"/>
      <c r="X80" s="2813"/>
      <c r="Y80" s="2813"/>
      <c r="Z80" s="2813"/>
      <c r="AA80" s="2814"/>
      <c r="AB80" s="2812" t="s">
        <v>2093</v>
      </c>
      <c r="AC80" s="2813"/>
      <c r="AD80" s="2813"/>
      <c r="AE80" s="2813"/>
      <c r="AF80" s="2813"/>
      <c r="AG80" s="281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2" t="s">
        <v>2094</v>
      </c>
      <c r="C81" s="2813"/>
      <c r="D81" s="2813"/>
      <c r="E81" s="2813"/>
      <c r="F81" s="2813"/>
      <c r="G81" s="2813"/>
      <c r="H81" s="2814"/>
      <c r="I81" s="2831">
        <v>7</v>
      </c>
      <c r="J81" s="2832"/>
      <c r="K81" s="2832"/>
      <c r="L81" s="2832"/>
      <c r="M81" s="2832"/>
      <c r="N81" s="2832"/>
      <c r="O81" s="2832">
        <v>3</v>
      </c>
      <c r="P81" s="2832"/>
      <c r="Q81" s="2832"/>
      <c r="R81" s="2832"/>
      <c r="S81" s="2832"/>
      <c r="T81" s="2832"/>
      <c r="U81" s="2832"/>
      <c r="V81" s="2832">
        <v>20</v>
      </c>
      <c r="W81" s="2832"/>
      <c r="X81" s="2832"/>
      <c r="Y81" s="2832"/>
      <c r="Z81" s="2832"/>
      <c r="AA81" s="2833"/>
      <c r="AB81" s="2832">
        <v>1</v>
      </c>
      <c r="AC81" s="2832"/>
      <c r="AD81" s="2832"/>
      <c r="AE81" s="2832"/>
      <c r="AF81" s="2832"/>
      <c r="AG81" s="2833"/>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2" t="s">
        <v>2095</v>
      </c>
      <c r="C82" s="2813"/>
      <c r="D82" s="2813"/>
      <c r="E82" s="2813"/>
      <c r="F82" s="2813"/>
      <c r="G82" s="2813"/>
      <c r="H82" s="2814"/>
      <c r="I82" s="2834">
        <v>613</v>
      </c>
      <c r="J82" s="2835"/>
      <c r="K82" s="2835"/>
      <c r="L82" s="2835"/>
      <c r="M82" s="2835"/>
      <c r="N82" s="2835"/>
      <c r="O82" s="2835">
        <v>217</v>
      </c>
      <c r="P82" s="2835"/>
      <c r="Q82" s="2835"/>
      <c r="R82" s="2835"/>
      <c r="S82" s="2835"/>
      <c r="T82" s="2835"/>
      <c r="U82" s="2835"/>
      <c r="V82" s="2835">
        <v>1108</v>
      </c>
      <c r="W82" s="2835"/>
      <c r="X82" s="2835"/>
      <c r="Y82" s="2835"/>
      <c r="Z82" s="2835"/>
      <c r="AA82" s="2836"/>
      <c r="AB82" s="2835">
        <v>102</v>
      </c>
      <c r="AC82" s="2835"/>
      <c r="AD82" s="2835"/>
      <c r="AE82" s="2835"/>
      <c r="AF82" s="2835"/>
      <c r="AG82" s="283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5" t="s">
        <v>2097</v>
      </c>
      <c r="C86" s="2826"/>
      <c r="D86" s="2826"/>
      <c r="E86" s="2826"/>
      <c r="F86" s="2826"/>
      <c r="G86" s="2826"/>
      <c r="H86" s="2826"/>
      <c r="I86" s="2826"/>
      <c r="J86" s="2826"/>
      <c r="K86" s="2826"/>
      <c r="L86" s="2826"/>
      <c r="M86" s="2826"/>
      <c r="N86" s="2826"/>
      <c r="O86" s="2826"/>
      <c r="P86" s="2826"/>
      <c r="Q86" s="2826"/>
      <c r="R86" s="2826"/>
      <c r="S86" s="2826"/>
      <c r="T86" s="2826"/>
      <c r="U86" s="2826"/>
      <c r="V86" s="2826"/>
      <c r="W86" s="2826"/>
      <c r="X86" s="2826"/>
      <c r="Y86" s="2826"/>
      <c r="Z86" s="2826"/>
      <c r="AA86" s="2826"/>
      <c r="AB86" s="2826"/>
      <c r="AC86" s="2826"/>
      <c r="AD86" s="2826"/>
      <c r="AE86" s="2826"/>
      <c r="AF86" s="2826"/>
      <c r="AG86" s="2826"/>
      <c r="AH86" s="282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3"/>
      <c r="C87" s="2614"/>
      <c r="D87" s="2614"/>
      <c r="E87" s="2614"/>
      <c r="F87" s="2614"/>
      <c r="G87" s="2614"/>
      <c r="H87" s="2615"/>
      <c r="I87" s="2812" t="s">
        <v>2090</v>
      </c>
      <c r="J87" s="2813"/>
      <c r="K87" s="2813"/>
      <c r="L87" s="2813"/>
      <c r="M87" s="2813"/>
      <c r="N87" s="2814"/>
      <c r="O87" s="2812" t="s">
        <v>2091</v>
      </c>
      <c r="P87" s="2813"/>
      <c r="Q87" s="2813"/>
      <c r="R87" s="2813"/>
      <c r="S87" s="2813"/>
      <c r="T87" s="2813"/>
      <c r="U87" s="2814"/>
      <c r="V87" s="2812" t="s">
        <v>2092</v>
      </c>
      <c r="W87" s="2813"/>
      <c r="X87" s="2813"/>
      <c r="Y87" s="2813"/>
      <c r="Z87" s="2813"/>
      <c r="AA87" s="2814"/>
      <c r="AB87" s="2828" t="s">
        <v>2093</v>
      </c>
      <c r="AC87" s="2829"/>
      <c r="AD87" s="2829"/>
      <c r="AE87" s="2829"/>
      <c r="AF87" s="2829"/>
      <c r="AG87" s="2829"/>
      <c r="AH87" s="283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2" t="s">
        <v>2094</v>
      </c>
      <c r="C88" s="2813"/>
      <c r="D88" s="2813"/>
      <c r="E88" s="2813"/>
      <c r="F88" s="2813"/>
      <c r="G88" s="2813"/>
      <c r="H88" s="2814"/>
      <c r="I88" s="2831">
        <v>15</v>
      </c>
      <c r="J88" s="2832"/>
      <c r="K88" s="2832"/>
      <c r="L88" s="2832"/>
      <c r="M88" s="2832"/>
      <c r="N88" s="2832"/>
      <c r="O88" s="2832">
        <v>10</v>
      </c>
      <c r="P88" s="2832"/>
      <c r="Q88" s="2832"/>
      <c r="R88" s="2832"/>
      <c r="S88" s="2832"/>
      <c r="T88" s="2832"/>
      <c r="U88" s="2832"/>
      <c r="V88" s="2832">
        <v>269</v>
      </c>
      <c r="W88" s="2832"/>
      <c r="X88" s="2832"/>
      <c r="Y88" s="2832"/>
      <c r="Z88" s="2832"/>
      <c r="AA88" s="2837"/>
      <c r="AB88" s="2803">
        <v>12</v>
      </c>
      <c r="AC88" s="2803"/>
      <c r="AD88" s="2803"/>
      <c r="AE88" s="2803"/>
      <c r="AF88" s="2803"/>
      <c r="AG88" s="2803"/>
      <c r="AH88" s="280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2" t="s">
        <v>2095</v>
      </c>
      <c r="C89" s="2813"/>
      <c r="D89" s="2813"/>
      <c r="E89" s="2813"/>
      <c r="F89" s="2813"/>
      <c r="G89" s="2813"/>
      <c r="H89" s="2814"/>
      <c r="I89" s="2834">
        <v>1466</v>
      </c>
      <c r="J89" s="2835"/>
      <c r="K89" s="2835"/>
      <c r="L89" s="2835"/>
      <c r="M89" s="2835"/>
      <c r="N89" s="2835"/>
      <c r="O89" s="2835">
        <v>654</v>
      </c>
      <c r="P89" s="2835"/>
      <c r="Q89" s="2835"/>
      <c r="R89" s="2835"/>
      <c r="S89" s="2835"/>
      <c r="T89" s="2835"/>
      <c r="U89" s="2835"/>
      <c r="V89" s="2835">
        <v>17970</v>
      </c>
      <c r="W89" s="2835"/>
      <c r="X89" s="2835"/>
      <c r="Y89" s="2835"/>
      <c r="Z89" s="2835"/>
      <c r="AA89" s="2838"/>
      <c r="AB89" s="2744">
        <v>1044</v>
      </c>
      <c r="AC89" s="2744"/>
      <c r="AD89" s="2744"/>
      <c r="AE89" s="2744"/>
      <c r="AF89" s="2744"/>
      <c r="AG89" s="2744"/>
      <c r="AH89" s="274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3" t="s">
        <v>2099</v>
      </c>
      <c r="C93" s="2614"/>
      <c r="D93" s="2614"/>
      <c r="E93" s="2614"/>
      <c r="F93" s="2614"/>
      <c r="G93" s="2614"/>
      <c r="H93" s="2614"/>
      <c r="I93" s="2614"/>
      <c r="J93" s="2614"/>
      <c r="K93" s="2614"/>
      <c r="L93" s="2614"/>
      <c r="M93" s="2614"/>
      <c r="N93" s="2614"/>
      <c r="O93" s="2614"/>
      <c r="P93" s="2614"/>
      <c r="Q93" s="2614"/>
      <c r="R93" s="2614"/>
      <c r="S93" s="2614"/>
      <c r="T93" s="2614"/>
      <c r="U93" s="2614"/>
      <c r="V93" s="2614"/>
      <c r="W93" s="2614"/>
      <c r="X93" s="2614"/>
      <c r="Y93" s="2614"/>
      <c r="Z93" s="2614"/>
      <c r="AA93" s="2614"/>
      <c r="AB93" s="2614"/>
      <c r="AC93" s="2614"/>
      <c r="AD93" s="2614"/>
      <c r="AE93" s="2614"/>
      <c r="AF93" s="2614"/>
      <c r="AG93" s="2614"/>
      <c r="AH93" s="261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3"/>
      <c r="C94" s="2614"/>
      <c r="D94" s="2614"/>
      <c r="E94" s="2614"/>
      <c r="F94" s="2614"/>
      <c r="G94" s="2614"/>
      <c r="H94" s="2615"/>
      <c r="I94" s="2812" t="s">
        <v>2090</v>
      </c>
      <c r="J94" s="2813"/>
      <c r="K94" s="2813"/>
      <c r="L94" s="2813"/>
      <c r="M94" s="2813"/>
      <c r="N94" s="2814"/>
      <c r="O94" s="2812" t="s">
        <v>2091</v>
      </c>
      <c r="P94" s="2813"/>
      <c r="Q94" s="2813"/>
      <c r="R94" s="2813"/>
      <c r="S94" s="2813"/>
      <c r="T94" s="2813"/>
      <c r="U94" s="2814"/>
      <c r="V94" s="2812" t="s">
        <v>2092</v>
      </c>
      <c r="W94" s="2813"/>
      <c r="X94" s="2813"/>
      <c r="Y94" s="2813"/>
      <c r="Z94" s="2813"/>
      <c r="AA94" s="2814"/>
      <c r="AB94" s="2828" t="s">
        <v>2093</v>
      </c>
      <c r="AC94" s="2829"/>
      <c r="AD94" s="2829"/>
      <c r="AE94" s="2829"/>
      <c r="AF94" s="2829"/>
      <c r="AG94" s="2829"/>
      <c r="AH94" s="283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2" t="s">
        <v>2094</v>
      </c>
      <c r="C95" s="2813"/>
      <c r="D95" s="2813"/>
      <c r="E95" s="2813"/>
      <c r="F95" s="2813"/>
      <c r="G95" s="2813"/>
      <c r="H95" s="2814"/>
      <c r="I95" s="2831">
        <v>16</v>
      </c>
      <c r="J95" s="2832"/>
      <c r="K95" s="2832"/>
      <c r="L95" s="2832"/>
      <c r="M95" s="2832"/>
      <c r="N95" s="2832"/>
      <c r="O95" s="2832">
        <v>7</v>
      </c>
      <c r="P95" s="2832"/>
      <c r="Q95" s="2832"/>
      <c r="R95" s="2832"/>
      <c r="S95" s="2832"/>
      <c r="T95" s="2832"/>
      <c r="U95" s="2832"/>
      <c r="V95" s="2832">
        <v>125</v>
      </c>
      <c r="W95" s="2832"/>
      <c r="X95" s="2832"/>
      <c r="Y95" s="2832"/>
      <c r="Z95" s="2832"/>
      <c r="AA95" s="2833"/>
      <c r="AB95" s="2803">
        <v>10</v>
      </c>
      <c r="AC95" s="2803"/>
      <c r="AD95" s="2803"/>
      <c r="AE95" s="2803"/>
      <c r="AF95" s="2803"/>
      <c r="AG95" s="2803"/>
      <c r="AH95" s="280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2" t="s">
        <v>2095</v>
      </c>
      <c r="C96" s="2813"/>
      <c r="D96" s="2813"/>
      <c r="E96" s="2813"/>
      <c r="F96" s="2813"/>
      <c r="G96" s="2813"/>
      <c r="H96" s="2814"/>
      <c r="I96" s="2834">
        <v>1530</v>
      </c>
      <c r="J96" s="2835"/>
      <c r="K96" s="2835"/>
      <c r="L96" s="2835"/>
      <c r="M96" s="2835"/>
      <c r="N96" s="2835"/>
      <c r="O96" s="2835">
        <v>790</v>
      </c>
      <c r="P96" s="2835"/>
      <c r="Q96" s="2835"/>
      <c r="R96" s="2835"/>
      <c r="S96" s="2835"/>
      <c r="T96" s="2835"/>
      <c r="U96" s="2835"/>
      <c r="V96" s="2835">
        <v>7454</v>
      </c>
      <c r="W96" s="2835"/>
      <c r="X96" s="2835"/>
      <c r="Y96" s="2835"/>
      <c r="Z96" s="2835"/>
      <c r="AA96" s="2836"/>
      <c r="AB96" s="2744">
        <v>601</v>
      </c>
      <c r="AC96" s="2744"/>
      <c r="AD96" s="2744"/>
      <c r="AE96" s="2744"/>
      <c r="AF96" s="2744"/>
      <c r="AG96" s="2744"/>
      <c r="AH96" s="274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2" t="s">
        <v>2101</v>
      </c>
      <c r="C100" s="2643"/>
      <c r="D100" s="2643"/>
      <c r="E100" s="2643"/>
      <c r="F100" s="2643"/>
      <c r="G100" s="2643"/>
      <c r="H100" s="2643"/>
      <c r="I100" s="2643"/>
      <c r="J100" s="2643"/>
      <c r="K100" s="2643"/>
      <c r="L100" s="2643"/>
      <c r="M100" s="2643"/>
      <c r="N100" s="2643"/>
      <c r="O100" s="2643"/>
      <c r="P100" s="2643"/>
      <c r="Q100" s="2643"/>
      <c r="R100" s="2643"/>
      <c r="S100" s="2643"/>
      <c r="T100" s="2643"/>
      <c r="U100" s="285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4"/>
      <c r="C101" s="2855"/>
      <c r="D101" s="2855"/>
      <c r="E101" s="2855"/>
      <c r="F101" s="2855"/>
      <c r="G101" s="2855"/>
      <c r="H101" s="2856"/>
      <c r="I101" s="2784" t="s">
        <v>2091</v>
      </c>
      <c r="J101" s="2785"/>
      <c r="K101" s="2785"/>
      <c r="L101" s="2785"/>
      <c r="M101" s="2785"/>
      <c r="N101" s="2785"/>
      <c r="O101" s="2857"/>
      <c r="P101" s="2784" t="s">
        <v>2102</v>
      </c>
      <c r="Q101" s="2785"/>
      <c r="R101" s="2785"/>
      <c r="S101" s="2785"/>
      <c r="T101" s="2785"/>
      <c r="U101" s="285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8" t="s">
        <v>2094</v>
      </c>
      <c r="C102" s="2859"/>
      <c r="D102" s="2859"/>
      <c r="E102" s="2859"/>
      <c r="F102" s="2859"/>
      <c r="G102" s="2859"/>
      <c r="H102" s="2859"/>
      <c r="I102" s="2839">
        <v>4</v>
      </c>
      <c r="J102" s="2840"/>
      <c r="K102" s="2840"/>
      <c r="L102" s="2840"/>
      <c r="M102" s="2840"/>
      <c r="N102" s="2840"/>
      <c r="O102" s="2841"/>
      <c r="P102" s="2839">
        <v>19</v>
      </c>
      <c r="Q102" s="2840"/>
      <c r="R102" s="2840"/>
      <c r="S102" s="2840"/>
      <c r="T102" s="2840"/>
      <c r="U102" s="284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7" t="s">
        <v>2095</v>
      </c>
      <c r="C103" s="2788"/>
      <c r="D103" s="2788"/>
      <c r="E103" s="2788"/>
      <c r="F103" s="2788"/>
      <c r="G103" s="2788"/>
      <c r="H103" s="2788"/>
      <c r="I103" s="2839">
        <v>336</v>
      </c>
      <c r="J103" s="2840"/>
      <c r="K103" s="2840"/>
      <c r="L103" s="2840"/>
      <c r="M103" s="2840"/>
      <c r="N103" s="2840"/>
      <c r="O103" s="2841"/>
      <c r="P103" s="2839">
        <v>1785</v>
      </c>
      <c r="Q103" s="2840"/>
      <c r="R103" s="2840"/>
      <c r="S103" s="2840"/>
      <c r="T103" s="2840"/>
      <c r="U103" s="284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2" t="s">
        <v>2103</v>
      </c>
      <c r="C105" s="2843"/>
      <c r="D105" s="2843"/>
      <c r="E105" s="2843"/>
      <c r="F105" s="2843"/>
      <c r="G105" s="2843"/>
      <c r="H105" s="2843"/>
      <c r="I105" s="2843"/>
      <c r="J105" s="2843"/>
      <c r="K105" s="2843"/>
      <c r="L105" s="2843"/>
      <c r="M105" s="2843"/>
      <c r="N105" s="2843"/>
      <c r="O105" s="2843"/>
      <c r="P105" s="2843"/>
      <c r="Q105" s="2843"/>
      <c r="R105" s="2844"/>
      <c r="S105" s="2844"/>
      <c r="T105" s="2844"/>
      <c r="U105" s="2844"/>
      <c r="V105" s="2844"/>
      <c r="W105" s="2844"/>
      <c r="X105" s="2844"/>
      <c r="Y105" s="2844"/>
      <c r="Z105" s="2844"/>
      <c r="AA105" s="2844"/>
      <c r="AB105" s="2844"/>
      <c r="AC105" s="2844"/>
      <c r="AD105" s="2844"/>
      <c r="AE105" s="2844"/>
      <c r="AF105" s="2844"/>
      <c r="AG105" s="2845" t="s">
        <v>2633</v>
      </c>
      <c r="AH105" s="2845"/>
      <c r="AI105" s="2845"/>
      <c r="AJ105" s="284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7" t="s">
        <v>2104</v>
      </c>
      <c r="C106" s="2848"/>
      <c r="D106" s="2848"/>
      <c r="E106" s="2848"/>
      <c r="F106" s="2848"/>
      <c r="G106" s="2848"/>
      <c r="H106" s="2848"/>
      <c r="I106" s="2848"/>
      <c r="J106" s="2848"/>
      <c r="K106" s="2848"/>
      <c r="L106" s="2848"/>
      <c r="M106" s="2848"/>
      <c r="N106" s="2848"/>
      <c r="O106" s="2848"/>
      <c r="P106" s="2848"/>
      <c r="Q106" s="2849"/>
      <c r="R106" s="2850" t="s">
        <v>2631</v>
      </c>
      <c r="S106" s="2851"/>
      <c r="T106" s="2851"/>
      <c r="U106" s="2851"/>
      <c r="V106" s="2851"/>
      <c r="W106" s="2851"/>
      <c r="X106" s="2851"/>
      <c r="Y106" s="2851"/>
      <c r="Z106" s="2851"/>
      <c r="AA106" s="2851"/>
      <c r="AB106" s="2851"/>
      <c r="AC106" s="2851"/>
      <c r="AD106" s="2851"/>
      <c r="AE106" s="2851"/>
      <c r="AF106" s="2851"/>
      <c r="AG106" s="2851"/>
      <c r="AH106" s="2851"/>
      <c r="AI106" s="2851"/>
      <c r="AJ106" s="2851"/>
      <c r="AK106" s="2851"/>
      <c r="AL106" s="2851"/>
      <c r="AM106" s="2851"/>
      <c r="AN106" s="2851"/>
      <c r="AO106" s="2851"/>
      <c r="AP106" s="2851"/>
      <c r="AQ106" s="2851"/>
      <c r="AR106" s="2851"/>
      <c r="AS106" s="2851"/>
      <c r="AT106" s="2851"/>
      <c r="AU106" s="2851"/>
      <c r="AV106" s="2851"/>
      <c r="AW106" s="2851"/>
      <c r="AX106" s="2852"/>
      <c r="AY106" s="1529"/>
      <c r="AZ106" s="1529"/>
      <c r="BA106" s="1529"/>
      <c r="BB106" s="1529"/>
      <c r="BC106" s="1529"/>
      <c r="BD106" s="1529"/>
      <c r="BE106" s="1535"/>
    </row>
    <row r="107" spans="1:57" ht="15.75" customHeight="1">
      <c r="A107" s="1818"/>
      <c r="B107" s="2873" t="s">
        <v>2632</v>
      </c>
      <c r="C107" s="2874"/>
      <c r="D107" s="2874"/>
      <c r="E107" s="2874"/>
      <c r="F107" s="2874"/>
      <c r="G107" s="2874"/>
      <c r="H107" s="2874"/>
      <c r="I107" s="2874"/>
      <c r="J107" s="2874"/>
      <c r="K107" s="2874"/>
      <c r="L107" s="2874"/>
      <c r="M107" s="2874"/>
      <c r="N107" s="2874"/>
      <c r="O107" s="2874"/>
      <c r="P107" s="2874"/>
      <c r="Q107" s="2874"/>
      <c r="R107" s="2874"/>
      <c r="S107" s="2874"/>
      <c r="T107" s="2874"/>
      <c r="U107" s="2874"/>
      <c r="V107" s="2874"/>
      <c r="W107" s="2874"/>
      <c r="X107" s="2874"/>
      <c r="Y107" s="2874"/>
      <c r="Z107" s="2874"/>
      <c r="AA107" s="2874"/>
      <c r="AB107" s="2874"/>
      <c r="AC107" s="2874"/>
      <c r="AD107" s="2874"/>
      <c r="AE107" s="2874"/>
      <c r="AF107" s="2874"/>
      <c r="AG107" s="2874"/>
      <c r="AH107" s="2874"/>
      <c r="AI107" s="2874"/>
      <c r="AJ107" s="2874"/>
      <c r="AK107" s="2874"/>
      <c r="AL107" s="2874"/>
      <c r="AM107" s="2874"/>
      <c r="AN107" s="2874"/>
      <c r="AO107" s="2874"/>
      <c r="AP107" s="2874"/>
      <c r="AQ107" s="2874"/>
      <c r="AR107" s="2874"/>
      <c r="AS107" s="2874"/>
      <c r="AT107" s="2874"/>
      <c r="AU107" s="2874"/>
      <c r="AV107" s="2874"/>
      <c r="AW107" s="2874"/>
      <c r="AX107" s="2875"/>
      <c r="AY107" s="1529"/>
      <c r="AZ107" s="1529"/>
      <c r="BA107" s="1529"/>
      <c r="BB107" s="1529"/>
      <c r="BC107" s="1529"/>
      <c r="BD107" s="1529"/>
      <c r="BE107" s="1535"/>
    </row>
    <row r="108" spans="1:57" ht="15.75" customHeight="1">
      <c r="A108" s="1818"/>
      <c r="B108" s="2876"/>
      <c r="C108" s="2877"/>
      <c r="D108" s="2877"/>
      <c r="E108" s="2877"/>
      <c r="F108" s="2877"/>
      <c r="G108" s="2877"/>
      <c r="H108" s="2877"/>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77"/>
      <c r="AD108" s="2877"/>
      <c r="AE108" s="2877"/>
      <c r="AF108" s="2877"/>
      <c r="AG108" s="2877"/>
      <c r="AH108" s="2877"/>
      <c r="AI108" s="2877"/>
      <c r="AJ108" s="2877"/>
      <c r="AK108" s="2877"/>
      <c r="AL108" s="2877"/>
      <c r="AM108" s="2877"/>
      <c r="AN108" s="2877"/>
      <c r="AO108" s="2877"/>
      <c r="AP108" s="2877"/>
      <c r="AQ108" s="2877"/>
      <c r="AR108" s="2877"/>
      <c r="AS108" s="2877"/>
      <c r="AT108" s="2877"/>
      <c r="AU108" s="2877"/>
      <c r="AV108" s="2877"/>
      <c r="AW108" s="2877"/>
      <c r="AX108" s="2878"/>
      <c r="AY108" s="1529"/>
      <c r="AZ108" s="1529"/>
      <c r="BA108" s="1529"/>
      <c r="BB108" s="1529"/>
      <c r="BC108" s="1529"/>
      <c r="BD108" s="1529"/>
      <c r="BE108" s="1535"/>
    </row>
    <row r="109" spans="1:57" ht="15.75" customHeight="1">
      <c r="A109" s="1818"/>
      <c r="B109" s="2876"/>
      <c r="C109" s="2877"/>
      <c r="D109" s="2877"/>
      <c r="E109" s="2877"/>
      <c r="F109" s="2877"/>
      <c r="G109" s="2877"/>
      <c r="H109" s="2877"/>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77"/>
      <c r="AD109" s="2877"/>
      <c r="AE109" s="2877"/>
      <c r="AF109" s="2877"/>
      <c r="AG109" s="2877"/>
      <c r="AH109" s="2877"/>
      <c r="AI109" s="2877"/>
      <c r="AJ109" s="2877"/>
      <c r="AK109" s="2877"/>
      <c r="AL109" s="2877"/>
      <c r="AM109" s="2877"/>
      <c r="AN109" s="2877"/>
      <c r="AO109" s="2877"/>
      <c r="AP109" s="2877"/>
      <c r="AQ109" s="2877"/>
      <c r="AR109" s="2877"/>
      <c r="AS109" s="2877"/>
      <c r="AT109" s="2877"/>
      <c r="AU109" s="2877"/>
      <c r="AV109" s="2877"/>
      <c r="AW109" s="2877"/>
      <c r="AX109" s="2878"/>
      <c r="AY109" s="1529"/>
      <c r="AZ109" s="1529"/>
      <c r="BA109" s="1529"/>
      <c r="BB109" s="1529"/>
      <c r="BC109" s="1529"/>
      <c r="BD109" s="1529"/>
      <c r="BE109" s="1535"/>
    </row>
    <row r="110" spans="1:57" ht="15.75" customHeight="1">
      <c r="A110" s="1818"/>
      <c r="B110" s="2876"/>
      <c r="C110" s="2877"/>
      <c r="D110" s="2877"/>
      <c r="E110" s="2877"/>
      <c r="F110" s="2877"/>
      <c r="G110" s="2877"/>
      <c r="H110" s="2877"/>
      <c r="I110" s="2877"/>
      <c r="J110" s="2877"/>
      <c r="K110" s="2877"/>
      <c r="L110" s="2877"/>
      <c r="M110" s="2877"/>
      <c r="N110" s="2877"/>
      <c r="O110" s="2877"/>
      <c r="P110" s="2877"/>
      <c r="Q110" s="2877"/>
      <c r="R110" s="2877"/>
      <c r="S110" s="2877"/>
      <c r="T110" s="2877"/>
      <c r="U110" s="2877"/>
      <c r="V110" s="2877"/>
      <c r="W110" s="2877"/>
      <c r="X110" s="2877"/>
      <c r="Y110" s="2877"/>
      <c r="Z110" s="2877"/>
      <c r="AA110" s="2877"/>
      <c r="AB110" s="2877"/>
      <c r="AC110" s="2877"/>
      <c r="AD110" s="2877"/>
      <c r="AE110" s="2877"/>
      <c r="AF110" s="2877"/>
      <c r="AG110" s="2877"/>
      <c r="AH110" s="2877"/>
      <c r="AI110" s="2877"/>
      <c r="AJ110" s="2877"/>
      <c r="AK110" s="2877"/>
      <c r="AL110" s="2877"/>
      <c r="AM110" s="2877"/>
      <c r="AN110" s="2877"/>
      <c r="AO110" s="2877"/>
      <c r="AP110" s="2877"/>
      <c r="AQ110" s="2877"/>
      <c r="AR110" s="2877"/>
      <c r="AS110" s="2877"/>
      <c r="AT110" s="2877"/>
      <c r="AU110" s="2877"/>
      <c r="AV110" s="2877"/>
      <c r="AW110" s="2877"/>
      <c r="AX110" s="2878"/>
      <c r="AY110" s="1529"/>
      <c r="AZ110" s="1529"/>
      <c r="BA110" s="1529"/>
      <c r="BB110" s="1529"/>
      <c r="BC110" s="1529"/>
      <c r="BD110" s="1529"/>
      <c r="BE110" s="1535"/>
    </row>
    <row r="111" spans="1:57" ht="15.75" customHeight="1">
      <c r="A111" s="1818"/>
      <c r="B111" s="2876"/>
      <c r="C111" s="2877"/>
      <c r="D111" s="2877"/>
      <c r="E111" s="2877"/>
      <c r="F111" s="2877"/>
      <c r="G111" s="2877"/>
      <c r="H111" s="2877"/>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77"/>
      <c r="AD111" s="2877"/>
      <c r="AE111" s="2877"/>
      <c r="AF111" s="2877"/>
      <c r="AG111" s="2877"/>
      <c r="AH111" s="2877"/>
      <c r="AI111" s="2877"/>
      <c r="AJ111" s="2877"/>
      <c r="AK111" s="2877"/>
      <c r="AL111" s="2877"/>
      <c r="AM111" s="2877"/>
      <c r="AN111" s="2877"/>
      <c r="AO111" s="2877"/>
      <c r="AP111" s="2877"/>
      <c r="AQ111" s="2877"/>
      <c r="AR111" s="2877"/>
      <c r="AS111" s="2877"/>
      <c r="AT111" s="2877"/>
      <c r="AU111" s="2877"/>
      <c r="AV111" s="2877"/>
      <c r="AW111" s="2877"/>
      <c r="AX111" s="2878"/>
      <c r="AY111" s="1529"/>
      <c r="AZ111" s="1529"/>
      <c r="BA111" s="1529"/>
      <c r="BB111" s="1529"/>
      <c r="BC111" s="1529"/>
      <c r="BD111" s="1529"/>
      <c r="BE111" s="1535"/>
    </row>
    <row r="112" spans="1:57" ht="15.75" customHeight="1">
      <c r="A112" s="1818"/>
      <c r="B112" s="2876"/>
      <c r="C112" s="2877"/>
      <c r="D112" s="2877"/>
      <c r="E112" s="2877"/>
      <c r="F112" s="2877"/>
      <c r="G112" s="2877"/>
      <c r="H112" s="2877"/>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77"/>
      <c r="AD112" s="2877"/>
      <c r="AE112" s="2877"/>
      <c r="AF112" s="2877"/>
      <c r="AG112" s="2877"/>
      <c r="AH112" s="2877"/>
      <c r="AI112" s="2877"/>
      <c r="AJ112" s="2877"/>
      <c r="AK112" s="2877"/>
      <c r="AL112" s="2877"/>
      <c r="AM112" s="2877"/>
      <c r="AN112" s="2877"/>
      <c r="AO112" s="2877"/>
      <c r="AP112" s="2877"/>
      <c r="AQ112" s="2877"/>
      <c r="AR112" s="2877"/>
      <c r="AS112" s="2877"/>
      <c r="AT112" s="2877"/>
      <c r="AU112" s="2877"/>
      <c r="AV112" s="2877"/>
      <c r="AW112" s="2877"/>
      <c r="AX112" s="2878"/>
      <c r="AY112" s="1529"/>
      <c r="AZ112" s="1529"/>
      <c r="BA112" s="1529"/>
      <c r="BB112" s="1529"/>
      <c r="BC112" s="1529"/>
      <c r="BD112" s="1529"/>
      <c r="BE112" s="1535"/>
    </row>
    <row r="113" spans="1:57" ht="15.75" customHeight="1">
      <c r="A113" s="1818"/>
      <c r="B113" s="2876"/>
      <c r="C113" s="2877"/>
      <c r="D113" s="2877"/>
      <c r="E113" s="2877"/>
      <c r="F113" s="2877"/>
      <c r="G113" s="2877"/>
      <c r="H113" s="2877"/>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77"/>
      <c r="AD113" s="2877"/>
      <c r="AE113" s="2877"/>
      <c r="AF113" s="2877"/>
      <c r="AG113" s="2877"/>
      <c r="AH113" s="2877"/>
      <c r="AI113" s="2877"/>
      <c r="AJ113" s="2877"/>
      <c r="AK113" s="2877"/>
      <c r="AL113" s="2877"/>
      <c r="AM113" s="2877"/>
      <c r="AN113" s="2877"/>
      <c r="AO113" s="2877"/>
      <c r="AP113" s="2877"/>
      <c r="AQ113" s="2877"/>
      <c r="AR113" s="2877"/>
      <c r="AS113" s="2877"/>
      <c r="AT113" s="2877"/>
      <c r="AU113" s="2877"/>
      <c r="AV113" s="2877"/>
      <c r="AW113" s="2877"/>
      <c r="AX113" s="2878"/>
      <c r="AY113" s="1529"/>
      <c r="AZ113" s="1529"/>
      <c r="BA113" s="1529"/>
      <c r="BB113" s="1529"/>
      <c r="BC113" s="1529"/>
      <c r="BD113" s="1529"/>
      <c r="BE113" s="1535"/>
    </row>
    <row r="114" spans="1:57" ht="15.75" customHeight="1">
      <c r="A114" s="1818"/>
      <c r="B114" s="2876"/>
      <c r="C114" s="2877"/>
      <c r="D114" s="2877"/>
      <c r="E114" s="2877"/>
      <c r="F114" s="2877"/>
      <c r="G114" s="2877"/>
      <c r="H114" s="2877"/>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77"/>
      <c r="AD114" s="2877"/>
      <c r="AE114" s="2877"/>
      <c r="AF114" s="2877"/>
      <c r="AG114" s="2877"/>
      <c r="AH114" s="2877"/>
      <c r="AI114" s="2877"/>
      <c r="AJ114" s="2877"/>
      <c r="AK114" s="2877"/>
      <c r="AL114" s="2877"/>
      <c r="AM114" s="2877"/>
      <c r="AN114" s="2877"/>
      <c r="AO114" s="2877"/>
      <c r="AP114" s="2877"/>
      <c r="AQ114" s="2877"/>
      <c r="AR114" s="2877"/>
      <c r="AS114" s="2877"/>
      <c r="AT114" s="2877"/>
      <c r="AU114" s="2877"/>
      <c r="AV114" s="2877"/>
      <c r="AW114" s="2877"/>
      <c r="AX114" s="2878"/>
      <c r="AY114" s="1529"/>
      <c r="AZ114" s="1529"/>
      <c r="BA114" s="1529"/>
      <c r="BB114" s="1529"/>
      <c r="BC114" s="1529"/>
      <c r="BD114" s="1529"/>
      <c r="BE114" s="1535"/>
    </row>
    <row r="115" spans="1:57" ht="15.75" customHeight="1">
      <c r="A115" s="1818"/>
      <c r="B115" s="2876"/>
      <c r="C115" s="2877"/>
      <c r="D115" s="2877"/>
      <c r="E115" s="2877"/>
      <c r="F115" s="2877"/>
      <c r="G115" s="2877"/>
      <c r="H115" s="2877"/>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77"/>
      <c r="AD115" s="2877"/>
      <c r="AE115" s="2877"/>
      <c r="AF115" s="2877"/>
      <c r="AG115" s="2877"/>
      <c r="AH115" s="2877"/>
      <c r="AI115" s="2877"/>
      <c r="AJ115" s="2877"/>
      <c r="AK115" s="2877"/>
      <c r="AL115" s="2877"/>
      <c r="AM115" s="2877"/>
      <c r="AN115" s="2877"/>
      <c r="AO115" s="2877"/>
      <c r="AP115" s="2877"/>
      <c r="AQ115" s="2877"/>
      <c r="AR115" s="2877"/>
      <c r="AS115" s="2877"/>
      <c r="AT115" s="2877"/>
      <c r="AU115" s="2877"/>
      <c r="AV115" s="2877"/>
      <c r="AW115" s="2877"/>
      <c r="AX115" s="2878"/>
      <c r="AY115" s="1529"/>
      <c r="AZ115" s="1529"/>
      <c r="BA115" s="1529"/>
      <c r="BB115" s="1529"/>
      <c r="BC115" s="1529"/>
      <c r="BD115" s="1529"/>
      <c r="BE115" s="1535"/>
    </row>
    <row r="116" spans="1:57" ht="15.75" customHeight="1" thickBot="1">
      <c r="A116" s="1818"/>
      <c r="B116" s="2879"/>
      <c r="C116" s="2880"/>
      <c r="D116" s="2880"/>
      <c r="E116" s="2880"/>
      <c r="F116" s="2880"/>
      <c r="G116" s="2880"/>
      <c r="H116" s="2880"/>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80"/>
      <c r="AD116" s="2880"/>
      <c r="AE116" s="2880"/>
      <c r="AF116" s="2880"/>
      <c r="AG116" s="2880"/>
      <c r="AH116" s="2880"/>
      <c r="AI116" s="2880"/>
      <c r="AJ116" s="2880"/>
      <c r="AK116" s="2880"/>
      <c r="AL116" s="2880"/>
      <c r="AM116" s="2880"/>
      <c r="AN116" s="2880"/>
      <c r="AO116" s="2880"/>
      <c r="AP116" s="2880"/>
      <c r="AQ116" s="2880"/>
      <c r="AR116" s="2880"/>
      <c r="AS116" s="2880"/>
      <c r="AT116" s="2880"/>
      <c r="AU116" s="2880"/>
      <c r="AV116" s="2880"/>
      <c r="AW116" s="2880"/>
      <c r="AX116" s="288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2105</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2" t="s">
        <v>2106</v>
      </c>
      <c r="C120" s="2643"/>
      <c r="D120" s="2643"/>
      <c r="E120" s="2643"/>
      <c r="F120" s="2643"/>
      <c r="G120" s="2643"/>
      <c r="H120" s="2643"/>
      <c r="I120" s="2643"/>
      <c r="J120" s="2643"/>
      <c r="K120" s="2643"/>
      <c r="L120" s="2643"/>
      <c r="M120" s="2643"/>
      <c r="N120" s="2643"/>
      <c r="O120" s="2643"/>
      <c r="P120" s="2643"/>
      <c r="Q120" s="2643"/>
      <c r="R120" s="2643"/>
      <c r="S120" s="2643"/>
      <c r="T120" s="2643"/>
      <c r="U120" s="285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4"/>
      <c r="C121" s="2855"/>
      <c r="D121" s="2855"/>
      <c r="E121" s="2855"/>
      <c r="F121" s="2855"/>
      <c r="G121" s="2855"/>
      <c r="H121" s="2856"/>
      <c r="I121" s="2784" t="s">
        <v>2091</v>
      </c>
      <c r="J121" s="2785"/>
      <c r="K121" s="2785"/>
      <c r="L121" s="2785"/>
      <c r="M121" s="2785"/>
      <c r="N121" s="2785"/>
      <c r="O121" s="2857"/>
      <c r="P121" s="2784" t="s">
        <v>2102</v>
      </c>
      <c r="Q121" s="2785"/>
      <c r="R121" s="2785"/>
      <c r="S121" s="2785"/>
      <c r="T121" s="2785"/>
      <c r="U121" s="285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8" t="s">
        <v>2094</v>
      </c>
      <c r="C122" s="2859"/>
      <c r="D122" s="2859"/>
      <c r="E122" s="2859"/>
      <c r="F122" s="2859"/>
      <c r="G122" s="2859"/>
      <c r="H122" s="2859"/>
      <c r="I122" s="2839">
        <v>3</v>
      </c>
      <c r="J122" s="2840"/>
      <c r="K122" s="2840"/>
      <c r="L122" s="2840"/>
      <c r="M122" s="2840"/>
      <c r="N122" s="2840"/>
      <c r="O122" s="2841"/>
      <c r="P122" s="2839">
        <v>30</v>
      </c>
      <c r="Q122" s="2840"/>
      <c r="R122" s="2840"/>
      <c r="S122" s="2840"/>
      <c r="T122" s="2840"/>
      <c r="U122" s="284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7" t="s">
        <v>2095</v>
      </c>
      <c r="C123" s="2788"/>
      <c r="D123" s="2788"/>
      <c r="E123" s="2788"/>
      <c r="F123" s="2788"/>
      <c r="G123" s="2788"/>
      <c r="H123" s="2788"/>
      <c r="I123" s="2839">
        <v>230</v>
      </c>
      <c r="J123" s="2840"/>
      <c r="K123" s="2840"/>
      <c r="L123" s="2840"/>
      <c r="M123" s="2840"/>
      <c r="N123" s="2840"/>
      <c r="O123" s="2841"/>
      <c r="P123" s="2839">
        <v>1500</v>
      </c>
      <c r="Q123" s="2840"/>
      <c r="R123" s="2840"/>
      <c r="S123" s="2840"/>
      <c r="T123" s="2840"/>
      <c r="U123" s="284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60" t="s">
        <v>2107</v>
      </c>
      <c r="D125" s="2861"/>
      <c r="E125" s="2861"/>
      <c r="F125" s="2861"/>
      <c r="G125" s="2861"/>
      <c r="H125" s="2861"/>
      <c r="I125" s="2861"/>
      <c r="J125" s="2861"/>
      <c r="K125" s="2861"/>
      <c r="L125" s="2861"/>
      <c r="M125" s="2861"/>
      <c r="N125" s="2861"/>
      <c r="O125" s="2861"/>
      <c r="P125" s="2861"/>
      <c r="Q125" s="2861"/>
      <c r="R125" s="2861"/>
      <c r="S125" s="2861"/>
      <c r="T125" s="2861"/>
      <c r="U125" s="2861"/>
      <c r="V125" s="2861"/>
      <c r="W125" s="2861"/>
      <c r="X125" s="2861"/>
      <c r="Y125" s="2861"/>
      <c r="Z125" s="2861"/>
      <c r="AA125" s="2861"/>
      <c r="AB125" s="2861"/>
      <c r="AC125" s="2861"/>
      <c r="AD125" s="2861"/>
      <c r="AE125" s="2861"/>
      <c r="AF125" s="2861"/>
      <c r="AG125" s="286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3" t="s">
        <v>2108</v>
      </c>
      <c r="D126" s="2864"/>
      <c r="E126" s="2864"/>
      <c r="F126" s="2864"/>
      <c r="G126" s="2864"/>
      <c r="H126" s="2864"/>
      <c r="I126" s="2864"/>
      <c r="J126" s="2864"/>
      <c r="K126" s="2864"/>
      <c r="L126" s="2864"/>
      <c r="M126" s="2864"/>
      <c r="N126" s="2864"/>
      <c r="O126" s="2864"/>
      <c r="P126" s="2865"/>
      <c r="Q126" s="2866" t="s">
        <v>2109</v>
      </c>
      <c r="R126" s="2864"/>
      <c r="S126" s="2865"/>
      <c r="T126" s="2867" t="s">
        <v>2110</v>
      </c>
      <c r="U126" s="2868"/>
      <c r="V126" s="2868"/>
      <c r="W126" s="2868"/>
      <c r="X126" s="2868"/>
      <c r="Y126" s="2868"/>
      <c r="Z126" s="2868"/>
      <c r="AA126" s="2869"/>
      <c r="AB126" s="2870" t="s">
        <v>2111</v>
      </c>
      <c r="AC126" s="2871"/>
      <c r="AD126" s="2871"/>
      <c r="AE126" s="2871"/>
      <c r="AF126" s="2871"/>
      <c r="AG126" s="287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2" t="s">
        <v>2112</v>
      </c>
      <c r="D127" s="2883"/>
      <c r="E127" s="2883"/>
      <c r="F127" s="2883"/>
      <c r="G127" s="2883"/>
      <c r="H127" s="2883"/>
      <c r="I127" s="2883"/>
      <c r="J127" s="2883"/>
      <c r="K127" s="2883"/>
      <c r="L127" s="2883"/>
      <c r="M127" s="2883"/>
      <c r="N127" s="2883"/>
      <c r="O127" s="2883"/>
      <c r="P127" s="2884"/>
      <c r="Q127" s="2885">
        <v>55</v>
      </c>
      <c r="R127" s="2886"/>
      <c r="S127" s="2887"/>
      <c r="T127" s="2893"/>
      <c r="U127" s="2894"/>
      <c r="V127" s="2894"/>
      <c r="W127" s="2894"/>
      <c r="X127" s="2894"/>
      <c r="Y127" s="2894"/>
      <c r="Z127" s="2894"/>
      <c r="AA127" s="289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2" t="s">
        <v>429</v>
      </c>
      <c r="D128" s="2883"/>
      <c r="E128" s="2883"/>
      <c r="F128" s="2883"/>
      <c r="G128" s="2883"/>
      <c r="H128" s="2883"/>
      <c r="I128" s="2883"/>
      <c r="J128" s="2883"/>
      <c r="K128" s="2883"/>
      <c r="L128" s="2883"/>
      <c r="M128" s="2883"/>
      <c r="N128" s="2883"/>
      <c r="O128" s="2883"/>
      <c r="P128" s="2884"/>
      <c r="Q128" s="2885">
        <v>55</v>
      </c>
      <c r="R128" s="2886"/>
      <c r="S128" s="2887"/>
      <c r="T128" s="2895" t="str">
        <f>_xlfn.CONCAT(Application!AC515,"/", Application!AH515)</f>
        <v>N/A/</v>
      </c>
      <c r="U128" s="2896"/>
      <c r="V128" s="2896"/>
      <c r="W128" s="2896"/>
      <c r="X128" s="2896"/>
      <c r="Y128" s="2896"/>
      <c r="Z128" s="2896"/>
      <c r="AA128" s="289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2" t="s">
        <v>2113</v>
      </c>
      <c r="D129" s="2883"/>
      <c r="E129" s="2883"/>
      <c r="F129" s="2883"/>
      <c r="G129" s="2883"/>
      <c r="H129" s="2883"/>
      <c r="I129" s="2883"/>
      <c r="J129" s="2883"/>
      <c r="K129" s="2883"/>
      <c r="L129" s="2883"/>
      <c r="M129" s="2883"/>
      <c r="N129" s="2883"/>
      <c r="O129" s="2883"/>
      <c r="P129" s="2884"/>
      <c r="Q129" s="2885">
        <v>55</v>
      </c>
      <c r="R129" s="2886"/>
      <c r="S129" s="2887"/>
      <c r="T129" s="2888">
        <v>44362</v>
      </c>
      <c r="U129" s="2889"/>
      <c r="V129" s="2889"/>
      <c r="W129" s="2889"/>
      <c r="X129" s="2889"/>
      <c r="Y129" s="2889"/>
      <c r="Z129" s="2889"/>
      <c r="AA129" s="288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2" t="s">
        <v>2114</v>
      </c>
      <c r="D130" s="2883"/>
      <c r="E130" s="2883"/>
      <c r="F130" s="2883"/>
      <c r="G130" s="2883"/>
      <c r="H130" s="2883"/>
      <c r="I130" s="2883"/>
      <c r="J130" s="2883"/>
      <c r="K130" s="2883"/>
      <c r="L130" s="2883"/>
      <c r="M130" s="2883"/>
      <c r="N130" s="2883"/>
      <c r="O130" s="2883"/>
      <c r="P130" s="2884"/>
      <c r="Q130" s="2890"/>
      <c r="R130" s="2891"/>
      <c r="S130" s="2892"/>
      <c r="T130" s="2893"/>
      <c r="U130" s="2894"/>
      <c r="V130" s="2894"/>
      <c r="W130" s="2894"/>
      <c r="X130" s="2894"/>
      <c r="Y130" s="2894"/>
      <c r="Z130" s="2894"/>
      <c r="AA130" s="289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2" t="s">
        <v>2069</v>
      </c>
      <c r="D131" s="2883"/>
      <c r="E131" s="2883"/>
      <c r="F131" s="2883"/>
      <c r="G131" s="2883"/>
      <c r="H131" s="2883"/>
      <c r="I131" s="2883"/>
      <c r="J131" s="2883"/>
      <c r="K131" s="2883"/>
      <c r="L131" s="2883"/>
      <c r="M131" s="2883"/>
      <c r="N131" s="2883"/>
      <c r="O131" s="2883"/>
      <c r="P131" s="2884"/>
      <c r="Q131" s="2897">
        <f>Application!AG400</f>
        <v>0</v>
      </c>
      <c r="R131" s="2898"/>
      <c r="S131" s="2899"/>
      <c r="T131" s="2893"/>
      <c r="U131" s="2894"/>
      <c r="V131" s="2894"/>
      <c r="W131" s="2894"/>
      <c r="X131" s="2894"/>
      <c r="Y131" s="2894"/>
      <c r="Z131" s="2894"/>
      <c r="AA131" s="2900"/>
      <c r="AB131" s="2901">
        <f>Application!AE401</f>
        <v>0</v>
      </c>
      <c r="AC131" s="2902"/>
      <c r="AD131" s="2902"/>
      <c r="AE131" s="2902"/>
      <c r="AF131" s="2902"/>
      <c r="AG131" s="2903"/>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1" t="s">
        <v>175</v>
      </c>
      <c r="D132" s="2612"/>
      <c r="E132" s="2612"/>
      <c r="F132" s="2904" t="s">
        <v>1092</v>
      </c>
      <c r="G132" s="2905"/>
      <c r="H132" s="2905"/>
      <c r="I132" s="2905"/>
      <c r="J132" s="2905"/>
      <c r="K132" s="2905"/>
      <c r="L132" s="2905"/>
      <c r="M132" s="2905"/>
      <c r="N132" s="2905"/>
      <c r="O132" s="2905"/>
      <c r="P132" s="2906"/>
      <c r="Q132" s="2907">
        <v>55</v>
      </c>
      <c r="R132" s="2907"/>
      <c r="S132" s="2907"/>
      <c r="T132" s="2908">
        <v>44392</v>
      </c>
      <c r="U132" s="2908"/>
      <c r="V132" s="2908"/>
      <c r="W132" s="2908"/>
      <c r="X132" s="2908"/>
      <c r="Y132" s="2908"/>
      <c r="Z132" s="2908"/>
      <c r="AA132" s="2908"/>
      <c r="AB132" s="2909"/>
      <c r="AC132" s="2910"/>
      <c r="AD132" s="2910"/>
      <c r="AE132" s="2910"/>
      <c r="AF132" s="2910"/>
      <c r="AG132" s="291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1" t="s">
        <v>175</v>
      </c>
      <c r="D133" s="2612"/>
      <c r="E133" s="2612"/>
      <c r="F133" s="2912" t="s">
        <v>2115</v>
      </c>
      <c r="G133" s="2912"/>
      <c r="H133" s="2912"/>
      <c r="I133" s="2912"/>
      <c r="J133" s="2912"/>
      <c r="K133" s="2912"/>
      <c r="L133" s="2912"/>
      <c r="M133" s="2912"/>
      <c r="N133" s="2912"/>
      <c r="O133" s="2912"/>
      <c r="P133" s="2912"/>
      <c r="Q133" s="2907">
        <v>55</v>
      </c>
      <c r="R133" s="2907"/>
      <c r="S133" s="2907"/>
      <c r="T133" s="2908"/>
      <c r="U133" s="2908"/>
      <c r="V133" s="2908"/>
      <c r="W133" s="2908"/>
      <c r="X133" s="2908"/>
      <c r="Y133" s="2908"/>
      <c r="Z133" s="2908"/>
      <c r="AA133" s="2908"/>
      <c r="AB133" s="2909"/>
      <c r="AC133" s="2910"/>
      <c r="AD133" s="2910"/>
      <c r="AE133" s="2910"/>
      <c r="AF133" s="2910"/>
      <c r="AG133" s="291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1" t="s">
        <v>175</v>
      </c>
      <c r="D134" s="2612"/>
      <c r="E134" s="2612"/>
      <c r="F134" s="2913" t="s">
        <v>2115</v>
      </c>
      <c r="G134" s="2913"/>
      <c r="H134" s="2913"/>
      <c r="I134" s="2913"/>
      <c r="J134" s="2913"/>
      <c r="K134" s="2913"/>
      <c r="L134" s="2913"/>
      <c r="M134" s="2913"/>
      <c r="N134" s="2913"/>
      <c r="O134" s="2913"/>
      <c r="P134" s="2913"/>
      <c r="Q134" s="2790">
        <v>55</v>
      </c>
      <c r="R134" s="2790"/>
      <c r="S134" s="2790"/>
      <c r="T134" s="2789"/>
      <c r="U134" s="2789"/>
      <c r="V134" s="2789"/>
      <c r="W134" s="2789"/>
      <c r="X134" s="2789"/>
      <c r="Y134" s="2789"/>
      <c r="Z134" s="2789"/>
      <c r="AA134" s="2789"/>
      <c r="AB134" s="2914"/>
      <c r="AC134" s="2915"/>
      <c r="AD134" s="2915"/>
      <c r="AE134" s="2915"/>
      <c r="AF134" s="2915"/>
      <c r="AG134" s="291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3" t="s">
        <v>2116</v>
      </c>
      <c r="D136" s="2614"/>
      <c r="E136" s="2614"/>
      <c r="F136" s="2614"/>
      <c r="G136" s="2614"/>
      <c r="H136" s="2614"/>
      <c r="I136" s="2614"/>
      <c r="J136" s="2614"/>
      <c r="K136" s="2614"/>
      <c r="L136" s="2614"/>
      <c r="M136" s="2614"/>
      <c r="N136" s="2615"/>
      <c r="O136" s="1529"/>
      <c r="P136" s="2918" t="s">
        <v>2117</v>
      </c>
      <c r="Q136" s="2919"/>
      <c r="R136" s="2919"/>
      <c r="S136" s="2919"/>
      <c r="T136" s="2919"/>
      <c r="U136" s="2919"/>
      <c r="V136" s="2919"/>
      <c r="W136" s="2919"/>
      <c r="X136" s="2919"/>
      <c r="Y136" s="2919"/>
      <c r="Z136" s="2919"/>
      <c r="AA136" s="2919"/>
      <c r="AB136" s="2919"/>
      <c r="AC136" s="2919"/>
      <c r="AD136" s="2919"/>
      <c r="AE136" s="2919"/>
      <c r="AF136" s="2919"/>
      <c r="AG136" s="2919"/>
      <c r="AH136" s="2919"/>
      <c r="AI136" s="2919"/>
      <c r="AJ136" s="2919"/>
      <c r="AK136" s="2919"/>
      <c r="AL136" s="2919"/>
      <c r="AM136" s="2919"/>
      <c r="AN136" s="2919"/>
      <c r="AO136" s="292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5" t="s">
        <v>2118</v>
      </c>
      <c r="D137" s="2826"/>
      <c r="E137" s="2826"/>
      <c r="F137" s="2826"/>
      <c r="G137" s="2826"/>
      <c r="H137" s="2827"/>
      <c r="I137" s="2825" t="s">
        <v>2119</v>
      </c>
      <c r="J137" s="2826"/>
      <c r="K137" s="2826"/>
      <c r="L137" s="2826"/>
      <c r="M137" s="2826"/>
      <c r="N137" s="2827"/>
      <c r="O137" s="1529"/>
      <c r="P137" s="2921" t="s">
        <v>625</v>
      </c>
      <c r="Q137" s="2922"/>
      <c r="R137" s="2922"/>
      <c r="S137" s="2922"/>
      <c r="T137" s="2922"/>
      <c r="U137" s="2922"/>
      <c r="V137" s="2922"/>
      <c r="W137" s="2922"/>
      <c r="X137" s="2922"/>
      <c r="Y137" s="2922"/>
      <c r="Z137" s="2922"/>
      <c r="AA137" s="2922"/>
      <c r="AB137" s="2922"/>
      <c r="AC137" s="2922"/>
      <c r="AD137" s="2922"/>
      <c r="AE137" s="2922"/>
      <c r="AF137" s="2922"/>
      <c r="AG137" s="2922"/>
      <c r="AH137" s="2922"/>
      <c r="AI137" s="2922"/>
      <c r="AJ137" s="2922"/>
      <c r="AK137" s="2922"/>
      <c r="AL137" s="2922"/>
      <c r="AM137" s="2922"/>
      <c r="AN137" s="2922"/>
      <c r="AO137" s="292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928" t="s">
        <v>2634</v>
      </c>
      <c r="D138" s="2727"/>
      <c r="E138" s="2727"/>
      <c r="F138" s="2727"/>
      <c r="G138" s="2727"/>
      <c r="H138" s="2727"/>
      <c r="I138" s="2917">
        <v>44222</v>
      </c>
      <c r="J138" s="2917"/>
      <c r="K138" s="2917"/>
      <c r="L138" s="2917"/>
      <c r="M138" s="2917"/>
      <c r="N138" s="2917"/>
      <c r="O138" s="1529"/>
      <c r="P138" s="2924"/>
      <c r="Q138" s="2922"/>
      <c r="R138" s="2922"/>
      <c r="S138" s="2922"/>
      <c r="T138" s="2922"/>
      <c r="U138" s="2922"/>
      <c r="V138" s="2922"/>
      <c r="W138" s="2922"/>
      <c r="X138" s="2922"/>
      <c r="Y138" s="2922"/>
      <c r="Z138" s="2922"/>
      <c r="AA138" s="2922"/>
      <c r="AB138" s="2922"/>
      <c r="AC138" s="2922"/>
      <c r="AD138" s="2922"/>
      <c r="AE138" s="2922"/>
      <c r="AF138" s="2922"/>
      <c r="AG138" s="2922"/>
      <c r="AH138" s="2922"/>
      <c r="AI138" s="2922"/>
      <c r="AJ138" s="2922"/>
      <c r="AK138" s="2922"/>
      <c r="AL138" s="2922"/>
      <c r="AM138" s="2922"/>
      <c r="AN138" s="2922"/>
      <c r="AO138" s="292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7"/>
      <c r="D139" s="2727"/>
      <c r="E139" s="2727"/>
      <c r="F139" s="2727"/>
      <c r="G139" s="2727"/>
      <c r="H139" s="2727"/>
      <c r="I139" s="2917"/>
      <c r="J139" s="2917"/>
      <c r="K139" s="2917"/>
      <c r="L139" s="2917"/>
      <c r="M139" s="2917"/>
      <c r="N139" s="2917"/>
      <c r="O139" s="1529"/>
      <c r="P139" s="2924"/>
      <c r="Q139" s="2922"/>
      <c r="R139" s="2922"/>
      <c r="S139" s="2922"/>
      <c r="T139" s="2922"/>
      <c r="U139" s="2922"/>
      <c r="V139" s="2922"/>
      <c r="W139" s="2922"/>
      <c r="X139" s="2922"/>
      <c r="Y139" s="2922"/>
      <c r="Z139" s="2922"/>
      <c r="AA139" s="2922"/>
      <c r="AB139" s="2922"/>
      <c r="AC139" s="2922"/>
      <c r="AD139" s="2922"/>
      <c r="AE139" s="2922"/>
      <c r="AF139" s="2922"/>
      <c r="AG139" s="2922"/>
      <c r="AH139" s="2922"/>
      <c r="AI139" s="2922"/>
      <c r="AJ139" s="2922"/>
      <c r="AK139" s="2922"/>
      <c r="AL139" s="2922"/>
      <c r="AM139" s="2922"/>
      <c r="AN139" s="2922"/>
      <c r="AO139" s="292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7"/>
      <c r="D140" s="2727"/>
      <c r="E140" s="2727"/>
      <c r="F140" s="2727"/>
      <c r="G140" s="2727"/>
      <c r="H140" s="2727"/>
      <c r="I140" s="2917"/>
      <c r="J140" s="2917"/>
      <c r="K140" s="2917"/>
      <c r="L140" s="2917"/>
      <c r="M140" s="2917"/>
      <c r="N140" s="2917"/>
      <c r="O140" s="1529"/>
      <c r="P140" s="2924"/>
      <c r="Q140" s="2922"/>
      <c r="R140" s="2922"/>
      <c r="S140" s="2922"/>
      <c r="T140" s="2922"/>
      <c r="U140" s="2922"/>
      <c r="V140" s="2922"/>
      <c r="W140" s="2922"/>
      <c r="X140" s="2922"/>
      <c r="Y140" s="2922"/>
      <c r="Z140" s="2922"/>
      <c r="AA140" s="2922"/>
      <c r="AB140" s="2922"/>
      <c r="AC140" s="2922"/>
      <c r="AD140" s="2922"/>
      <c r="AE140" s="2922"/>
      <c r="AF140" s="2922"/>
      <c r="AG140" s="2922"/>
      <c r="AH140" s="2922"/>
      <c r="AI140" s="2922"/>
      <c r="AJ140" s="2922"/>
      <c r="AK140" s="2922"/>
      <c r="AL140" s="2922"/>
      <c r="AM140" s="2922"/>
      <c r="AN140" s="2922"/>
      <c r="AO140" s="292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7"/>
      <c r="D141" s="2727"/>
      <c r="E141" s="2727"/>
      <c r="F141" s="2727"/>
      <c r="G141" s="2727"/>
      <c r="H141" s="2727"/>
      <c r="I141" s="2917"/>
      <c r="J141" s="2917"/>
      <c r="K141" s="2917"/>
      <c r="L141" s="2917"/>
      <c r="M141" s="2917"/>
      <c r="N141" s="2917"/>
      <c r="O141" s="1529"/>
      <c r="P141" s="2924"/>
      <c r="Q141" s="2922"/>
      <c r="R141" s="2922"/>
      <c r="S141" s="2922"/>
      <c r="T141" s="2922"/>
      <c r="U141" s="2922"/>
      <c r="V141" s="2922"/>
      <c r="W141" s="2922"/>
      <c r="X141" s="2922"/>
      <c r="Y141" s="2922"/>
      <c r="Z141" s="2922"/>
      <c r="AA141" s="2922"/>
      <c r="AB141" s="2922"/>
      <c r="AC141" s="2922"/>
      <c r="AD141" s="2922"/>
      <c r="AE141" s="2922"/>
      <c r="AF141" s="2922"/>
      <c r="AG141" s="2922"/>
      <c r="AH141" s="2922"/>
      <c r="AI141" s="2922"/>
      <c r="AJ141" s="2922"/>
      <c r="AK141" s="2922"/>
      <c r="AL141" s="2922"/>
      <c r="AM141" s="2922"/>
      <c r="AN141" s="2922"/>
      <c r="AO141" s="292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7"/>
      <c r="D142" s="2727"/>
      <c r="E142" s="2727"/>
      <c r="F142" s="2727"/>
      <c r="G142" s="2727"/>
      <c r="H142" s="2727"/>
      <c r="I142" s="2917"/>
      <c r="J142" s="2917"/>
      <c r="K142" s="2917"/>
      <c r="L142" s="2917"/>
      <c r="M142" s="2917"/>
      <c r="N142" s="2917"/>
      <c r="O142" s="1529"/>
      <c r="P142" s="2924"/>
      <c r="Q142" s="2922"/>
      <c r="R142" s="2922"/>
      <c r="S142" s="2922"/>
      <c r="T142" s="2922"/>
      <c r="U142" s="2922"/>
      <c r="V142" s="2922"/>
      <c r="W142" s="2922"/>
      <c r="X142" s="2922"/>
      <c r="Y142" s="2922"/>
      <c r="Z142" s="2922"/>
      <c r="AA142" s="2922"/>
      <c r="AB142" s="2922"/>
      <c r="AC142" s="2922"/>
      <c r="AD142" s="2922"/>
      <c r="AE142" s="2922"/>
      <c r="AF142" s="2922"/>
      <c r="AG142" s="2922"/>
      <c r="AH142" s="2922"/>
      <c r="AI142" s="2922"/>
      <c r="AJ142" s="2922"/>
      <c r="AK142" s="2922"/>
      <c r="AL142" s="2922"/>
      <c r="AM142" s="2922"/>
      <c r="AN142" s="2922"/>
      <c r="AO142" s="292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7"/>
      <c r="D143" s="2727"/>
      <c r="E143" s="2727"/>
      <c r="F143" s="2727"/>
      <c r="G143" s="2727"/>
      <c r="H143" s="2727"/>
      <c r="I143" s="2917"/>
      <c r="J143" s="2917"/>
      <c r="K143" s="2917"/>
      <c r="L143" s="2917"/>
      <c r="M143" s="2917"/>
      <c r="N143" s="2917"/>
      <c r="O143" s="1529"/>
      <c r="P143" s="2924"/>
      <c r="Q143" s="2922"/>
      <c r="R143" s="2922"/>
      <c r="S143" s="2922"/>
      <c r="T143" s="2922"/>
      <c r="U143" s="2922"/>
      <c r="V143" s="2922"/>
      <c r="W143" s="2922"/>
      <c r="X143" s="2922"/>
      <c r="Y143" s="2922"/>
      <c r="Z143" s="2922"/>
      <c r="AA143" s="2922"/>
      <c r="AB143" s="2922"/>
      <c r="AC143" s="2922"/>
      <c r="AD143" s="2922"/>
      <c r="AE143" s="2922"/>
      <c r="AF143" s="2922"/>
      <c r="AG143" s="2922"/>
      <c r="AH143" s="2922"/>
      <c r="AI143" s="2922"/>
      <c r="AJ143" s="2922"/>
      <c r="AK143" s="2922"/>
      <c r="AL143" s="2922"/>
      <c r="AM143" s="2922"/>
      <c r="AN143" s="2922"/>
      <c r="AO143" s="292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7"/>
      <c r="D144" s="2727"/>
      <c r="E144" s="2727"/>
      <c r="F144" s="2727"/>
      <c r="G144" s="2727"/>
      <c r="H144" s="2727"/>
      <c r="I144" s="2917"/>
      <c r="J144" s="2917"/>
      <c r="K144" s="2917"/>
      <c r="L144" s="2917"/>
      <c r="M144" s="2917"/>
      <c r="N144" s="2917"/>
      <c r="O144" s="1529"/>
      <c r="P144" s="2925"/>
      <c r="Q144" s="2926"/>
      <c r="R144" s="2926"/>
      <c r="S144" s="2926"/>
      <c r="T144" s="2926"/>
      <c r="U144" s="2926"/>
      <c r="V144" s="2926"/>
      <c r="W144" s="2926"/>
      <c r="X144" s="2926"/>
      <c r="Y144" s="2926"/>
      <c r="Z144" s="2926"/>
      <c r="AA144" s="2926"/>
      <c r="AB144" s="2926"/>
      <c r="AC144" s="2926"/>
      <c r="AD144" s="2926"/>
      <c r="AE144" s="2926"/>
      <c r="AF144" s="2926"/>
      <c r="AG144" s="2926"/>
      <c r="AH144" s="2926"/>
      <c r="AI144" s="2926"/>
      <c r="AJ144" s="2926"/>
      <c r="AK144" s="2926"/>
      <c r="AL144" s="2926"/>
      <c r="AM144" s="2926"/>
      <c r="AN144" s="2926"/>
      <c r="AO144" s="292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2120</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2121</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9"/>
      <c r="D149" s="2940"/>
      <c r="E149" s="2940"/>
      <c r="F149" s="2940"/>
      <c r="G149" s="2940"/>
      <c r="H149" s="2940"/>
      <c r="I149" s="2940"/>
      <c r="J149" s="2940"/>
      <c r="K149" s="2940"/>
      <c r="L149" s="2940"/>
      <c r="M149" s="2941"/>
      <c r="N149" s="2942" t="s">
        <v>2122</v>
      </c>
      <c r="O149" s="2942"/>
      <c r="P149" s="2942"/>
      <c r="Q149" s="2942"/>
      <c r="R149" s="2942"/>
      <c r="S149" s="2942"/>
      <c r="T149" s="2943"/>
      <c r="U149" s="2944" t="s">
        <v>2108</v>
      </c>
      <c r="V149" s="2767"/>
      <c r="W149" s="2767"/>
      <c r="X149" s="2767"/>
      <c r="Y149" s="2767"/>
      <c r="Z149" s="2767"/>
      <c r="AA149" s="2767"/>
      <c r="AB149" s="2767"/>
      <c r="AC149" s="2767"/>
      <c r="AD149" s="2767"/>
      <c r="AE149" s="2768"/>
      <c r="AF149" s="1529"/>
      <c r="AG149" s="1529"/>
      <c r="AH149" s="2606" t="s">
        <v>2123</v>
      </c>
      <c r="AI149" s="2607"/>
      <c r="AJ149" s="2607"/>
      <c r="AK149" s="2607"/>
      <c r="AL149" s="2607"/>
      <c r="AM149" s="2607"/>
      <c r="AN149" s="2607"/>
      <c r="AO149" s="2607"/>
      <c r="AP149" s="2607"/>
      <c r="AQ149" s="2607"/>
      <c r="AR149" s="2607"/>
      <c r="AS149" s="2929">
        <v>6806615</v>
      </c>
      <c r="AT149" s="2930"/>
      <c r="AU149" s="2930"/>
      <c r="AV149" s="2930"/>
      <c r="AW149" s="2930"/>
      <c r="AX149" s="1529"/>
      <c r="AY149" s="1529"/>
      <c r="AZ149" s="1529"/>
      <c r="BA149" s="1529"/>
      <c r="BB149" s="1529"/>
      <c r="BC149" s="1529"/>
      <c r="BD149" s="1529"/>
      <c r="BE149" s="1535"/>
    </row>
    <row r="150" spans="1:57" ht="15.75" customHeight="1">
      <c r="A150" s="1818"/>
      <c r="B150" s="1529"/>
      <c r="C150" s="2863" t="s">
        <v>2124</v>
      </c>
      <c r="D150" s="2864"/>
      <c r="E150" s="2864"/>
      <c r="F150" s="2864"/>
      <c r="G150" s="2864"/>
      <c r="H150" s="2864"/>
      <c r="I150" s="2864"/>
      <c r="J150" s="2864"/>
      <c r="K150" s="2864"/>
      <c r="L150" s="2864"/>
      <c r="M150" s="2931"/>
      <c r="N150" s="2932">
        <f>'Sources and Uses Budget'!B104</f>
        <v>9627300</v>
      </c>
      <c r="O150" s="2932"/>
      <c r="P150" s="2932"/>
      <c r="Q150" s="2932"/>
      <c r="R150" s="2932"/>
      <c r="S150" s="2932"/>
      <c r="T150" s="2933"/>
      <c r="U150" s="2934"/>
      <c r="V150" s="2935"/>
      <c r="W150" s="2935"/>
      <c r="X150" s="2935"/>
      <c r="Y150" s="2935"/>
      <c r="Z150" s="2935"/>
      <c r="AA150" s="2935"/>
      <c r="AB150" s="2935"/>
      <c r="AC150" s="2935"/>
      <c r="AD150" s="2935"/>
      <c r="AE150" s="2936"/>
      <c r="AF150" s="1529"/>
      <c r="AG150" s="1529"/>
      <c r="AH150" s="2937" t="s">
        <v>2125</v>
      </c>
      <c r="AI150" s="2938"/>
      <c r="AJ150" s="2938"/>
      <c r="AK150" s="2938"/>
      <c r="AL150" s="2938"/>
      <c r="AM150" s="2938"/>
      <c r="AN150" s="2938"/>
      <c r="AO150" s="2938"/>
      <c r="AP150" s="2938"/>
      <c r="AQ150" s="2938"/>
      <c r="AR150" s="2938"/>
      <c r="AS150" s="2929"/>
      <c r="AT150" s="2930"/>
      <c r="AU150" s="2930"/>
      <c r="AV150" s="2930"/>
      <c r="AW150" s="2930"/>
      <c r="AX150" s="1529"/>
      <c r="AY150" s="1529"/>
      <c r="AZ150" s="1529"/>
      <c r="BA150" s="1529"/>
      <c r="BB150" s="1529"/>
      <c r="BC150" s="1529"/>
      <c r="BD150" s="1529"/>
      <c r="BE150" s="1535"/>
    </row>
    <row r="151" spans="1:57" ht="15.75" customHeight="1">
      <c r="A151" s="1818"/>
      <c r="B151" s="1529"/>
      <c r="C151" s="2863" t="s">
        <v>2126</v>
      </c>
      <c r="D151" s="2864"/>
      <c r="E151" s="2864"/>
      <c r="F151" s="2864"/>
      <c r="G151" s="2864"/>
      <c r="H151" s="2864"/>
      <c r="I151" s="2864"/>
      <c r="J151" s="2864"/>
      <c r="K151" s="2864"/>
      <c r="L151" s="2864"/>
      <c r="M151" s="2931"/>
      <c r="N151" s="2932">
        <f>N150/J29</f>
        <v>71845.522388059704</v>
      </c>
      <c r="O151" s="2932"/>
      <c r="P151" s="2932"/>
      <c r="Q151" s="2932"/>
      <c r="R151" s="2932"/>
      <c r="S151" s="2932"/>
      <c r="T151" s="2933"/>
      <c r="U151" s="1553"/>
      <c r="V151" s="1553"/>
      <c r="W151" s="1553"/>
      <c r="X151" s="1553"/>
      <c r="Y151" s="1553"/>
      <c r="Z151" s="1553"/>
      <c r="AA151" s="1553"/>
      <c r="AB151" s="1553"/>
      <c r="AC151" s="1553"/>
      <c r="AD151" s="1553"/>
      <c r="AE151" s="1554"/>
      <c r="AF151" s="1529"/>
      <c r="AG151" s="1529"/>
      <c r="AH151" s="2882" t="s">
        <v>2127</v>
      </c>
      <c r="AI151" s="2883"/>
      <c r="AJ151" s="2883"/>
      <c r="AK151" s="2883"/>
      <c r="AL151" s="2883"/>
      <c r="AM151" s="2883"/>
      <c r="AN151" s="2883"/>
      <c r="AO151" s="2883"/>
      <c r="AP151" s="2883"/>
      <c r="AQ151" s="2883"/>
      <c r="AR151" s="2884"/>
      <c r="AS151" s="2929">
        <v>2820685</v>
      </c>
      <c r="AT151" s="2930"/>
      <c r="AU151" s="2930"/>
      <c r="AV151" s="2930"/>
      <c r="AW151" s="2930"/>
      <c r="AX151" s="1529"/>
      <c r="AY151" s="1529"/>
      <c r="AZ151" s="1529"/>
      <c r="BA151" s="1529"/>
      <c r="BB151" s="1529"/>
      <c r="BC151" s="1529"/>
      <c r="BD151" s="1529"/>
      <c r="BE151" s="1535"/>
    </row>
    <row r="152" spans="1:57" ht="15.75" customHeight="1">
      <c r="A152" s="1818"/>
      <c r="B152" s="1529"/>
      <c r="C152" s="2955" t="s">
        <v>2128</v>
      </c>
      <c r="D152" s="2785"/>
      <c r="E152" s="2785"/>
      <c r="F152" s="2785"/>
      <c r="G152" s="2785"/>
      <c r="H152" s="2785"/>
      <c r="I152" s="2785"/>
      <c r="J152" s="2785"/>
      <c r="K152" s="2785"/>
      <c r="L152" s="2785"/>
      <c r="M152" s="2786"/>
      <c r="N152" s="2956"/>
      <c r="O152" s="2956"/>
      <c r="P152" s="2956"/>
      <c r="Q152" s="2956"/>
      <c r="R152" s="2956"/>
      <c r="S152" s="2956"/>
      <c r="T152" s="2957"/>
      <c r="U152" s="2962"/>
      <c r="V152" s="2963"/>
      <c r="W152" s="2963"/>
      <c r="X152" s="2963"/>
      <c r="Y152" s="2963"/>
      <c r="Z152" s="2963"/>
      <c r="AA152" s="2963"/>
      <c r="AB152" s="2963"/>
      <c r="AC152" s="2963"/>
      <c r="AD152" s="2963"/>
      <c r="AE152" s="2964"/>
      <c r="AF152" s="1529"/>
      <c r="AG152" s="1529"/>
      <c r="AH152" s="2934"/>
      <c r="AI152" s="2935"/>
      <c r="AJ152" s="2935"/>
      <c r="AK152" s="2935"/>
      <c r="AL152" s="2935"/>
      <c r="AM152" s="2935"/>
      <c r="AN152" s="2935"/>
      <c r="AO152" s="2935"/>
      <c r="AP152" s="2935"/>
      <c r="AQ152" s="2935"/>
      <c r="AR152" s="2958"/>
      <c r="AS152" s="2959"/>
      <c r="AT152" s="2960"/>
      <c r="AU152" s="2960"/>
      <c r="AV152" s="2960"/>
      <c r="AW152" s="2961"/>
      <c r="AX152" s="1529"/>
      <c r="AY152" s="1529"/>
      <c r="AZ152" s="1529"/>
      <c r="BA152" s="1529"/>
      <c r="BB152" s="1529"/>
      <c r="BC152" s="1529"/>
      <c r="BD152" s="1529"/>
      <c r="BE152" s="1535"/>
    </row>
    <row r="153" spans="1:57" ht="15.75" customHeight="1" thickBot="1">
      <c r="A153" s="1818"/>
      <c r="B153" s="1529"/>
      <c r="C153" s="2882" t="s">
        <v>2129</v>
      </c>
      <c r="D153" s="2883"/>
      <c r="E153" s="2883"/>
      <c r="F153" s="2883"/>
      <c r="G153" s="2883"/>
      <c r="H153" s="2883"/>
      <c r="I153" s="2883"/>
      <c r="J153" s="2883"/>
      <c r="K153" s="2883"/>
      <c r="L153" s="2883"/>
      <c r="M153" s="2945"/>
      <c r="N153" s="2946">
        <f>SUM('Sources and Uses Budget'!B85:B86)</f>
        <v>6081512</v>
      </c>
      <c r="O153" s="2946"/>
      <c r="P153" s="2946"/>
      <c r="Q153" s="2946"/>
      <c r="R153" s="2946"/>
      <c r="S153" s="2946"/>
      <c r="T153" s="2947"/>
      <c r="U153" s="2948"/>
      <c r="V153" s="2949"/>
      <c r="W153" s="2949"/>
      <c r="X153" s="2949"/>
      <c r="Y153" s="2949"/>
      <c r="Z153" s="2949"/>
      <c r="AA153" s="2949"/>
      <c r="AB153" s="2949"/>
      <c r="AC153" s="2949"/>
      <c r="AD153" s="2949"/>
      <c r="AE153" s="2950"/>
      <c r="AF153" s="1529"/>
      <c r="AG153" s="1529"/>
      <c r="AH153" s="2951" t="s">
        <v>2130</v>
      </c>
      <c r="AI153" s="2952"/>
      <c r="AJ153" s="2952"/>
      <c r="AK153" s="2952"/>
      <c r="AL153" s="2952"/>
      <c r="AM153" s="2952"/>
      <c r="AN153" s="2952"/>
      <c r="AO153" s="2952"/>
      <c r="AP153" s="2952"/>
      <c r="AQ153" s="2952"/>
      <c r="AR153" s="2952"/>
      <c r="AS153" s="2953">
        <f>SUM(AS149:AW151)</f>
        <v>9627300</v>
      </c>
      <c r="AT153" s="2954"/>
      <c r="AU153" s="2954"/>
      <c r="AV153" s="2954"/>
      <c r="AW153" s="2954"/>
      <c r="AX153" s="1529"/>
      <c r="AY153" s="1529"/>
      <c r="AZ153" s="1529"/>
      <c r="BA153" s="1529"/>
      <c r="BB153" s="1529"/>
      <c r="BC153" s="1529"/>
      <c r="BD153" s="1529"/>
      <c r="BE153" s="1535"/>
    </row>
    <row r="154" spans="1:57" ht="15.75" customHeight="1">
      <c r="A154" s="1818"/>
      <c r="B154" s="1529"/>
      <c r="C154" s="2882" t="s">
        <v>2131</v>
      </c>
      <c r="D154" s="2883"/>
      <c r="E154" s="2883"/>
      <c r="F154" s="2883"/>
      <c r="G154" s="2883"/>
      <c r="H154" s="2883"/>
      <c r="I154" s="2883"/>
      <c r="J154" s="2883"/>
      <c r="K154" s="2883"/>
      <c r="L154" s="2883"/>
      <c r="M154" s="2945"/>
      <c r="N154" s="2946">
        <f>'Sources and Uses Budget'!B8</f>
        <v>4050000</v>
      </c>
      <c r="O154" s="2946"/>
      <c r="P154" s="2946"/>
      <c r="Q154" s="2946"/>
      <c r="R154" s="2946"/>
      <c r="S154" s="2946"/>
      <c r="T154" s="2947"/>
      <c r="U154" s="2948"/>
      <c r="V154" s="2949"/>
      <c r="W154" s="2949"/>
      <c r="X154" s="2949"/>
      <c r="Y154" s="2949"/>
      <c r="Z154" s="2949"/>
      <c r="AA154" s="2949"/>
      <c r="AB154" s="2949"/>
      <c r="AC154" s="2949"/>
      <c r="AD154" s="2949"/>
      <c r="AE154" s="2950"/>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2" t="s">
        <v>2132</v>
      </c>
      <c r="D155" s="2883"/>
      <c r="E155" s="2883"/>
      <c r="F155" s="2883"/>
      <c r="G155" s="2883"/>
      <c r="H155" s="2883"/>
      <c r="I155" s="2883"/>
      <c r="J155" s="2883"/>
      <c r="K155" s="2883"/>
      <c r="L155" s="2883"/>
      <c r="M155" s="2945"/>
      <c r="N155" s="2967"/>
      <c r="O155" s="2967"/>
      <c r="P155" s="2967"/>
      <c r="Q155" s="2967"/>
      <c r="R155" s="2967"/>
      <c r="S155" s="2967"/>
      <c r="T155" s="2968"/>
      <c r="U155" s="2948"/>
      <c r="V155" s="2949"/>
      <c r="W155" s="2949"/>
      <c r="X155" s="2949"/>
      <c r="Y155" s="2949"/>
      <c r="Z155" s="2949"/>
      <c r="AA155" s="2949"/>
      <c r="AB155" s="2949"/>
      <c r="AC155" s="2949"/>
      <c r="AD155" s="2949"/>
      <c r="AE155" s="2950"/>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2" t="s">
        <v>2125</v>
      </c>
      <c r="D156" s="2883"/>
      <c r="E156" s="2883"/>
      <c r="F156" s="2883"/>
      <c r="G156" s="2883"/>
      <c r="H156" s="2883"/>
      <c r="I156" s="2883"/>
      <c r="J156" s="2883"/>
      <c r="K156" s="2883"/>
      <c r="L156" s="2883"/>
      <c r="M156" s="2945"/>
      <c r="N156" s="2967"/>
      <c r="O156" s="2967"/>
      <c r="P156" s="2967"/>
      <c r="Q156" s="2967"/>
      <c r="R156" s="2967"/>
      <c r="S156" s="2967"/>
      <c r="T156" s="2968"/>
      <c r="U156" s="2948"/>
      <c r="V156" s="2949"/>
      <c r="W156" s="2949"/>
      <c r="X156" s="2949"/>
      <c r="Y156" s="2949"/>
      <c r="Z156" s="2949"/>
      <c r="AA156" s="2949"/>
      <c r="AB156" s="2949"/>
      <c r="AC156" s="2949"/>
      <c r="AD156" s="2949"/>
      <c r="AE156" s="2950"/>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65" t="s">
        <v>308</v>
      </c>
      <c r="D157" s="2905"/>
      <c r="E157" s="2912" t="s">
        <v>2115</v>
      </c>
      <c r="F157" s="2912"/>
      <c r="G157" s="2912"/>
      <c r="H157" s="2912"/>
      <c r="I157" s="2912"/>
      <c r="J157" s="2912"/>
      <c r="K157" s="2912"/>
      <c r="L157" s="2912"/>
      <c r="M157" s="2966"/>
      <c r="N157" s="2967"/>
      <c r="O157" s="2967"/>
      <c r="P157" s="2967"/>
      <c r="Q157" s="2967"/>
      <c r="R157" s="2967"/>
      <c r="S157" s="2967"/>
      <c r="T157" s="2968"/>
      <c r="U157" s="2948"/>
      <c r="V157" s="2949"/>
      <c r="W157" s="2949"/>
      <c r="X157" s="2949"/>
      <c r="Y157" s="2949"/>
      <c r="Z157" s="2949"/>
      <c r="AA157" s="2949"/>
      <c r="AB157" s="2949"/>
      <c r="AC157" s="2949"/>
      <c r="AD157" s="2949"/>
      <c r="AE157" s="2950"/>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62" t="s">
        <v>308</v>
      </c>
      <c r="D158" s="2963"/>
      <c r="E158" s="2912" t="s">
        <v>2115</v>
      </c>
      <c r="F158" s="2912"/>
      <c r="G158" s="2912"/>
      <c r="H158" s="2912"/>
      <c r="I158" s="2912"/>
      <c r="J158" s="2912"/>
      <c r="K158" s="2912"/>
      <c r="L158" s="2912"/>
      <c r="M158" s="2966"/>
      <c r="N158" s="2967"/>
      <c r="O158" s="2967"/>
      <c r="P158" s="2967"/>
      <c r="Q158" s="2967"/>
      <c r="R158" s="2967"/>
      <c r="S158" s="2967"/>
      <c r="T158" s="2968"/>
      <c r="U158" s="2948"/>
      <c r="V158" s="2949"/>
      <c r="W158" s="2949"/>
      <c r="X158" s="2949"/>
      <c r="Y158" s="2949"/>
      <c r="Z158" s="2949"/>
      <c r="AA158" s="2949"/>
      <c r="AB158" s="2949"/>
      <c r="AC158" s="2949"/>
      <c r="AD158" s="2949"/>
      <c r="AE158" s="2950"/>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80" t="s">
        <v>308</v>
      </c>
      <c r="D159" s="2981"/>
      <c r="E159" s="2913" t="s">
        <v>2115</v>
      </c>
      <c r="F159" s="2913"/>
      <c r="G159" s="2913"/>
      <c r="H159" s="2913"/>
      <c r="I159" s="2913"/>
      <c r="J159" s="2913"/>
      <c r="K159" s="2913"/>
      <c r="L159" s="2913"/>
      <c r="M159" s="2982"/>
      <c r="N159" s="2983"/>
      <c r="O159" s="2983"/>
      <c r="P159" s="2983"/>
      <c r="Q159" s="2983"/>
      <c r="R159" s="2983"/>
      <c r="S159" s="2983"/>
      <c r="T159" s="2984"/>
      <c r="U159" s="2985"/>
      <c r="V159" s="2986"/>
      <c r="W159" s="2986"/>
      <c r="X159" s="2986"/>
      <c r="Y159" s="2986"/>
      <c r="Z159" s="2986"/>
      <c r="AA159" s="2986"/>
      <c r="AB159" s="2986"/>
      <c r="AC159" s="2986"/>
      <c r="AD159" s="2986"/>
      <c r="AE159" s="298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8" t="s">
        <v>2133</v>
      </c>
      <c r="D160" s="2989"/>
      <c r="E160" s="2989"/>
      <c r="F160" s="2989"/>
      <c r="G160" s="2989"/>
      <c r="H160" s="2989"/>
      <c r="I160" s="2989"/>
      <c r="J160" s="2989"/>
      <c r="K160" s="2989"/>
      <c r="L160" s="2989"/>
      <c r="M160" s="2990"/>
      <c r="N160" s="2991">
        <f>SUM(N152:T159)</f>
        <v>10131512</v>
      </c>
      <c r="O160" s="2992"/>
      <c r="P160" s="2992"/>
      <c r="Q160" s="2992"/>
      <c r="R160" s="2992"/>
      <c r="S160" s="2992"/>
      <c r="T160" s="299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7" t="s">
        <v>2134</v>
      </c>
      <c r="D161" s="2788"/>
      <c r="E161" s="2788"/>
      <c r="F161" s="2788"/>
      <c r="G161" s="2788"/>
      <c r="H161" s="2788"/>
      <c r="I161" s="2788"/>
      <c r="J161" s="2788"/>
      <c r="K161" s="2788"/>
      <c r="L161" s="2788"/>
      <c r="M161" s="2788"/>
      <c r="N161" s="2969">
        <f>(N150-N160)/J29</f>
        <v>-3762.7761194029849</v>
      </c>
      <c r="O161" s="2969"/>
      <c r="P161" s="2969"/>
      <c r="Q161" s="2969"/>
      <c r="R161" s="2969"/>
      <c r="S161" s="2969"/>
      <c r="T161" s="297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71" t="s">
        <v>2135</v>
      </c>
      <c r="C164" s="2972"/>
      <c r="D164" s="2972"/>
      <c r="E164" s="2972"/>
      <c r="F164" s="2972"/>
      <c r="G164" s="2972"/>
      <c r="H164" s="2972"/>
      <c r="I164" s="2972"/>
      <c r="J164" s="2972"/>
      <c r="K164" s="2972"/>
      <c r="L164" s="2972"/>
      <c r="M164" s="2972"/>
      <c r="N164" s="2972"/>
      <c r="O164" s="2972"/>
      <c r="P164" s="2972"/>
      <c r="Q164" s="2972"/>
      <c r="R164" s="2972"/>
      <c r="S164" s="2972"/>
      <c r="T164" s="2972"/>
      <c r="U164" s="2972"/>
      <c r="V164" s="2972"/>
      <c r="W164" s="2972"/>
      <c r="X164" s="2972"/>
      <c r="Y164" s="2972"/>
      <c r="Z164" s="2972"/>
      <c r="AA164" s="2972"/>
      <c r="AB164" s="2972"/>
      <c r="AC164" s="2972"/>
      <c r="AD164" s="2972"/>
      <c r="AE164" s="2972"/>
      <c r="AF164" s="2972"/>
      <c r="AG164" s="2972"/>
      <c r="AH164" s="2972"/>
      <c r="AI164" s="2972"/>
      <c r="AJ164" s="2972"/>
      <c r="AK164" s="2972"/>
      <c r="AL164" s="2972"/>
      <c r="AM164" s="2972"/>
      <c r="AN164" s="2972"/>
      <c r="AO164" s="2972"/>
      <c r="AP164" s="2972"/>
      <c r="AQ164" s="2972"/>
      <c r="AR164" s="2972"/>
      <c r="AS164" s="2972"/>
      <c r="AT164" s="2972"/>
      <c r="AU164" s="2972"/>
      <c r="AV164" s="2972"/>
      <c r="AW164" s="2972"/>
      <c r="AX164" s="2972"/>
      <c r="AY164" s="2972"/>
      <c r="AZ164" s="2972"/>
      <c r="BA164" s="2972"/>
      <c r="BB164" s="2972"/>
      <c r="BC164" s="2972"/>
      <c r="BD164" s="2973"/>
      <c r="BE164" s="1535"/>
    </row>
    <row r="165" spans="1:57" ht="15.75" customHeight="1">
      <c r="A165" s="1818"/>
      <c r="B165" s="2974"/>
      <c r="C165" s="2975"/>
      <c r="D165" s="2975"/>
      <c r="E165" s="2975"/>
      <c r="F165" s="2975"/>
      <c r="G165" s="2975"/>
      <c r="H165" s="2975"/>
      <c r="I165" s="2975"/>
      <c r="J165" s="2975"/>
      <c r="K165" s="2975"/>
      <c r="L165" s="2975"/>
      <c r="M165" s="2975"/>
      <c r="N165" s="2975"/>
      <c r="O165" s="2975"/>
      <c r="P165" s="2975"/>
      <c r="Q165" s="2975"/>
      <c r="R165" s="2975"/>
      <c r="S165" s="2975"/>
      <c r="T165" s="2975"/>
      <c r="U165" s="2975"/>
      <c r="V165" s="2975"/>
      <c r="W165" s="2975"/>
      <c r="X165" s="2975"/>
      <c r="Y165" s="2975"/>
      <c r="Z165" s="2975"/>
      <c r="AA165" s="2975"/>
      <c r="AB165" s="2975"/>
      <c r="AC165" s="2975"/>
      <c r="AD165" s="2975"/>
      <c r="AE165" s="2975"/>
      <c r="AF165" s="2975"/>
      <c r="AG165" s="2975"/>
      <c r="AH165" s="2975"/>
      <c r="AI165" s="2975"/>
      <c r="AJ165" s="2975"/>
      <c r="AK165" s="2975"/>
      <c r="AL165" s="2975"/>
      <c r="AM165" s="2975"/>
      <c r="AN165" s="2975"/>
      <c r="AO165" s="2975"/>
      <c r="AP165" s="2975"/>
      <c r="AQ165" s="2975"/>
      <c r="AR165" s="2975"/>
      <c r="AS165" s="2975"/>
      <c r="AT165" s="2975"/>
      <c r="AU165" s="2975"/>
      <c r="AV165" s="2975"/>
      <c r="AW165" s="2975"/>
      <c r="AX165" s="2975"/>
      <c r="AY165" s="2975"/>
      <c r="AZ165" s="2975"/>
      <c r="BA165" s="2975"/>
      <c r="BB165" s="2975"/>
      <c r="BC165" s="2975"/>
      <c r="BD165" s="2976"/>
      <c r="BE165" s="1535"/>
    </row>
    <row r="166" spans="1:57" ht="15.75" customHeight="1">
      <c r="A166" s="1818"/>
      <c r="B166" s="2977" t="s">
        <v>2136</v>
      </c>
      <c r="C166" s="2978"/>
      <c r="D166" s="2978"/>
      <c r="E166" s="2978"/>
      <c r="F166" s="2978"/>
      <c r="G166" s="2978"/>
      <c r="H166" s="2978"/>
      <c r="I166" s="2978"/>
      <c r="J166" s="2978"/>
      <c r="K166" s="2978"/>
      <c r="L166" s="2978"/>
      <c r="M166" s="2978"/>
      <c r="N166" s="2978"/>
      <c r="O166" s="2978"/>
      <c r="P166" s="2978"/>
      <c r="Q166" s="2978"/>
      <c r="R166" s="2978"/>
      <c r="S166" s="2978"/>
      <c r="T166" s="2978"/>
      <c r="U166" s="2978"/>
      <c r="V166" s="2978"/>
      <c r="W166" s="2978"/>
      <c r="X166" s="2978"/>
      <c r="Y166" s="2978"/>
      <c r="Z166" s="2978"/>
      <c r="AA166" s="2978"/>
      <c r="AB166" s="2978"/>
      <c r="AC166" s="2978"/>
      <c r="AD166" s="2978"/>
      <c r="AE166" s="2978"/>
      <c r="AF166" s="2978"/>
      <c r="AG166" s="2978"/>
      <c r="AH166" s="2978"/>
      <c r="AI166" s="2978"/>
      <c r="AJ166" s="2978"/>
      <c r="AK166" s="2978"/>
      <c r="AL166" s="2978"/>
      <c r="AM166" s="2978"/>
      <c r="AN166" s="2978"/>
      <c r="AO166" s="2978"/>
      <c r="AP166" s="2978"/>
      <c r="AQ166" s="2978"/>
      <c r="AR166" s="2978"/>
      <c r="AS166" s="2978"/>
      <c r="AT166" s="2978"/>
      <c r="AU166" s="2978"/>
      <c r="AV166" s="2978"/>
      <c r="AW166" s="2978"/>
      <c r="AX166" s="2978"/>
      <c r="AY166" s="2978"/>
      <c r="AZ166" s="2978"/>
      <c r="BA166" s="2978"/>
      <c r="BB166" s="2978"/>
      <c r="BC166" s="2978"/>
      <c r="BD166" s="2979"/>
      <c r="BE166" s="1535"/>
    </row>
    <row r="167" spans="1:57" ht="15.75" customHeight="1">
      <c r="A167" s="1818"/>
      <c r="B167" s="2977" t="s">
        <v>2137</v>
      </c>
      <c r="C167" s="2978"/>
      <c r="D167" s="2978"/>
      <c r="E167" s="2978"/>
      <c r="F167" s="2978"/>
      <c r="G167" s="2978"/>
      <c r="H167" s="2978"/>
      <c r="I167" s="2978"/>
      <c r="J167" s="2978"/>
      <c r="K167" s="2978"/>
      <c r="L167" s="2978"/>
      <c r="M167" s="2978"/>
      <c r="N167" s="2978"/>
      <c r="O167" s="2978"/>
      <c r="P167" s="2978"/>
      <c r="Q167" s="2978"/>
      <c r="R167" s="2978"/>
      <c r="S167" s="2978"/>
      <c r="T167" s="2978"/>
      <c r="U167" s="2978"/>
      <c r="V167" s="2978"/>
      <c r="W167" s="2978"/>
      <c r="X167" s="2978"/>
      <c r="Y167" s="2978"/>
      <c r="Z167" s="2978"/>
      <c r="AA167" s="2978"/>
      <c r="AB167" s="2978"/>
      <c r="AC167" s="2978"/>
      <c r="AD167" s="2978"/>
      <c r="AE167" s="2978"/>
      <c r="AF167" s="2978"/>
      <c r="AG167" s="2978"/>
      <c r="AH167" s="2978"/>
      <c r="AI167" s="2978"/>
      <c r="AJ167" s="2978"/>
      <c r="AK167" s="2978"/>
      <c r="AL167" s="2978"/>
      <c r="AM167" s="2978"/>
      <c r="AN167" s="2978"/>
      <c r="AO167" s="2978"/>
      <c r="AP167" s="2978"/>
      <c r="AQ167" s="2978"/>
      <c r="AR167" s="2978"/>
      <c r="AS167" s="2978"/>
      <c r="AT167" s="2978"/>
      <c r="AU167" s="2978"/>
      <c r="AV167" s="2978"/>
      <c r="AW167" s="2978"/>
      <c r="AX167" s="2978"/>
      <c r="AY167" s="2978"/>
      <c r="AZ167" s="2978"/>
      <c r="BA167" s="2978"/>
      <c r="BB167" s="2978"/>
      <c r="BC167" s="2978"/>
      <c r="BD167" s="297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3001" t="s">
        <v>2138</v>
      </c>
      <c r="C169" s="3002"/>
      <c r="D169" s="3002"/>
      <c r="E169" s="3002"/>
      <c r="F169" s="3002"/>
      <c r="G169" s="3002"/>
      <c r="H169" s="3002"/>
      <c r="I169" s="3002"/>
      <c r="J169" s="3002"/>
      <c r="K169" s="3002"/>
      <c r="L169" s="3002"/>
      <c r="M169" s="3002"/>
      <c r="N169" s="3002"/>
      <c r="O169" s="3002"/>
      <c r="P169" s="3002"/>
      <c r="Q169" s="3002"/>
      <c r="R169" s="3002"/>
      <c r="S169" s="3002"/>
      <c r="T169" s="3002"/>
      <c r="U169" s="3002"/>
      <c r="V169" s="3002"/>
      <c r="W169" s="3002"/>
      <c r="X169" s="3002"/>
      <c r="Y169" s="3002"/>
      <c r="Z169" s="3002"/>
      <c r="AA169" s="3002"/>
      <c r="AB169" s="3002"/>
      <c r="AC169" s="3002"/>
      <c r="AD169" s="3002"/>
      <c r="AE169" s="3002"/>
      <c r="AF169" s="3002"/>
      <c r="AG169" s="3002"/>
      <c r="AH169" s="3002"/>
      <c r="AI169" s="3002"/>
      <c r="AJ169" s="3002"/>
      <c r="AK169" s="3002"/>
      <c r="AL169" s="3002"/>
      <c r="AM169" s="3002"/>
      <c r="AN169" s="3002"/>
      <c r="AO169" s="3002"/>
      <c r="AP169" s="3002"/>
      <c r="AQ169" s="3002"/>
      <c r="AR169" s="3002"/>
      <c r="AS169" s="3002"/>
      <c r="AT169" s="3002"/>
      <c r="AU169" s="3002"/>
      <c r="AV169" s="3002"/>
      <c r="AW169" s="3002"/>
      <c r="AX169" s="3002"/>
      <c r="AY169" s="3002"/>
      <c r="AZ169" s="3002"/>
      <c r="BA169" s="3002"/>
      <c r="BB169" s="3002"/>
      <c r="BC169" s="3002"/>
      <c r="BD169" s="300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2139</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4" t="s">
        <v>2140</v>
      </c>
      <c r="I173" s="3004"/>
      <c r="J173" s="3004"/>
      <c r="K173" s="3004"/>
      <c r="L173" s="3004"/>
      <c r="M173" s="3004"/>
      <c r="N173" s="3004"/>
      <c r="O173" s="3004"/>
      <c r="P173" s="3004"/>
      <c r="Q173" s="3004"/>
      <c r="R173" s="3004"/>
      <c r="S173" s="3004"/>
      <c r="T173" s="3004"/>
      <c r="U173" s="3004"/>
      <c r="V173" s="3004"/>
      <c r="W173" s="3004"/>
      <c r="X173" s="3004"/>
      <c r="Y173" s="3004"/>
      <c r="Z173" s="3004"/>
      <c r="AA173" s="3004"/>
      <c r="AB173" s="3004"/>
      <c r="AC173" s="3004"/>
      <c r="AD173" s="3004"/>
      <c r="AE173" s="3004"/>
      <c r="AF173" s="3004"/>
      <c r="AG173" s="3004"/>
      <c r="AH173" s="3004"/>
      <c r="AI173" s="3004"/>
      <c r="AJ173" s="3004"/>
      <c r="AK173" s="3004"/>
      <c r="AL173" s="3004"/>
      <c r="AM173" s="3004"/>
      <c r="AN173" s="3004"/>
      <c r="AO173" s="3004"/>
      <c r="AP173" s="3004"/>
      <c r="AQ173" s="3004"/>
      <c r="AR173" s="3004"/>
      <c r="AS173" s="3004"/>
      <c r="AT173" s="3004"/>
      <c r="AU173" s="3004"/>
      <c r="AV173" s="3004"/>
      <c r="AW173" s="3004"/>
      <c r="AX173" s="3004"/>
      <c r="AY173" s="300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5" t="s">
        <v>2141</v>
      </c>
      <c r="I175" s="3005"/>
      <c r="J175" s="3005"/>
      <c r="K175" s="3005"/>
      <c r="L175" s="3005"/>
      <c r="M175" s="3005"/>
      <c r="N175" s="3005"/>
      <c r="O175" s="3005"/>
      <c r="P175" s="3005"/>
      <c r="Q175" s="3005"/>
      <c r="R175" s="3005"/>
      <c r="S175" s="3005"/>
      <c r="T175" s="3005"/>
      <c r="U175" s="3005"/>
      <c r="V175" s="3005"/>
      <c r="W175" s="3005"/>
      <c r="X175" s="3005"/>
      <c r="Y175" s="3005"/>
      <c r="Z175" s="3005"/>
      <c r="AA175" s="3005"/>
      <c r="AB175" s="3005"/>
      <c r="AC175" s="3005"/>
      <c r="AD175" s="3005"/>
      <c r="AE175" s="3005"/>
      <c r="AF175" s="3005"/>
      <c r="AG175" s="3005"/>
      <c r="AH175" s="3005"/>
      <c r="AI175" s="3005"/>
      <c r="AJ175" s="3005"/>
      <c r="AK175" s="3005"/>
      <c r="AL175" s="3005"/>
      <c r="AM175" s="3005"/>
      <c r="AN175" s="3005"/>
      <c r="AO175" s="3005"/>
      <c r="AP175" s="3005"/>
      <c r="AQ175" s="3005"/>
      <c r="AR175" s="3005"/>
      <c r="AS175" s="3005"/>
      <c r="AT175" s="3005"/>
      <c r="AU175" s="3005"/>
      <c r="AV175" s="3005"/>
      <c r="AW175" s="3005"/>
      <c r="AX175" s="3005"/>
      <c r="AY175" s="3005"/>
      <c r="AZ175" s="3005"/>
      <c r="BA175" s="1555"/>
      <c r="BB175" s="1555"/>
      <c r="BC175" s="1555"/>
      <c r="BD175" s="1535"/>
      <c r="BE175" s="1535"/>
    </row>
    <row r="176" spans="1:57" ht="15.75" customHeight="1">
      <c r="A176" s="1818"/>
      <c r="B176" s="1528"/>
      <c r="C176" s="1555"/>
      <c r="D176" s="1555"/>
      <c r="E176" s="1555"/>
      <c r="F176" s="1555"/>
      <c r="G176" s="1555"/>
      <c r="H176" s="3005"/>
      <c r="I176" s="3005"/>
      <c r="J176" s="3005"/>
      <c r="K176" s="3005"/>
      <c r="L176" s="3005"/>
      <c r="M176" s="3005"/>
      <c r="N176" s="3005"/>
      <c r="O176" s="3005"/>
      <c r="P176" s="3005"/>
      <c r="Q176" s="3005"/>
      <c r="R176" s="3005"/>
      <c r="S176" s="3005"/>
      <c r="T176" s="3005"/>
      <c r="U176" s="3005"/>
      <c r="V176" s="3005"/>
      <c r="W176" s="3005"/>
      <c r="X176" s="3005"/>
      <c r="Y176" s="3005"/>
      <c r="Z176" s="3005"/>
      <c r="AA176" s="3005"/>
      <c r="AB176" s="3005"/>
      <c r="AC176" s="3005"/>
      <c r="AD176" s="3005"/>
      <c r="AE176" s="3005"/>
      <c r="AF176" s="3005"/>
      <c r="AG176" s="3005"/>
      <c r="AH176" s="3005"/>
      <c r="AI176" s="3005"/>
      <c r="AJ176" s="3005"/>
      <c r="AK176" s="3005"/>
      <c r="AL176" s="3005"/>
      <c r="AM176" s="3005"/>
      <c r="AN176" s="3005"/>
      <c r="AO176" s="3005"/>
      <c r="AP176" s="3005"/>
      <c r="AQ176" s="3005"/>
      <c r="AR176" s="3005"/>
      <c r="AS176" s="3005"/>
      <c r="AT176" s="3005"/>
      <c r="AU176" s="3005"/>
      <c r="AV176" s="3005"/>
      <c r="AW176" s="3005"/>
      <c r="AX176" s="3005"/>
      <c r="AY176" s="3005"/>
      <c r="AZ176" s="3005"/>
      <c r="BA176" s="1555"/>
      <c r="BB176" s="1555"/>
      <c r="BC176" s="1555"/>
      <c r="BD176" s="1535"/>
      <c r="BE176" s="1535"/>
    </row>
    <row r="177" spans="1:57" ht="15.75" customHeight="1">
      <c r="A177" s="1818"/>
      <c r="B177" s="1528"/>
      <c r="C177" s="1555"/>
      <c r="D177" s="1555"/>
      <c r="E177" s="1555"/>
      <c r="F177" s="1555"/>
      <c r="G177" s="1555"/>
      <c r="H177" s="3005"/>
      <c r="I177" s="3005"/>
      <c r="J177" s="3005"/>
      <c r="K177" s="3005"/>
      <c r="L177" s="3005"/>
      <c r="M177" s="3005"/>
      <c r="N177" s="3005"/>
      <c r="O177" s="3005"/>
      <c r="P177" s="3005"/>
      <c r="Q177" s="3005"/>
      <c r="R177" s="3005"/>
      <c r="S177" s="3005"/>
      <c r="T177" s="3005"/>
      <c r="U177" s="3005"/>
      <c r="V177" s="3005"/>
      <c r="W177" s="3005"/>
      <c r="X177" s="3005"/>
      <c r="Y177" s="3005"/>
      <c r="Z177" s="3005"/>
      <c r="AA177" s="3005"/>
      <c r="AB177" s="3005"/>
      <c r="AC177" s="3005"/>
      <c r="AD177" s="3005"/>
      <c r="AE177" s="3005"/>
      <c r="AF177" s="3005"/>
      <c r="AG177" s="3005"/>
      <c r="AH177" s="3005"/>
      <c r="AI177" s="3005"/>
      <c r="AJ177" s="3005"/>
      <c r="AK177" s="3005"/>
      <c r="AL177" s="3005"/>
      <c r="AM177" s="3005"/>
      <c r="AN177" s="3005"/>
      <c r="AO177" s="3005"/>
      <c r="AP177" s="3005"/>
      <c r="AQ177" s="3005"/>
      <c r="AR177" s="3005"/>
      <c r="AS177" s="3005"/>
      <c r="AT177" s="3005"/>
      <c r="AU177" s="3005"/>
      <c r="AV177" s="3005"/>
      <c r="AW177" s="3005"/>
      <c r="AX177" s="3005"/>
      <c r="AY177" s="3005"/>
      <c r="AZ177" s="300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6" t="s">
        <v>2142</v>
      </c>
      <c r="I180" s="3006"/>
      <c r="J180" s="3006"/>
      <c r="K180" s="3006"/>
      <c r="L180" s="3006"/>
      <c r="M180" s="3006"/>
      <c r="N180" s="3006"/>
      <c r="O180" s="3006"/>
      <c r="P180" s="3006"/>
      <c r="Q180" s="3006"/>
      <c r="R180" s="3006"/>
      <c r="S180" s="3006"/>
      <c r="T180" s="3006"/>
      <c r="U180" s="3006"/>
      <c r="V180" s="3006"/>
      <c r="W180" s="3006"/>
      <c r="X180" s="3006"/>
      <c r="Y180" s="3006"/>
      <c r="Z180" s="3006"/>
      <c r="AA180" s="3006"/>
      <c r="AB180" s="3006"/>
      <c r="AC180" s="3006"/>
      <c r="AD180" s="3006"/>
      <c r="AE180" s="3006"/>
      <c r="AF180" s="3006"/>
      <c r="AG180" s="3006"/>
      <c r="AH180" s="3006"/>
      <c r="AI180" s="3006"/>
      <c r="AJ180" s="3006"/>
      <c r="AK180" s="3006"/>
      <c r="AL180" s="3006"/>
      <c r="AM180" s="3006"/>
      <c r="AN180" s="3006"/>
      <c r="AO180" s="3006"/>
      <c r="AP180" s="3006"/>
      <c r="AQ180" s="3006"/>
      <c r="AR180" s="3006"/>
      <c r="AS180" s="3006"/>
      <c r="AT180" s="3006"/>
      <c r="AU180" s="3006"/>
      <c r="AV180" s="300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8" t="s">
        <v>2143</v>
      </c>
      <c r="I182" s="2998"/>
      <c r="J182" s="2998"/>
      <c r="K182" s="2998"/>
      <c r="L182" s="1564"/>
      <c r="M182" s="1564"/>
      <c r="N182" s="1564"/>
      <c r="O182" s="1564"/>
      <c r="P182" s="1564"/>
      <c r="Q182" s="1564"/>
      <c r="R182" s="1564"/>
      <c r="S182" s="3007"/>
      <c r="T182" s="2996"/>
      <c r="U182" s="2996"/>
      <c r="V182" s="2996"/>
      <c r="W182" s="2996"/>
      <c r="X182" s="2996"/>
      <c r="Y182" s="2996"/>
      <c r="Z182" s="2996"/>
      <c r="AA182" s="2996"/>
      <c r="AB182" s="2996"/>
      <c r="AC182" s="2996"/>
      <c r="AD182" s="2996"/>
      <c r="AE182" s="2996"/>
      <c r="AF182" s="2996"/>
      <c r="AG182" s="2996"/>
      <c r="AH182" s="2996"/>
      <c r="AI182" s="2996"/>
      <c r="AJ182" s="299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8" t="s">
        <v>2144</v>
      </c>
      <c r="I184" s="2998"/>
      <c r="J184" s="2998"/>
      <c r="K184" s="1566"/>
      <c r="L184" s="1564"/>
      <c r="M184" s="1564"/>
      <c r="N184" s="1564"/>
      <c r="O184" s="1564"/>
      <c r="P184" s="1564"/>
      <c r="Q184" s="1564"/>
      <c r="R184" s="1564"/>
      <c r="S184" s="2999" t="s">
        <v>2535</v>
      </c>
      <c r="T184" s="2996"/>
      <c r="U184" s="2996"/>
      <c r="V184" s="2996"/>
      <c r="W184" s="2996"/>
      <c r="X184" s="2996"/>
      <c r="Y184" s="2996"/>
      <c r="Z184" s="2996"/>
      <c r="AA184" s="2996"/>
      <c r="AB184" s="2996"/>
      <c r="AC184" s="2996"/>
      <c r="AD184" s="2996"/>
      <c r="AE184" s="2996"/>
      <c r="AF184" s="2996"/>
      <c r="AG184" s="2996"/>
      <c r="AH184" s="2996"/>
      <c r="AI184" s="2996"/>
      <c r="AJ184" s="299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8" t="s">
        <v>463</v>
      </c>
      <c r="I186" s="2998"/>
      <c r="J186" s="1566"/>
      <c r="K186" s="1566"/>
      <c r="L186" s="1564"/>
      <c r="M186" s="1564"/>
      <c r="N186" s="1564"/>
      <c r="O186" s="1564"/>
      <c r="P186" s="1564"/>
      <c r="Q186" s="1564"/>
      <c r="R186" s="1564"/>
      <c r="S186" s="2999" t="s">
        <v>2635</v>
      </c>
      <c r="T186" s="2996"/>
      <c r="U186" s="2996"/>
      <c r="V186" s="2996"/>
      <c r="W186" s="2996"/>
      <c r="X186" s="2996"/>
      <c r="Y186" s="2996"/>
      <c r="Z186" s="2996"/>
      <c r="AA186" s="2996"/>
      <c r="AB186" s="2996"/>
      <c r="AC186" s="2996"/>
      <c r="AD186" s="2996"/>
      <c r="AE186" s="2996"/>
      <c r="AF186" s="2996"/>
      <c r="AG186" s="2996"/>
      <c r="AH186" s="2996"/>
      <c r="AI186" s="2996"/>
      <c r="AJ186" s="299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3000" t="s">
        <v>2145</v>
      </c>
      <c r="I188" s="3000"/>
      <c r="J188" s="3000"/>
      <c r="K188" s="3000"/>
      <c r="L188" s="3000"/>
      <c r="M188" s="3000"/>
      <c r="N188" s="3000"/>
      <c r="O188" s="3000"/>
      <c r="P188" s="1564"/>
      <c r="Q188" s="1564"/>
      <c r="R188" s="1564"/>
      <c r="S188" s="2999" t="s">
        <v>2616</v>
      </c>
      <c r="T188" s="2996"/>
      <c r="U188" s="2996"/>
      <c r="V188" s="2996"/>
      <c r="W188" s="2996"/>
      <c r="X188" s="2996"/>
      <c r="Y188" s="2996"/>
      <c r="Z188" s="2996"/>
      <c r="AA188" s="2996"/>
      <c r="AB188" s="2996"/>
      <c r="AC188" s="2996"/>
      <c r="AD188" s="2996"/>
      <c r="AE188" s="2996"/>
      <c r="AF188" s="2996"/>
      <c r="AG188" s="2996"/>
      <c r="AH188" s="2996"/>
      <c r="AI188" s="2996"/>
      <c r="AJ188" s="299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4" t="s">
        <v>2146</v>
      </c>
      <c r="I190" s="2994"/>
      <c r="J190" s="1564"/>
      <c r="K190" s="1564"/>
      <c r="L190" s="1564"/>
      <c r="M190" s="1564"/>
      <c r="N190" s="1564"/>
      <c r="O190" s="1564"/>
      <c r="P190" s="1564"/>
      <c r="Q190" s="1564"/>
      <c r="R190" s="1564"/>
      <c r="S190" s="2995">
        <v>44267</v>
      </c>
      <c r="T190" s="2996"/>
      <c r="U190" s="2996"/>
      <c r="V190" s="2996"/>
      <c r="W190" s="2996"/>
      <c r="X190" s="2996"/>
      <c r="Y190" s="2996"/>
      <c r="Z190" s="2996"/>
      <c r="AA190" s="2996"/>
      <c r="AB190" s="2996"/>
      <c r="AC190" s="2996"/>
      <c r="AD190" s="2996"/>
      <c r="AE190" s="2996"/>
      <c r="AF190" s="2996"/>
      <c r="AG190" s="2996"/>
      <c r="AH190" s="2996"/>
      <c r="AI190" s="2996"/>
      <c r="AJ190" s="299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D39:AG39"/>
    <mergeCell ref="AH39:AK39"/>
    <mergeCell ref="AL39:AN39"/>
    <mergeCell ref="AO39:AT39"/>
    <mergeCell ref="AU39:AZ39"/>
    <mergeCell ref="AH38:AK38"/>
    <mergeCell ref="AL38:AN38"/>
    <mergeCell ref="AO38:AT38"/>
    <mergeCell ref="AU38:AZ38"/>
    <mergeCell ref="AD38:AG38"/>
    <mergeCell ref="B39:I39"/>
    <mergeCell ref="J39:M39"/>
    <mergeCell ref="N39:Q39"/>
    <mergeCell ref="R39:U39"/>
    <mergeCell ref="V39:Y39"/>
    <mergeCell ref="B38:I38"/>
    <mergeCell ref="J38:M38"/>
    <mergeCell ref="N38:Q38"/>
    <mergeCell ref="Z39:AC39"/>
    <mergeCell ref="R38:U38"/>
    <mergeCell ref="V38:Y38"/>
    <mergeCell ref="Z38:AC38"/>
    <mergeCell ref="B37:I37"/>
    <mergeCell ref="J37:M37"/>
    <mergeCell ref="N37:Q37"/>
    <mergeCell ref="AO35:AT35"/>
    <mergeCell ref="AU35:AZ35"/>
    <mergeCell ref="B36:I36"/>
    <mergeCell ref="J36:M36"/>
    <mergeCell ref="N36:Q36"/>
    <mergeCell ref="AH37:AK37"/>
    <mergeCell ref="AL37:AN37"/>
    <mergeCell ref="AO37:AT37"/>
    <mergeCell ref="AU37:AZ37"/>
    <mergeCell ref="AH36:AK36"/>
    <mergeCell ref="AL36:AN36"/>
    <mergeCell ref="AO36:AT36"/>
    <mergeCell ref="AU36:AZ36"/>
    <mergeCell ref="R37:U37"/>
    <mergeCell ref="V37:Y37"/>
    <mergeCell ref="R36:U36"/>
    <mergeCell ref="V36:Y36"/>
    <mergeCell ref="Z36:AC36"/>
    <mergeCell ref="Z37:AC37"/>
    <mergeCell ref="AD37:AG37"/>
    <mergeCell ref="AD36:AG36"/>
    <mergeCell ref="B31:AZ31"/>
    <mergeCell ref="B32:I35"/>
    <mergeCell ref="J32:M35"/>
    <mergeCell ref="N32:Q35"/>
    <mergeCell ref="R32:AZ32"/>
    <mergeCell ref="R33:AZ34"/>
    <mergeCell ref="AH35:AK35"/>
    <mergeCell ref="AL35:AN35"/>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54" t="s">
        <v>1558</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row>
    <row r="2" spans="1:42" s="927" customFormat="1" ht="12.75" customHeight="1" thickBot="1">
      <c r="A2" s="3255"/>
      <c r="B2" s="3255"/>
      <c r="C2" s="3255"/>
      <c r="D2" s="3255"/>
      <c r="E2" s="3255"/>
      <c r="F2" s="3255"/>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30" t="s">
        <v>1563</v>
      </c>
      <c r="AF7" s="3230"/>
      <c r="AG7" s="3230"/>
      <c r="AH7" s="3230"/>
      <c r="AI7" s="3230"/>
      <c r="AJ7" s="3230"/>
      <c r="AK7" s="3230"/>
      <c r="AL7" s="933"/>
      <c r="AM7" s="933"/>
      <c r="AN7" s="929"/>
    </row>
    <row r="8" spans="1:42" s="930" customFormat="1" ht="12.75" customHeight="1">
      <c r="A8" s="931"/>
      <c r="B8" s="932" t="s">
        <v>2224</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9" t="s">
        <v>625</v>
      </c>
      <c r="C12" s="3239"/>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6"/>
      <c r="AH12" s="3256"/>
      <c r="AI12" s="3256"/>
      <c r="AJ12" s="325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9" t="s">
        <v>625</v>
      </c>
      <c r="C15" s="3239"/>
      <c r="D15" s="940"/>
      <c r="E15" s="3258" t="s">
        <v>1566</v>
      </c>
      <c r="F15" s="3259"/>
      <c r="G15" s="3259"/>
      <c r="H15" s="3259"/>
      <c r="I15" s="3259"/>
      <c r="J15" s="3259"/>
      <c r="K15" s="3259"/>
      <c r="L15" s="3259"/>
      <c r="M15" s="3259"/>
      <c r="N15" s="3259"/>
      <c r="O15" s="3259"/>
      <c r="P15" s="3259"/>
      <c r="Q15" s="3259"/>
      <c r="R15" s="3259"/>
      <c r="S15" s="3259"/>
      <c r="T15" s="3259"/>
      <c r="U15" s="3259"/>
      <c r="V15" s="3259"/>
      <c r="W15" s="3259"/>
      <c r="X15" s="3259"/>
      <c r="Y15" s="3259"/>
      <c r="Z15" s="3259"/>
      <c r="AA15" s="3259"/>
      <c r="AB15" s="3259"/>
      <c r="AC15" s="3259"/>
      <c r="AD15" s="3259"/>
      <c r="AE15" s="3259"/>
      <c r="AF15" s="3259"/>
      <c r="AG15" s="3259"/>
      <c r="AH15" s="3259"/>
      <c r="AI15" s="3259"/>
      <c r="AJ15" s="3260"/>
      <c r="AK15" s="933"/>
      <c r="AL15" s="933"/>
      <c r="AM15" s="933"/>
      <c r="AN15" s="929"/>
      <c r="AO15" s="943">
        <f>IF($B24="yes",20,0)</f>
        <v>0</v>
      </c>
      <c r="AP15" s="51"/>
    </row>
    <row r="16" spans="1:42" s="930" customFormat="1" ht="12.75" customHeight="1">
      <c r="A16" s="933"/>
      <c r="B16" s="933"/>
      <c r="C16" s="933"/>
      <c r="D16" s="944"/>
      <c r="E16" s="3261"/>
      <c r="F16" s="3262"/>
      <c r="G16" s="3262"/>
      <c r="H16" s="3262"/>
      <c r="I16" s="3262"/>
      <c r="J16" s="3262"/>
      <c r="K16" s="3262"/>
      <c r="L16" s="3262"/>
      <c r="M16" s="3262"/>
      <c r="N16" s="3262"/>
      <c r="O16" s="3262"/>
      <c r="P16" s="3262"/>
      <c r="Q16" s="3262"/>
      <c r="R16" s="3262"/>
      <c r="S16" s="3262"/>
      <c r="T16" s="3262"/>
      <c r="U16" s="3262"/>
      <c r="V16" s="3262"/>
      <c r="W16" s="3262"/>
      <c r="X16" s="3262"/>
      <c r="Y16" s="3262"/>
      <c r="Z16" s="3262"/>
      <c r="AA16" s="3262"/>
      <c r="AB16" s="3262"/>
      <c r="AC16" s="3262"/>
      <c r="AD16" s="3262"/>
      <c r="AE16" s="3262"/>
      <c r="AF16" s="3262"/>
      <c r="AG16" s="3262"/>
      <c r="AH16" s="3262"/>
      <c r="AI16" s="3262"/>
      <c r="AJ16" s="3263"/>
      <c r="AK16" s="933"/>
      <c r="AL16" s="933"/>
      <c r="AM16" s="933"/>
      <c r="AN16" s="929"/>
      <c r="AO16" s="930">
        <f>IF(SUM(AO12:AO15)&gt;20,20,(SUM(AO12:AO15)))</f>
        <v>0</v>
      </c>
      <c r="AP16" s="930" t="s">
        <v>1567</v>
      </c>
    </row>
    <row r="17" spans="1:42" s="930" customFormat="1" ht="12.75" customHeight="1">
      <c r="A17" s="933"/>
      <c r="B17" s="933"/>
      <c r="C17" s="933"/>
      <c r="D17" s="944"/>
      <c r="E17" s="3261"/>
      <c r="F17" s="3262"/>
      <c r="G17" s="3262"/>
      <c r="H17" s="3262"/>
      <c r="I17" s="3262"/>
      <c r="J17" s="3262"/>
      <c r="K17" s="3262"/>
      <c r="L17" s="3262"/>
      <c r="M17" s="3262"/>
      <c r="N17" s="3262"/>
      <c r="O17" s="3262"/>
      <c r="P17" s="3262"/>
      <c r="Q17" s="3262"/>
      <c r="R17" s="3262"/>
      <c r="S17" s="3262"/>
      <c r="T17" s="3262"/>
      <c r="U17" s="3262"/>
      <c r="V17" s="3262"/>
      <c r="W17" s="3262"/>
      <c r="X17" s="3262"/>
      <c r="Y17" s="3262"/>
      <c r="Z17" s="3262"/>
      <c r="AA17" s="3262"/>
      <c r="AB17" s="3262"/>
      <c r="AC17" s="3262"/>
      <c r="AD17" s="3262"/>
      <c r="AE17" s="3262"/>
      <c r="AF17" s="3262"/>
      <c r="AG17" s="3262"/>
      <c r="AH17" s="3262"/>
      <c r="AI17" s="3262"/>
      <c r="AJ17" s="3263"/>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5"/>
      <c r="F19" s="3266"/>
      <c r="G19" s="3266"/>
      <c r="H19" s="3266"/>
      <c r="I19" s="3266"/>
      <c r="J19" s="3266"/>
      <c r="K19" s="3266"/>
      <c r="L19" s="3266"/>
      <c r="M19" s="3266"/>
      <c r="N19" s="3266"/>
      <c r="O19" s="3266"/>
      <c r="P19" s="3266"/>
      <c r="Q19" s="3266"/>
      <c r="R19" s="3266"/>
      <c r="S19" s="3266"/>
      <c r="T19" s="3266"/>
      <c r="U19" s="3266"/>
      <c r="V19" s="3266"/>
      <c r="W19" s="3266"/>
      <c r="X19" s="3266"/>
      <c r="Y19" s="3266"/>
      <c r="Z19" s="3266"/>
      <c r="AA19" s="3266"/>
      <c r="AB19" s="3266"/>
      <c r="AC19" s="3266"/>
      <c r="AD19" s="3266"/>
      <c r="AE19" s="3266"/>
      <c r="AF19" s="3266"/>
      <c r="AG19" s="3266"/>
      <c r="AH19" s="3266"/>
      <c r="AI19" s="3266"/>
      <c r="AJ19" s="326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9" t="s">
        <v>625</v>
      </c>
      <c r="C21" s="3239"/>
      <c r="D21" s="940"/>
      <c r="E21" s="3268" t="s">
        <v>1569</v>
      </c>
      <c r="F21" s="3269"/>
      <c r="G21" s="3269"/>
      <c r="H21" s="3269"/>
      <c r="I21" s="3269"/>
      <c r="J21" s="3269"/>
      <c r="K21" s="3269"/>
      <c r="L21" s="3269"/>
      <c r="M21" s="3269"/>
      <c r="N21" s="3269"/>
      <c r="O21" s="3269"/>
      <c r="P21" s="3269"/>
      <c r="Q21" s="3269"/>
      <c r="R21" s="3269"/>
      <c r="S21" s="3269"/>
      <c r="T21" s="3269"/>
      <c r="U21" s="3269"/>
      <c r="V21" s="3269"/>
      <c r="W21" s="3269"/>
      <c r="X21" s="3269"/>
      <c r="Y21" s="3269"/>
      <c r="Z21" s="3269"/>
      <c r="AA21" s="3269"/>
      <c r="AB21" s="3269"/>
      <c r="AC21" s="3269"/>
      <c r="AD21" s="3269"/>
      <c r="AE21" s="3269"/>
      <c r="AF21" s="3269"/>
      <c r="AG21" s="3269"/>
      <c r="AH21" s="3269"/>
      <c r="AI21" s="3269"/>
      <c r="AJ21" s="3270"/>
      <c r="AK21" s="933"/>
      <c r="AL21" s="933"/>
      <c r="AM21" s="933"/>
      <c r="AN21" s="929"/>
      <c r="AO21" s="930">
        <f>SUM(AO20)</f>
        <v>0</v>
      </c>
      <c r="AP21" s="930" t="s">
        <v>1567</v>
      </c>
    </row>
    <row r="22" spans="1:42" s="930" customFormat="1" ht="12.75" customHeight="1">
      <c r="A22" s="933"/>
      <c r="B22" s="933"/>
      <c r="C22" s="933"/>
      <c r="D22" s="943"/>
      <c r="E22" s="3271"/>
      <c r="F22" s="3272"/>
      <c r="G22" s="3272"/>
      <c r="H22" s="3272"/>
      <c r="I22" s="3272"/>
      <c r="J22" s="3272"/>
      <c r="K22" s="3272"/>
      <c r="L22" s="3272"/>
      <c r="M22" s="3272"/>
      <c r="N22" s="3272"/>
      <c r="O22" s="3272"/>
      <c r="P22" s="3272"/>
      <c r="Q22" s="3272"/>
      <c r="R22" s="3272"/>
      <c r="S22" s="3272"/>
      <c r="T22" s="3272"/>
      <c r="U22" s="3272"/>
      <c r="V22" s="3272"/>
      <c r="W22" s="3272"/>
      <c r="X22" s="3272"/>
      <c r="Y22" s="3272"/>
      <c r="Z22" s="3272"/>
      <c r="AA22" s="3272"/>
      <c r="AB22" s="3272"/>
      <c r="AC22" s="3272"/>
      <c r="AD22" s="3272"/>
      <c r="AE22" s="3272"/>
      <c r="AF22" s="3272"/>
      <c r="AG22" s="3272"/>
      <c r="AH22" s="3272"/>
      <c r="AI22" s="3272"/>
      <c r="AJ22" s="327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9" t="s">
        <v>625</v>
      </c>
      <c r="C24" s="3239"/>
      <c r="D24" s="940"/>
      <c r="E24" s="3170" t="s">
        <v>1570</v>
      </c>
      <c r="F24" s="3171"/>
      <c r="G24" s="3171"/>
      <c r="H24" s="3171"/>
      <c r="I24" s="3171"/>
      <c r="J24" s="3171"/>
      <c r="K24" s="3171"/>
      <c r="L24" s="3171"/>
      <c r="M24" s="3171"/>
      <c r="N24" s="3171"/>
      <c r="O24" s="3171"/>
      <c r="P24" s="3171"/>
      <c r="Q24" s="3171"/>
      <c r="R24" s="3171"/>
      <c r="S24" s="3171"/>
      <c r="T24" s="3171"/>
      <c r="U24" s="3171"/>
      <c r="V24" s="3171"/>
      <c r="W24" s="3171"/>
      <c r="X24" s="3171"/>
      <c r="Y24" s="3171"/>
      <c r="Z24" s="3171"/>
      <c r="AA24" s="3171"/>
      <c r="AB24" s="3171"/>
      <c r="AC24" s="3171"/>
      <c r="AD24" s="3171"/>
      <c r="AE24" s="3171"/>
      <c r="AF24" s="3171"/>
      <c r="AG24" s="3171"/>
      <c r="AH24" s="3171"/>
      <c r="AI24" s="3171"/>
      <c r="AJ24" s="3172"/>
      <c r="AK24" s="933"/>
      <c r="AL24" s="933"/>
      <c r="AM24" s="933"/>
      <c r="AN24" s="929"/>
      <c r="AO24" s="943">
        <f>IF($B39="yes",6,0)</f>
        <v>0</v>
      </c>
    </row>
    <row r="25" spans="1:42" s="930" customFormat="1" ht="12.75" customHeight="1">
      <c r="A25" s="933"/>
      <c r="B25" s="933"/>
      <c r="C25" s="933"/>
      <c r="D25" s="943"/>
      <c r="E25" s="3240"/>
      <c r="F25" s="3241"/>
      <c r="G25" s="3241"/>
      <c r="H25" s="3241"/>
      <c r="I25" s="3241"/>
      <c r="J25" s="3241"/>
      <c r="K25" s="3241"/>
      <c r="L25" s="3241"/>
      <c r="M25" s="3241"/>
      <c r="N25" s="3241"/>
      <c r="O25" s="3241"/>
      <c r="P25" s="3241"/>
      <c r="Q25" s="3241"/>
      <c r="R25" s="3241"/>
      <c r="S25" s="3241"/>
      <c r="T25" s="3241"/>
      <c r="U25" s="3241"/>
      <c r="V25" s="3241"/>
      <c r="W25" s="3241"/>
      <c r="X25" s="3241"/>
      <c r="Y25" s="3241"/>
      <c r="Z25" s="3241"/>
      <c r="AA25" s="3241"/>
      <c r="AB25" s="3241"/>
      <c r="AC25" s="3241"/>
      <c r="AD25" s="3241"/>
      <c r="AE25" s="3241"/>
      <c r="AF25" s="3241"/>
      <c r="AG25" s="3241"/>
      <c r="AH25" s="3241"/>
      <c r="AI25" s="3241"/>
      <c r="AJ25" s="324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9" t="s">
        <v>625</v>
      </c>
      <c r="C29" s="3239"/>
      <c r="D29" s="940"/>
      <c r="E29" s="3170" t="s">
        <v>1572</v>
      </c>
      <c r="F29" s="3171"/>
      <c r="G29" s="3171"/>
      <c r="H29" s="3171"/>
      <c r="I29" s="3171"/>
      <c r="J29" s="3171"/>
      <c r="K29" s="3171"/>
      <c r="L29" s="3171"/>
      <c r="M29" s="3171"/>
      <c r="N29" s="3171"/>
      <c r="O29" s="3171"/>
      <c r="P29" s="3171"/>
      <c r="Q29" s="3171"/>
      <c r="R29" s="3171"/>
      <c r="S29" s="3171"/>
      <c r="T29" s="3171"/>
      <c r="U29" s="3171"/>
      <c r="V29" s="3171"/>
      <c r="W29" s="3171"/>
      <c r="X29" s="3171"/>
      <c r="Y29" s="3171"/>
      <c r="Z29" s="3171"/>
      <c r="AA29" s="3171"/>
      <c r="AB29" s="3171"/>
      <c r="AC29" s="3171"/>
      <c r="AD29" s="3171"/>
      <c r="AE29" s="3171"/>
      <c r="AF29" s="3171"/>
      <c r="AG29" s="3171"/>
      <c r="AH29" s="3171"/>
      <c r="AI29" s="3171"/>
      <c r="AJ29" s="3172"/>
      <c r="AK29" s="933"/>
      <c r="AL29" s="933"/>
      <c r="AM29" s="933"/>
      <c r="AN29" s="929"/>
      <c r="AO29" s="943">
        <f>IF($B49="yes",6,0)</f>
        <v>0</v>
      </c>
    </row>
    <row r="30" spans="1:42" s="930" customFormat="1" ht="12.75" customHeight="1">
      <c r="A30" s="933"/>
      <c r="B30" s="933"/>
      <c r="C30" s="933"/>
      <c r="E30" s="3173"/>
      <c r="F30" s="3174"/>
      <c r="G30" s="3174"/>
      <c r="H30" s="3174"/>
      <c r="I30" s="3174"/>
      <c r="J30" s="3174"/>
      <c r="K30" s="3174"/>
      <c r="L30" s="3174"/>
      <c r="M30" s="3174"/>
      <c r="N30" s="3174"/>
      <c r="O30" s="3174"/>
      <c r="P30" s="3174"/>
      <c r="Q30" s="3174"/>
      <c r="R30" s="3174"/>
      <c r="S30" s="3174"/>
      <c r="T30" s="3174"/>
      <c r="U30" s="3174"/>
      <c r="V30" s="3174"/>
      <c r="W30" s="3174"/>
      <c r="X30" s="3174"/>
      <c r="Y30" s="3174"/>
      <c r="Z30" s="3174"/>
      <c r="AA30" s="3174"/>
      <c r="AB30" s="3174"/>
      <c r="AC30" s="3174"/>
      <c r="AD30" s="3174"/>
      <c r="AE30" s="3174"/>
      <c r="AF30" s="3174"/>
      <c r="AG30" s="3174"/>
      <c r="AH30" s="3174"/>
      <c r="AI30" s="3174"/>
      <c r="AJ30" s="3175"/>
      <c r="AK30" s="933"/>
      <c r="AL30" s="933"/>
      <c r="AM30" s="933"/>
      <c r="AN30" s="929"/>
      <c r="AO30" s="930">
        <f>IF(SUM(AO23:AO29)&gt;6,6,(SUM(AO23:AO29)))</f>
        <v>0</v>
      </c>
      <c r="AP30" s="930" t="s">
        <v>1567</v>
      </c>
    </row>
    <row r="31" spans="1:42" s="930" customFormat="1" ht="12.75" customHeight="1">
      <c r="A31" s="933"/>
      <c r="B31" s="933"/>
      <c r="C31" s="933"/>
      <c r="E31" s="3240"/>
      <c r="F31" s="3241"/>
      <c r="G31" s="3241"/>
      <c r="H31" s="3241"/>
      <c r="I31" s="3241"/>
      <c r="J31" s="3241"/>
      <c r="K31" s="3241"/>
      <c r="L31" s="3241"/>
      <c r="M31" s="3241"/>
      <c r="N31" s="3241"/>
      <c r="O31" s="3241"/>
      <c r="P31" s="3241"/>
      <c r="Q31" s="3241"/>
      <c r="R31" s="3241"/>
      <c r="S31" s="3241"/>
      <c r="T31" s="3241"/>
      <c r="U31" s="3241"/>
      <c r="V31" s="3241"/>
      <c r="W31" s="3241"/>
      <c r="X31" s="3241"/>
      <c r="Y31" s="3241"/>
      <c r="Z31" s="3241"/>
      <c r="AA31" s="3241"/>
      <c r="AB31" s="3241"/>
      <c r="AC31" s="3241"/>
      <c r="AD31" s="3241"/>
      <c r="AE31" s="3241"/>
      <c r="AF31" s="3241"/>
      <c r="AG31" s="3241"/>
      <c r="AH31" s="3241"/>
      <c r="AI31" s="3241"/>
      <c r="AJ31" s="324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4" t="s">
        <v>2396</v>
      </c>
      <c r="C34" s="3264"/>
      <c r="D34" s="3264"/>
      <c r="E34" s="3264"/>
      <c r="F34" s="3264"/>
      <c r="G34" s="3264"/>
      <c r="H34" s="3264"/>
      <c r="I34" s="3264"/>
      <c r="J34" s="3264"/>
      <c r="K34" s="3264"/>
      <c r="L34" s="3264"/>
      <c r="M34" s="3264"/>
      <c r="N34" s="3264"/>
      <c r="O34" s="3264"/>
      <c r="P34" s="3264"/>
      <c r="Q34" s="3264"/>
      <c r="R34" s="3264"/>
      <c r="S34" s="3264"/>
      <c r="T34" s="3264"/>
      <c r="U34" s="3264"/>
      <c r="V34" s="3264"/>
      <c r="W34" s="3264"/>
      <c r="X34" s="3264"/>
      <c r="Y34" s="3264"/>
      <c r="Z34" s="3264"/>
      <c r="AA34" s="3264"/>
      <c r="AB34" s="3264"/>
      <c r="AC34" s="3264"/>
      <c r="AD34" s="3264"/>
      <c r="AE34" s="3264"/>
      <c r="AF34" s="3264"/>
      <c r="AG34" s="3264"/>
      <c r="AH34" s="3264"/>
      <c r="AI34" s="3264"/>
      <c r="AJ34" s="3264"/>
      <c r="AK34" s="3264"/>
      <c r="AL34" s="933"/>
      <c r="AM34" s="933"/>
      <c r="AN34" s="929"/>
    </row>
    <row r="35" spans="1:41" s="930" customFormat="1" ht="12.75" customHeight="1">
      <c r="A35" s="933"/>
      <c r="B35" s="3264"/>
      <c r="C35" s="3264"/>
      <c r="D35" s="3264"/>
      <c r="E35" s="3264"/>
      <c r="F35" s="3264"/>
      <c r="G35" s="3264"/>
      <c r="H35" s="3264"/>
      <c r="I35" s="3264"/>
      <c r="J35" s="3264"/>
      <c r="K35" s="3264"/>
      <c r="L35" s="3264"/>
      <c r="M35" s="3264"/>
      <c r="N35" s="3264"/>
      <c r="O35" s="3264"/>
      <c r="P35" s="3264"/>
      <c r="Q35" s="3264"/>
      <c r="R35" s="3264"/>
      <c r="S35" s="3264"/>
      <c r="T35" s="3264"/>
      <c r="U35" s="3264"/>
      <c r="V35" s="3264"/>
      <c r="W35" s="3264"/>
      <c r="X35" s="3264"/>
      <c r="Y35" s="3264"/>
      <c r="Z35" s="3264"/>
      <c r="AA35" s="3264"/>
      <c r="AB35" s="3264"/>
      <c r="AC35" s="3264"/>
      <c r="AD35" s="3264"/>
      <c r="AE35" s="3264"/>
      <c r="AF35" s="3264"/>
      <c r="AG35" s="3264"/>
      <c r="AH35" s="3264"/>
      <c r="AI35" s="3264"/>
      <c r="AJ35" s="3264"/>
      <c r="AK35" s="326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9" t="s">
        <v>625</v>
      </c>
      <c r="C37" s="3239"/>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9" t="s">
        <v>625</v>
      </c>
      <c r="C39" s="3239"/>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9" t="s">
        <v>625</v>
      </c>
      <c r="C41" s="3239"/>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9" t="s">
        <v>625</v>
      </c>
      <c r="C43" s="3239"/>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9" t="s">
        <v>625</v>
      </c>
      <c r="C45" s="3239"/>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9" t="s">
        <v>625</v>
      </c>
      <c r="C47" s="3239"/>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9" t="s">
        <v>625</v>
      </c>
      <c r="C49" s="3239"/>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14">
        <f>AO32</f>
        <v>0</v>
      </c>
      <c r="AL51" s="3215"/>
      <c r="AM51" s="321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30" t="s">
        <v>1584</v>
      </c>
      <c r="AF54" s="3230"/>
      <c r="AG54" s="3230"/>
      <c r="AH54" s="3230"/>
      <c r="AI54" s="3230"/>
      <c r="AJ54" s="3230"/>
      <c r="AK54" s="3230"/>
      <c r="AL54" s="933"/>
      <c r="AM54" s="933"/>
      <c r="AN54" s="929"/>
    </row>
    <row r="55" spans="1:50" s="930" customFormat="1" ht="12.75" customHeight="1">
      <c r="A55" s="931"/>
      <c r="B55" s="932" t="s">
        <v>2223</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9" t="s">
        <v>625</v>
      </c>
      <c r="C57" s="3239"/>
      <c r="D57" s="940" t="s">
        <v>1585</v>
      </c>
      <c r="E57" s="3258" t="s">
        <v>2235</v>
      </c>
      <c r="F57" s="3259"/>
      <c r="G57" s="3259"/>
      <c r="H57" s="3259"/>
      <c r="I57" s="3259"/>
      <c r="J57" s="3259"/>
      <c r="K57" s="3259"/>
      <c r="L57" s="3259"/>
      <c r="M57" s="3259"/>
      <c r="N57" s="3259"/>
      <c r="O57" s="3259"/>
      <c r="P57" s="3259"/>
      <c r="Q57" s="3259"/>
      <c r="R57" s="3259"/>
      <c r="S57" s="3259"/>
      <c r="T57" s="3259"/>
      <c r="U57" s="3259"/>
      <c r="V57" s="3259"/>
      <c r="W57" s="3259"/>
      <c r="X57" s="3259"/>
      <c r="Y57" s="3259"/>
      <c r="Z57" s="3259"/>
      <c r="AA57" s="3259"/>
      <c r="AB57" s="3259"/>
      <c r="AC57" s="3259"/>
      <c r="AD57" s="3259"/>
      <c r="AE57" s="3259"/>
      <c r="AF57" s="3259"/>
      <c r="AG57" s="3259"/>
      <c r="AH57" s="3259"/>
      <c r="AI57" s="3259"/>
      <c r="AJ57" s="3260"/>
      <c r="AK57" s="936"/>
      <c r="AL57" s="933"/>
      <c r="AM57" s="933"/>
      <c r="AN57" s="929"/>
      <c r="AO57" s="943">
        <f>IF($B57="yes",10,0)</f>
        <v>0</v>
      </c>
    </row>
    <row r="58" spans="1:50" s="930" customFormat="1" ht="12.75" customHeight="1">
      <c r="A58" s="931"/>
      <c r="B58" s="933"/>
      <c r="C58" s="933"/>
      <c r="D58" s="944"/>
      <c r="E58" s="3261"/>
      <c r="F58" s="3262"/>
      <c r="G58" s="3262"/>
      <c r="H58" s="3262"/>
      <c r="I58" s="3262"/>
      <c r="J58" s="3262"/>
      <c r="K58" s="3262"/>
      <c r="L58" s="3262"/>
      <c r="M58" s="3262"/>
      <c r="N58" s="3262"/>
      <c r="O58" s="3262"/>
      <c r="P58" s="3262"/>
      <c r="Q58" s="3262"/>
      <c r="R58" s="3262"/>
      <c r="S58" s="3262"/>
      <c r="T58" s="3262"/>
      <c r="U58" s="3262"/>
      <c r="V58" s="3262"/>
      <c r="W58" s="3262"/>
      <c r="X58" s="3262"/>
      <c r="Y58" s="3262"/>
      <c r="Z58" s="3262"/>
      <c r="AA58" s="3262"/>
      <c r="AB58" s="3262"/>
      <c r="AC58" s="3262"/>
      <c r="AD58" s="3262"/>
      <c r="AE58" s="3262"/>
      <c r="AF58" s="3262"/>
      <c r="AG58" s="3262"/>
      <c r="AH58" s="3262"/>
      <c r="AI58" s="3262"/>
      <c r="AJ58" s="3263"/>
      <c r="AK58" s="936"/>
      <c r="AL58" s="933"/>
      <c r="AM58" s="933"/>
      <c r="AN58" s="929"/>
      <c r="AO58" s="943">
        <f>IF($B62="yes",10,0)</f>
        <v>10</v>
      </c>
    </row>
    <row r="59" spans="1:50" s="930" customFormat="1" ht="12.75" customHeight="1">
      <c r="A59" s="931"/>
      <c r="B59" s="933"/>
      <c r="C59" s="933"/>
      <c r="D59" s="944"/>
      <c r="E59" s="3261"/>
      <c r="F59" s="3262"/>
      <c r="G59" s="3262"/>
      <c r="H59" s="3262"/>
      <c r="I59" s="3262"/>
      <c r="J59" s="3262"/>
      <c r="K59" s="3262"/>
      <c r="L59" s="3262"/>
      <c r="M59" s="3262"/>
      <c r="N59" s="3262"/>
      <c r="O59" s="3262"/>
      <c r="P59" s="3262"/>
      <c r="Q59" s="3262"/>
      <c r="R59" s="3262"/>
      <c r="S59" s="3262"/>
      <c r="T59" s="3262"/>
      <c r="U59" s="3262"/>
      <c r="V59" s="3262"/>
      <c r="W59" s="3262"/>
      <c r="X59" s="3262"/>
      <c r="Y59" s="3262"/>
      <c r="Z59" s="3262"/>
      <c r="AA59" s="3262"/>
      <c r="AB59" s="3262"/>
      <c r="AC59" s="3262"/>
      <c r="AD59" s="3262"/>
      <c r="AE59" s="3262"/>
      <c r="AF59" s="3262"/>
      <c r="AG59" s="3262"/>
      <c r="AH59" s="3262"/>
      <c r="AI59" s="3262"/>
      <c r="AJ59" s="3263"/>
      <c r="AK59" s="936"/>
      <c r="AL59" s="933"/>
      <c r="AM59" s="933"/>
      <c r="AN59" s="929"/>
      <c r="AO59" s="943">
        <f>IF($B69="yes",10,0)</f>
        <v>0</v>
      </c>
    </row>
    <row r="60" spans="1:50" s="930" customFormat="1" ht="12.75" customHeight="1">
      <c r="A60" s="931"/>
      <c r="B60" s="933"/>
      <c r="C60" s="933"/>
      <c r="D60" s="944"/>
      <c r="E60" s="3274"/>
      <c r="F60" s="3275"/>
      <c r="G60" s="3275"/>
      <c r="H60" s="3275"/>
      <c r="I60" s="3275"/>
      <c r="J60" s="3275"/>
      <c r="K60" s="3275"/>
      <c r="L60" s="3275"/>
      <c r="M60" s="3275"/>
      <c r="N60" s="3275"/>
      <c r="O60" s="3275"/>
      <c r="P60" s="3275"/>
      <c r="Q60" s="3275"/>
      <c r="R60" s="3275"/>
      <c r="S60" s="3275"/>
      <c r="T60" s="3275"/>
      <c r="U60" s="3275"/>
      <c r="V60" s="3275"/>
      <c r="W60" s="3275"/>
      <c r="X60" s="3275"/>
      <c r="Y60" s="3275"/>
      <c r="Z60" s="3275"/>
      <c r="AA60" s="3275"/>
      <c r="AB60" s="3275"/>
      <c r="AC60" s="3275"/>
      <c r="AD60" s="3275"/>
      <c r="AE60" s="3275"/>
      <c r="AF60" s="3275"/>
      <c r="AG60" s="3275"/>
      <c r="AH60" s="3275"/>
      <c r="AI60" s="3275"/>
      <c r="AJ60" s="3276"/>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9" t="s">
        <v>577</v>
      </c>
      <c r="C62" s="3239"/>
      <c r="D62" s="940" t="s">
        <v>1587</v>
      </c>
      <c r="E62" s="1689" t="s">
        <v>2219</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43" t="s">
        <v>625</v>
      </c>
      <c r="F63" s="3239"/>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7" t="s">
        <v>577</v>
      </c>
      <c r="F64" s="3238"/>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7" t="s">
        <v>625</v>
      </c>
      <c r="F65" s="3238"/>
      <c r="G65" s="969"/>
      <c r="H65" s="1688" t="s">
        <v>2234</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43" t="s">
        <v>577</v>
      </c>
      <c r="F67" s="3239"/>
      <c r="G67" s="1591"/>
      <c r="H67" s="1697" t="s">
        <v>2233</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9" t="s">
        <v>625</v>
      </c>
      <c r="C69" s="3239"/>
      <c r="D69" s="940" t="s">
        <v>1590</v>
      </c>
      <c r="E69" s="3170" t="s">
        <v>2236</v>
      </c>
      <c r="F69" s="3171"/>
      <c r="G69" s="3171"/>
      <c r="H69" s="3171"/>
      <c r="I69" s="3171"/>
      <c r="J69" s="3171"/>
      <c r="K69" s="3171"/>
      <c r="L69" s="3171"/>
      <c r="M69" s="3171"/>
      <c r="N69" s="3171"/>
      <c r="O69" s="3171"/>
      <c r="P69" s="3171"/>
      <c r="Q69" s="3171"/>
      <c r="R69" s="3171"/>
      <c r="S69" s="3171"/>
      <c r="T69" s="3171"/>
      <c r="U69" s="3171"/>
      <c r="V69" s="3171"/>
      <c r="W69" s="3171"/>
      <c r="X69" s="3171"/>
      <c r="Y69" s="3171"/>
      <c r="Z69" s="3171"/>
      <c r="AA69" s="3171"/>
      <c r="AB69" s="3171"/>
      <c r="AC69" s="3171"/>
      <c r="AD69" s="3171"/>
      <c r="AE69" s="3171"/>
      <c r="AF69" s="3171"/>
      <c r="AG69" s="3171"/>
      <c r="AH69" s="3171"/>
      <c r="AI69" s="3171"/>
      <c r="AJ69" s="3172"/>
      <c r="AK69" s="936"/>
      <c r="AL69" s="933"/>
      <c r="AM69" s="933"/>
      <c r="AN69" s="929"/>
    </row>
    <row r="70" spans="1:40" s="930" customFormat="1" ht="12.75" customHeight="1">
      <c r="A70" s="931"/>
      <c r="B70" s="933"/>
      <c r="C70" s="933"/>
      <c r="D70" s="943"/>
      <c r="E70" s="3240"/>
      <c r="F70" s="3241"/>
      <c r="G70" s="3241"/>
      <c r="H70" s="3241"/>
      <c r="I70" s="3241"/>
      <c r="J70" s="3241"/>
      <c r="K70" s="3241"/>
      <c r="L70" s="3241"/>
      <c r="M70" s="3241"/>
      <c r="N70" s="3241"/>
      <c r="O70" s="3241"/>
      <c r="P70" s="3241"/>
      <c r="Q70" s="3241"/>
      <c r="R70" s="3241"/>
      <c r="S70" s="3241"/>
      <c r="T70" s="3241"/>
      <c r="U70" s="3241"/>
      <c r="V70" s="3241"/>
      <c r="W70" s="3241"/>
      <c r="X70" s="3241"/>
      <c r="Y70" s="3241"/>
      <c r="Z70" s="3241"/>
      <c r="AA70" s="3241"/>
      <c r="AB70" s="3241"/>
      <c r="AC70" s="3241"/>
      <c r="AD70" s="3241"/>
      <c r="AE70" s="3241"/>
      <c r="AF70" s="3241"/>
      <c r="AG70" s="3241"/>
      <c r="AH70" s="3241"/>
      <c r="AI70" s="3241"/>
      <c r="AJ70" s="324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14">
        <f>IF(AK51&gt;0,0,AO60)</f>
        <v>10</v>
      </c>
      <c r="AL72" s="3215"/>
      <c r="AM72" s="321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30" t="s">
        <v>1563</v>
      </c>
      <c r="AF75" s="3230"/>
      <c r="AG75" s="3230"/>
      <c r="AH75" s="3230"/>
      <c r="AI75" s="3230"/>
      <c r="AJ75" s="3230"/>
      <c r="AK75" s="3230"/>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9" t="s">
        <v>625</v>
      </c>
      <c r="C78" s="3239"/>
      <c r="D78" s="940" t="s">
        <v>1585</v>
      </c>
      <c r="E78" s="3246" t="s">
        <v>1595</v>
      </c>
      <c r="F78" s="3247"/>
      <c r="G78" s="3247"/>
      <c r="H78" s="3247"/>
      <c r="I78" s="3247"/>
      <c r="J78" s="3247"/>
      <c r="K78" s="3247"/>
      <c r="L78" s="3247"/>
      <c r="M78" s="3247"/>
      <c r="N78" s="3247"/>
      <c r="O78" s="3247"/>
      <c r="P78" s="3247"/>
      <c r="Q78" s="3247"/>
      <c r="R78" s="3247"/>
      <c r="S78" s="3247"/>
      <c r="T78" s="3247"/>
      <c r="U78" s="3247"/>
      <c r="V78" s="3247"/>
      <c r="W78" s="3247"/>
      <c r="X78" s="3247"/>
      <c r="Y78" s="3247"/>
      <c r="Z78" s="3247"/>
      <c r="AA78" s="3247"/>
      <c r="AB78" s="3247"/>
      <c r="AC78" s="3247"/>
      <c r="AD78" s="3247"/>
      <c r="AE78" s="3247"/>
      <c r="AF78" s="3247"/>
      <c r="AG78" s="3247"/>
      <c r="AH78" s="3247"/>
      <c r="AI78" s="3247"/>
      <c r="AJ78" s="3248"/>
      <c r="AK78" s="936"/>
      <c r="AL78" s="933"/>
      <c r="AM78" s="933"/>
      <c r="AN78" s="929"/>
    </row>
    <row r="79" spans="1:40" s="930" customFormat="1" ht="12.75" customHeight="1">
      <c r="A79" s="931"/>
      <c r="B79" s="932"/>
      <c r="C79" s="932"/>
      <c r="D79" s="932"/>
      <c r="E79" s="3249"/>
      <c r="F79" s="3250"/>
      <c r="G79" s="3250"/>
      <c r="H79" s="3250"/>
      <c r="I79" s="3250"/>
      <c r="J79" s="3250"/>
      <c r="K79" s="3250"/>
      <c r="L79" s="3250"/>
      <c r="M79" s="3250"/>
      <c r="N79" s="3250"/>
      <c r="O79" s="3250"/>
      <c r="P79" s="3250"/>
      <c r="Q79" s="3250"/>
      <c r="R79" s="3250"/>
      <c r="S79" s="3250"/>
      <c r="T79" s="3250"/>
      <c r="U79" s="3250"/>
      <c r="V79" s="3250"/>
      <c r="W79" s="3250"/>
      <c r="X79" s="3250"/>
      <c r="Y79" s="3250"/>
      <c r="Z79" s="3250"/>
      <c r="AA79" s="3250"/>
      <c r="AB79" s="3250"/>
      <c r="AC79" s="3250"/>
      <c r="AD79" s="3250"/>
      <c r="AE79" s="3250"/>
      <c r="AF79" s="3250"/>
      <c r="AG79" s="3250"/>
      <c r="AH79" s="3250"/>
      <c r="AI79" s="3250"/>
      <c r="AJ79" s="325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8">
        <f>Application!AH753</f>
        <v>0.6</v>
      </c>
      <c r="F81" s="3229"/>
      <c r="G81" s="3229"/>
      <c r="H81" s="3229"/>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52">
        <f>0.6-ROUNDUP(E81,2)</f>
        <v>0</v>
      </c>
      <c r="F82" s="3253"/>
      <c r="G82" s="3253"/>
      <c r="H82" s="3253"/>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4">
        <f>IF(E82*200&gt;20,20,E82*200)</f>
        <v>0</v>
      </c>
      <c r="F83" s="3245"/>
      <c r="G83" s="3245"/>
      <c r="H83" s="3245"/>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9" t="s">
        <v>577</v>
      </c>
      <c r="C86" s="3239"/>
      <c r="D86" s="940" t="s">
        <v>1587</v>
      </c>
      <c r="E86" s="3246" t="s">
        <v>2220</v>
      </c>
      <c r="F86" s="3247"/>
      <c r="G86" s="3247"/>
      <c r="H86" s="3247"/>
      <c r="I86" s="3247"/>
      <c r="J86" s="3247"/>
      <c r="K86" s="3247"/>
      <c r="L86" s="3247"/>
      <c r="M86" s="3247"/>
      <c r="N86" s="3247"/>
      <c r="O86" s="3247"/>
      <c r="P86" s="3247"/>
      <c r="Q86" s="3247"/>
      <c r="R86" s="3247"/>
      <c r="S86" s="3247"/>
      <c r="T86" s="3247"/>
      <c r="U86" s="3247"/>
      <c r="V86" s="3247"/>
      <c r="W86" s="3247"/>
      <c r="X86" s="3247"/>
      <c r="Y86" s="3247"/>
      <c r="Z86" s="3247"/>
      <c r="AA86" s="3247"/>
      <c r="AB86" s="3247"/>
      <c r="AC86" s="3247"/>
      <c r="AD86" s="3247"/>
      <c r="AE86" s="3247"/>
      <c r="AF86" s="3247"/>
      <c r="AG86" s="3247"/>
      <c r="AH86" s="3247"/>
      <c r="AI86" s="3247"/>
      <c r="AJ86" s="3248"/>
      <c r="AK86" s="936"/>
      <c r="AL86" s="933"/>
      <c r="AM86" s="933"/>
      <c r="AN86" s="929"/>
    </row>
    <row r="87" spans="1:47" s="930" customFormat="1" ht="12.75" customHeight="1">
      <c r="A87" s="931"/>
      <c r="B87" s="932"/>
      <c r="C87" s="932"/>
      <c r="D87" s="932"/>
      <c r="E87" s="3249"/>
      <c r="F87" s="3250"/>
      <c r="G87" s="3250"/>
      <c r="H87" s="3250"/>
      <c r="I87" s="3250"/>
      <c r="J87" s="3250"/>
      <c r="K87" s="3250"/>
      <c r="L87" s="3250"/>
      <c r="M87" s="3250"/>
      <c r="N87" s="3250"/>
      <c r="O87" s="3250"/>
      <c r="P87" s="3250"/>
      <c r="Q87" s="3250"/>
      <c r="R87" s="3250"/>
      <c r="S87" s="3250"/>
      <c r="T87" s="3250"/>
      <c r="U87" s="3250"/>
      <c r="V87" s="3250"/>
      <c r="W87" s="3250"/>
      <c r="X87" s="3250"/>
      <c r="Y87" s="3250"/>
      <c r="Z87" s="3250"/>
      <c r="AA87" s="3250"/>
      <c r="AB87" s="3250"/>
      <c r="AC87" s="3250"/>
      <c r="AD87" s="3250"/>
      <c r="AE87" s="3250"/>
      <c r="AF87" s="3250"/>
      <c r="AG87" s="3250"/>
      <c r="AH87" s="3250"/>
      <c r="AI87" s="3250"/>
      <c r="AJ87" s="3251"/>
      <c r="AK87" s="936"/>
      <c r="AL87" s="933"/>
      <c r="AM87" s="933"/>
      <c r="AN87" s="929"/>
    </row>
    <row r="88" spans="1:47" s="930" customFormat="1" ht="12.75" customHeight="1">
      <c r="A88" s="931"/>
      <c r="B88" s="932"/>
      <c r="C88" s="932"/>
      <c r="D88" s="932"/>
      <c r="E88" s="3249"/>
      <c r="F88" s="3250"/>
      <c r="G88" s="3250"/>
      <c r="H88" s="3250"/>
      <c r="I88" s="3250"/>
      <c r="J88" s="3250"/>
      <c r="K88" s="3250"/>
      <c r="L88" s="3250"/>
      <c r="M88" s="3250"/>
      <c r="N88" s="3250"/>
      <c r="O88" s="3250"/>
      <c r="P88" s="3250"/>
      <c r="Q88" s="3250"/>
      <c r="R88" s="3250"/>
      <c r="S88" s="3250"/>
      <c r="T88" s="3250"/>
      <c r="U88" s="3250"/>
      <c r="V88" s="3250"/>
      <c r="W88" s="3250"/>
      <c r="X88" s="3250"/>
      <c r="Y88" s="3250"/>
      <c r="Z88" s="3250"/>
      <c r="AA88" s="3250"/>
      <c r="AB88" s="3250"/>
      <c r="AC88" s="3250"/>
      <c r="AD88" s="3250"/>
      <c r="AE88" s="3250"/>
      <c r="AF88" s="3250"/>
      <c r="AG88" s="3250"/>
      <c r="AH88" s="3250"/>
      <c r="AI88" s="3250"/>
      <c r="AJ88" s="3251"/>
      <c r="AK88" s="936"/>
      <c r="AL88" s="933"/>
      <c r="AM88" s="933"/>
      <c r="AN88" s="929"/>
    </row>
    <row r="89" spans="1:47" s="930" customFormat="1" ht="12.75" customHeight="1">
      <c r="A89" s="931"/>
      <c r="B89" s="932"/>
      <c r="C89" s="932"/>
      <c r="D89" s="932"/>
      <c r="E89" s="3249"/>
      <c r="F89" s="3250"/>
      <c r="G89" s="3250"/>
      <c r="H89" s="3250"/>
      <c r="I89" s="3250"/>
      <c r="J89" s="3250"/>
      <c r="K89" s="3250"/>
      <c r="L89" s="3250"/>
      <c r="M89" s="3250"/>
      <c r="N89" s="3250"/>
      <c r="O89" s="3250"/>
      <c r="P89" s="3250"/>
      <c r="Q89" s="3250"/>
      <c r="R89" s="3250"/>
      <c r="S89" s="3250"/>
      <c r="T89" s="3250"/>
      <c r="U89" s="3250"/>
      <c r="V89" s="3250"/>
      <c r="W89" s="3250"/>
      <c r="X89" s="3250"/>
      <c r="Y89" s="3250"/>
      <c r="Z89" s="3250"/>
      <c r="AA89" s="3250"/>
      <c r="AB89" s="3250"/>
      <c r="AC89" s="3250"/>
      <c r="AD89" s="3250"/>
      <c r="AE89" s="3250"/>
      <c r="AF89" s="3250"/>
      <c r="AG89" s="3250"/>
      <c r="AH89" s="3250"/>
      <c r="AI89" s="3250"/>
      <c r="AJ89" s="325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8">
        <f>Application!AH753</f>
        <v>0.6</v>
      </c>
      <c r="F91" s="3229"/>
      <c r="G91" s="3229"/>
      <c r="H91" s="3229"/>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8">
        <f ca="1">SUMIF(Application!AH728:AL752,0.2,Application!G728:J752)/Application!G753+SUMIF(Application!AH728:AL752,0.25,Application!G728:J752)/Application!G753+SUMIF(Application!AH728:AL752,0.3,Application!G728:J752)/Application!G753</f>
        <v>0.10526315789473684</v>
      </c>
      <c r="F92" s="3229"/>
      <c r="G92" s="3229"/>
      <c r="H92" s="3229"/>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8">
        <f ca="1">SUMIF(Application!AH728:AL752,0.35,Application!G728:J752)/Application!G753+SUMIF(Application!AH728:AL752,0.4,Application!G728:J752)/Application!G753+SUMIF(Application!AH728:AL752,0.45,Application!G728:J752)/Application!G753+SUMIF(Application!AH728:AL752,0.5,Application!G728:J752)/Application!G753</f>
        <v>0.10526315789473684</v>
      </c>
      <c r="F93" s="3229"/>
      <c r="G93" s="3229"/>
      <c r="H93" s="3229"/>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31">
        <f ca="1">IF(AND(E91&lt;=0.6,E92&gt;=0.1,OR(E93&gt;=0.1,E92=1)),20,0)</f>
        <v>20</v>
      </c>
      <c r="F94" s="3232"/>
      <c r="G94" s="3232"/>
      <c r="H94" s="3232"/>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14">
        <f ca="1">MAX(AP83,AP94)</f>
        <v>20</v>
      </c>
      <c r="AL97" s="3215"/>
      <c r="AM97" s="321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30" t="s">
        <v>1584</v>
      </c>
      <c r="AF100" s="3230"/>
      <c r="AG100" s="3230"/>
      <c r="AH100" s="3230"/>
      <c r="AI100" s="3230"/>
      <c r="AJ100" s="3230"/>
      <c r="AK100" s="3230"/>
      <c r="AL100" s="933"/>
      <c r="AM100" s="933"/>
      <c r="AN100" s="929"/>
      <c r="AO100" s="930" t="str">
        <f>Application!B728</f>
        <v>2 Bedrooms</v>
      </c>
      <c r="AQ100" s="930">
        <f>Application!O728</f>
        <v>1718</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1194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671</v>
      </c>
    </row>
    <row r="103" spans="1:49" s="930" customFormat="1" ht="12.75" customHeight="1">
      <c r="A103" s="933"/>
      <c r="B103" s="3239" t="s">
        <v>577</v>
      </c>
      <c r="C103" s="3239"/>
      <c r="D103" s="940" t="s">
        <v>1585</v>
      </c>
      <c r="E103" s="3246" t="s">
        <v>2382</v>
      </c>
      <c r="F103" s="3247"/>
      <c r="G103" s="3247"/>
      <c r="H103" s="3247"/>
      <c r="I103" s="3247"/>
      <c r="J103" s="3247"/>
      <c r="K103" s="3247"/>
      <c r="L103" s="3247"/>
      <c r="M103" s="3247"/>
      <c r="N103" s="3247"/>
      <c r="O103" s="3247"/>
      <c r="P103" s="3247"/>
      <c r="Q103" s="3247"/>
      <c r="R103" s="3247"/>
      <c r="S103" s="3247"/>
      <c r="T103" s="3247"/>
      <c r="U103" s="3247"/>
      <c r="V103" s="3247"/>
      <c r="W103" s="3247"/>
      <c r="X103" s="3247"/>
      <c r="Y103" s="3247"/>
      <c r="Z103" s="3247"/>
      <c r="AA103" s="3247"/>
      <c r="AB103" s="3247"/>
      <c r="AC103" s="3247"/>
      <c r="AD103" s="3247"/>
      <c r="AE103" s="3247"/>
      <c r="AF103" s="3247"/>
      <c r="AG103" s="3247"/>
      <c r="AH103" s="3247"/>
      <c r="AI103" s="3247"/>
      <c r="AJ103" s="3248"/>
      <c r="AK103" s="933"/>
      <c r="AL103" s="933"/>
      <c r="AM103" s="933"/>
      <c r="AN103" s="929"/>
      <c r="AO103" s="930" t="str">
        <f>Application!B731</f>
        <v>3 Bedrooms</v>
      </c>
      <c r="AQ103" s="930">
        <f>Application!O731</f>
        <v>1979</v>
      </c>
      <c r="AU103" s="930" t="s">
        <v>2360</v>
      </c>
      <c r="AV103" s="1765" t="s">
        <v>2361</v>
      </c>
      <c r="AW103" s="930" t="s">
        <v>2362</v>
      </c>
    </row>
    <row r="104" spans="1:49" s="930" customFormat="1" ht="12.75" customHeight="1">
      <c r="A104" s="933"/>
      <c r="B104" s="932"/>
      <c r="C104" s="932"/>
      <c r="D104" s="932"/>
      <c r="E104" s="3249"/>
      <c r="F104" s="3250"/>
      <c r="G104" s="3250"/>
      <c r="H104" s="3250"/>
      <c r="I104" s="3250"/>
      <c r="J104" s="3250"/>
      <c r="K104" s="3250"/>
      <c r="L104" s="3250"/>
      <c r="M104" s="3250"/>
      <c r="N104" s="3250"/>
      <c r="O104" s="3250"/>
      <c r="P104" s="3250"/>
      <c r="Q104" s="3250"/>
      <c r="R104" s="3250"/>
      <c r="S104" s="3250"/>
      <c r="T104" s="3250"/>
      <c r="U104" s="3250"/>
      <c r="V104" s="3250"/>
      <c r="W104" s="3250"/>
      <c r="X104" s="3250"/>
      <c r="Y104" s="3250"/>
      <c r="Z104" s="3250"/>
      <c r="AA104" s="3250"/>
      <c r="AB104" s="3250"/>
      <c r="AC104" s="3250"/>
      <c r="AD104" s="3250"/>
      <c r="AE104" s="3250"/>
      <c r="AF104" s="3250"/>
      <c r="AG104" s="3250"/>
      <c r="AH104" s="3250"/>
      <c r="AI104" s="3250"/>
      <c r="AJ104" s="3251"/>
      <c r="AK104" s="933"/>
      <c r="AL104" s="933"/>
      <c r="AM104" s="933"/>
      <c r="AN104" s="929"/>
      <c r="AO104" s="930" t="str">
        <f>Application!B732</f>
        <v>3 Bedrooms</v>
      </c>
      <c r="AQ104" s="930">
        <f>Application!O732</f>
        <v>1677</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49"/>
      <c r="F105" s="3250"/>
      <c r="G105" s="3250"/>
      <c r="H105" s="3250"/>
      <c r="I105" s="3250"/>
      <c r="J105" s="3250"/>
      <c r="K105" s="3250"/>
      <c r="L105" s="3250"/>
      <c r="M105" s="3250"/>
      <c r="N105" s="3250"/>
      <c r="O105" s="3250"/>
      <c r="P105" s="3250"/>
      <c r="Q105" s="3250"/>
      <c r="R105" s="3250"/>
      <c r="S105" s="3250"/>
      <c r="T105" s="3250"/>
      <c r="U105" s="3250"/>
      <c r="V105" s="3250"/>
      <c r="W105" s="3250"/>
      <c r="X105" s="3250"/>
      <c r="Y105" s="3250"/>
      <c r="Z105" s="3250"/>
      <c r="AA105" s="3250"/>
      <c r="AB105" s="3250"/>
      <c r="AC105" s="3250"/>
      <c r="AD105" s="3250"/>
      <c r="AE105" s="3250"/>
      <c r="AF105" s="3250"/>
      <c r="AG105" s="3250"/>
      <c r="AH105" s="3250"/>
      <c r="AI105" s="3250"/>
      <c r="AJ105" s="3251"/>
      <c r="AK105" s="933"/>
      <c r="AL105" s="933"/>
      <c r="AM105" s="933"/>
      <c r="AN105" s="929"/>
      <c r="AO105" s="930" t="str">
        <f>Application!B733</f>
        <v>3 Bedrooms</v>
      </c>
      <c r="AQ105" s="930">
        <f>Application!O733</f>
        <v>1374</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249"/>
      <c r="F106" s="3250"/>
      <c r="G106" s="3250"/>
      <c r="H106" s="3250"/>
      <c r="I106" s="3250"/>
      <c r="J106" s="3250"/>
      <c r="K106" s="3250"/>
      <c r="L106" s="3250"/>
      <c r="M106" s="3250"/>
      <c r="N106" s="3250"/>
      <c r="O106" s="3250"/>
      <c r="P106" s="3250"/>
      <c r="Q106" s="3250"/>
      <c r="R106" s="3250"/>
      <c r="S106" s="3250"/>
      <c r="T106" s="3250"/>
      <c r="U106" s="3250"/>
      <c r="V106" s="3250"/>
      <c r="W106" s="3250"/>
      <c r="X106" s="3250"/>
      <c r="Y106" s="3250"/>
      <c r="Z106" s="3250"/>
      <c r="AA106" s="3250"/>
      <c r="AB106" s="3250"/>
      <c r="AC106" s="3250"/>
      <c r="AD106" s="3250"/>
      <c r="AE106" s="3250"/>
      <c r="AF106" s="3250"/>
      <c r="AG106" s="3250"/>
      <c r="AH106" s="3250"/>
      <c r="AI106" s="3250"/>
      <c r="AJ106" s="3251"/>
      <c r="AK106" s="933"/>
      <c r="AL106" s="933"/>
      <c r="AM106" s="933"/>
      <c r="AN106" s="929"/>
      <c r="AO106" s="930" t="str">
        <f>Application!B734</f>
        <v>3 Bedrooms</v>
      </c>
      <c r="AQ106" s="930">
        <f>Application!O734</f>
        <v>769</v>
      </c>
      <c r="AU106" s="1768" t="str">
        <f>O112</f>
        <v>2-bedroom</v>
      </c>
      <c r="AV106" s="930">
        <f t="array" ref="AV106">SUM(IF(Application!B728:F752="2 Bedrooms",Application!G728:J752))</f>
        <v>6</v>
      </c>
      <c r="AW106" s="1803">
        <f>AV106/AV110</f>
        <v>4.5112781954887216E-2</v>
      </c>
    </row>
    <row r="107" spans="1:49" s="930" customFormat="1" ht="12.75" customHeight="1">
      <c r="A107" s="933"/>
      <c r="B107" s="932"/>
      <c r="C107" s="932"/>
      <c r="D107" s="932"/>
      <c r="E107" s="3249"/>
      <c r="F107" s="3250"/>
      <c r="G107" s="3250"/>
      <c r="H107" s="3250"/>
      <c r="I107" s="3250"/>
      <c r="J107" s="3250"/>
      <c r="K107" s="3250"/>
      <c r="L107" s="3250"/>
      <c r="M107" s="3250"/>
      <c r="N107" s="3250"/>
      <c r="O107" s="3250"/>
      <c r="P107" s="3250"/>
      <c r="Q107" s="3250"/>
      <c r="R107" s="3250"/>
      <c r="S107" s="3250"/>
      <c r="T107" s="3250"/>
      <c r="U107" s="3250"/>
      <c r="V107" s="3250"/>
      <c r="W107" s="3250"/>
      <c r="X107" s="3250"/>
      <c r="Y107" s="3250"/>
      <c r="Z107" s="3250"/>
      <c r="AA107" s="3250"/>
      <c r="AB107" s="3250"/>
      <c r="AC107" s="3250"/>
      <c r="AD107" s="3250"/>
      <c r="AE107" s="3250"/>
      <c r="AF107" s="3250"/>
      <c r="AG107" s="3250"/>
      <c r="AH107" s="3250"/>
      <c r="AI107" s="3250"/>
      <c r="AJ107" s="3251"/>
      <c r="AK107" s="933"/>
      <c r="AL107" s="933"/>
      <c r="AM107" s="933"/>
      <c r="AN107" s="929"/>
      <c r="AO107" s="930">
        <f>Application!B735</f>
        <v>0</v>
      </c>
      <c r="AQ107" s="930">
        <f>Application!O735</f>
        <v>0</v>
      </c>
      <c r="AU107" s="1768" t="str">
        <f>T112</f>
        <v>3-bedroom</v>
      </c>
      <c r="AV107" s="930">
        <f t="array" ref="AV107">SUM(IF(Application!B728:F752="3 Bedrooms",Application!G728:J752))</f>
        <v>127</v>
      </c>
      <c r="AW107" s="1803">
        <f>AV107/AV110</f>
        <v>0.95488721804511278</v>
      </c>
    </row>
    <row r="108" spans="1:49" s="930" customFormat="1" ht="12.75" customHeight="1">
      <c r="A108" s="933"/>
      <c r="B108" s="932"/>
      <c r="C108" s="932"/>
      <c r="D108" s="932"/>
      <c r="E108" s="3249"/>
      <c r="F108" s="3250"/>
      <c r="G108" s="3250"/>
      <c r="H108" s="3250"/>
      <c r="I108" s="3250"/>
      <c r="J108" s="3250"/>
      <c r="K108" s="3250"/>
      <c r="L108" s="3250"/>
      <c r="M108" s="3250"/>
      <c r="N108" s="3250"/>
      <c r="O108" s="3250"/>
      <c r="P108" s="3250"/>
      <c r="Q108" s="3250"/>
      <c r="R108" s="3250"/>
      <c r="S108" s="3250"/>
      <c r="T108" s="3250"/>
      <c r="U108" s="3250"/>
      <c r="V108" s="3250"/>
      <c r="W108" s="3250"/>
      <c r="X108" s="3250"/>
      <c r="Y108" s="3250"/>
      <c r="Z108" s="3250"/>
      <c r="AA108" s="3250"/>
      <c r="AB108" s="3250"/>
      <c r="AC108" s="3250"/>
      <c r="AD108" s="3250"/>
      <c r="AE108" s="3250"/>
      <c r="AF108" s="3250"/>
      <c r="AG108" s="3250"/>
      <c r="AH108" s="3250"/>
      <c r="AI108" s="3250"/>
      <c r="AJ108" s="3251"/>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9"/>
      <c r="F109" s="3250"/>
      <c r="G109" s="3250"/>
      <c r="H109" s="3250"/>
      <c r="I109" s="3250"/>
      <c r="J109" s="3250"/>
      <c r="K109" s="3250"/>
      <c r="L109" s="3250"/>
      <c r="M109" s="3250"/>
      <c r="N109" s="3250"/>
      <c r="O109" s="3250"/>
      <c r="P109" s="3250"/>
      <c r="Q109" s="3250"/>
      <c r="R109" s="3250"/>
      <c r="S109" s="3250"/>
      <c r="T109" s="3250"/>
      <c r="U109" s="3250"/>
      <c r="V109" s="3250"/>
      <c r="W109" s="3250"/>
      <c r="X109" s="3250"/>
      <c r="Y109" s="3250"/>
      <c r="Z109" s="3250"/>
      <c r="AA109" s="3250"/>
      <c r="AB109" s="3250"/>
      <c r="AC109" s="3250"/>
      <c r="AD109" s="3250"/>
      <c r="AE109" s="3250"/>
      <c r="AF109" s="3250"/>
      <c r="AG109" s="3250"/>
      <c r="AH109" s="3250"/>
      <c r="AI109" s="3250"/>
      <c r="AJ109" s="3251"/>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9"/>
      <c r="F110" s="3250"/>
      <c r="G110" s="3250"/>
      <c r="H110" s="3250"/>
      <c r="I110" s="3250"/>
      <c r="J110" s="3250"/>
      <c r="K110" s="3250"/>
      <c r="L110" s="3250"/>
      <c r="M110" s="3250"/>
      <c r="N110" s="3250"/>
      <c r="O110" s="3250"/>
      <c r="P110" s="3250"/>
      <c r="Q110" s="3250"/>
      <c r="R110" s="3250"/>
      <c r="S110" s="3250"/>
      <c r="T110" s="3250"/>
      <c r="U110" s="3250"/>
      <c r="V110" s="3250"/>
      <c r="W110" s="3250"/>
      <c r="X110" s="3250"/>
      <c r="Y110" s="3250"/>
      <c r="Z110" s="3250"/>
      <c r="AA110" s="3250"/>
      <c r="AB110" s="3250"/>
      <c r="AC110" s="3250"/>
      <c r="AD110" s="3250"/>
      <c r="AE110" s="3250"/>
      <c r="AF110" s="3250"/>
      <c r="AG110" s="3250"/>
      <c r="AH110" s="3250"/>
      <c r="AI110" s="3250"/>
      <c r="AJ110" s="3251"/>
      <c r="AK110" s="933"/>
      <c r="AL110" s="933"/>
      <c r="AM110" s="933"/>
      <c r="AN110" s="929"/>
      <c r="AO110" s="930">
        <f>Application!B738</f>
        <v>0</v>
      </c>
      <c r="AQ110" s="930">
        <f>Application!O738</f>
        <v>0</v>
      </c>
      <c r="AV110" s="930">
        <f>SUM(AV104:AV109)</f>
        <v>133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28" t="s">
        <v>1886</v>
      </c>
      <c r="F112" s="3229"/>
      <c r="G112" s="3229"/>
      <c r="H112" s="3229"/>
      <c r="I112" s="1473"/>
      <c r="J112" s="3229" t="s">
        <v>1979</v>
      </c>
      <c r="K112" s="3229"/>
      <c r="L112" s="3229"/>
      <c r="M112" s="3229"/>
      <c r="N112" s="1473"/>
      <c r="O112" s="3229" t="s">
        <v>1980</v>
      </c>
      <c r="P112" s="3229"/>
      <c r="Q112" s="3229"/>
      <c r="R112" s="3229"/>
      <c r="S112" s="1473"/>
      <c r="T112" s="3229" t="s">
        <v>1604</v>
      </c>
      <c r="U112" s="3229"/>
      <c r="V112" s="3229"/>
      <c r="W112" s="3229"/>
      <c r="X112" s="1473"/>
      <c r="Y112" s="3229" t="s">
        <v>1981</v>
      </c>
      <c r="Z112" s="3229"/>
      <c r="AA112" s="3229"/>
      <c r="AB112" s="3229"/>
      <c r="AC112" s="1473"/>
      <c r="AD112" s="3229" t="s">
        <v>1982</v>
      </c>
      <c r="AE112" s="3229"/>
      <c r="AF112" s="3229"/>
      <c r="AG112" s="322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33"/>
      <c r="F115" s="3234"/>
      <c r="G115" s="3234"/>
      <c r="H115" s="3234"/>
      <c r="I115" s="1475"/>
      <c r="J115" s="3234"/>
      <c r="K115" s="3234"/>
      <c r="L115" s="3234"/>
      <c r="M115" s="3234"/>
      <c r="N115" s="1475"/>
      <c r="O115" s="3234">
        <v>2228</v>
      </c>
      <c r="P115" s="3234"/>
      <c r="Q115" s="3234"/>
      <c r="R115" s="3234"/>
      <c r="S115" s="1475"/>
      <c r="T115" s="3234">
        <v>2645</v>
      </c>
      <c r="U115" s="3234"/>
      <c r="V115" s="3234"/>
      <c r="W115" s="3234"/>
      <c r="X115" s="1475"/>
      <c r="Y115" s="3234"/>
      <c r="Z115" s="3234"/>
      <c r="AA115" s="3234"/>
      <c r="AB115" s="3234"/>
      <c r="AC115" s="1475"/>
      <c r="AD115" s="3234"/>
      <c r="AE115" s="3234"/>
      <c r="AF115" s="3234"/>
      <c r="AG115" s="3234"/>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2364</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5">
        <f>Application!DX663</f>
        <v>0</v>
      </c>
      <c r="F118" s="3236"/>
      <c r="G118" s="3236"/>
      <c r="H118" s="3236"/>
      <c r="I118" s="1475"/>
      <c r="J118" s="3236">
        <f>Application!EC663</f>
        <v>0</v>
      </c>
      <c r="K118" s="3236"/>
      <c r="L118" s="3236"/>
      <c r="M118" s="3236"/>
      <c r="N118" s="1475"/>
      <c r="O118" s="3236">
        <f>Application!EH663</f>
        <v>1456.1666666666665</v>
      </c>
      <c r="P118" s="3236"/>
      <c r="Q118" s="3236"/>
      <c r="R118" s="3236"/>
      <c r="S118" s="1479"/>
      <c r="T118" s="3236">
        <f>Application!EM663</f>
        <v>1676.6929133858268</v>
      </c>
      <c r="U118" s="3236"/>
      <c r="V118" s="3236"/>
      <c r="W118" s="3236"/>
      <c r="X118" s="1479"/>
      <c r="Y118" s="3236">
        <f>Application!ER663</f>
        <v>0</v>
      </c>
      <c r="Z118" s="3236"/>
      <c r="AA118" s="3236"/>
      <c r="AB118" s="3236"/>
      <c r="AC118" s="1479"/>
      <c r="AD118" s="3236">
        <f>Application!EW663</f>
        <v>0</v>
      </c>
      <c r="AE118" s="3236"/>
      <c r="AF118" s="3236"/>
      <c r="AG118" s="323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2365</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21" t="e">
        <f>(E115-E118)/E115</f>
        <v>#DIV/0!</v>
      </c>
      <c r="F121" s="3022"/>
      <c r="G121" s="3022"/>
      <c r="H121" s="3023"/>
      <c r="I121" s="971"/>
      <c r="J121" s="3021" t="e">
        <f>(J115-J118)/J115</f>
        <v>#DIV/0!</v>
      </c>
      <c r="K121" s="3022"/>
      <c r="L121" s="3022"/>
      <c r="M121" s="3023"/>
      <c r="N121" s="971"/>
      <c r="O121" s="3021">
        <f>(O115-O118)/O115</f>
        <v>0.3464242968282466</v>
      </c>
      <c r="P121" s="3022"/>
      <c r="Q121" s="3022"/>
      <c r="R121" s="3023"/>
      <c r="S121" s="971"/>
      <c r="T121" s="3021">
        <f>(T115-T118)/T115</f>
        <v>0.36608963577095394</v>
      </c>
      <c r="U121" s="3022"/>
      <c r="V121" s="3022"/>
      <c r="W121" s="3023"/>
      <c r="X121" s="971"/>
      <c r="Y121" s="3021" t="e">
        <f>(Y115-Y118)/Y115</f>
        <v>#DIV/0!</v>
      </c>
      <c r="Z121" s="3022"/>
      <c r="AA121" s="3022"/>
      <c r="AB121" s="3023"/>
      <c r="AC121" s="971"/>
      <c r="AD121" s="3021" t="e">
        <f>(AD115-AD118)/AD115</f>
        <v>#DIV/0!</v>
      </c>
      <c r="AE121" s="3022"/>
      <c r="AF121" s="3022"/>
      <c r="AG121" s="302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2366</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7" t="e">
        <f>IF(((E121-0.1)*AW104)&gt;0,((E121-0.1)*AW104),0)</f>
        <v>#DIV/0!</v>
      </c>
      <c r="F124" s="3278"/>
      <c r="G124" s="3278"/>
      <c r="H124" s="3279"/>
      <c r="I124" s="971"/>
      <c r="J124" s="3277" t="e">
        <f>IF(((J121-0.1)*AW105)&gt;0,((J121-0.1)*AW105),0)</f>
        <v>#DIV/0!</v>
      </c>
      <c r="K124" s="3278"/>
      <c r="L124" s="3278"/>
      <c r="M124" s="3279"/>
      <c r="N124" s="971"/>
      <c r="O124" s="3277">
        <f>IF(((O121-0.1)*AW106)&gt;0,((O121-0.1)*AW106),0)</f>
        <v>1.1116885571199093E-2</v>
      </c>
      <c r="P124" s="3278"/>
      <c r="Q124" s="3278"/>
      <c r="R124" s="3279"/>
      <c r="S124" s="971"/>
      <c r="T124" s="3277">
        <f>IF(((T121-0.1)*AW107)&gt;0,((T121-0.1)*AW107),0)</f>
        <v>0.25408559205196352</v>
      </c>
      <c r="U124" s="3278"/>
      <c r="V124" s="3278"/>
      <c r="W124" s="3279"/>
      <c r="X124" s="971"/>
      <c r="Y124" s="3277" t="e">
        <f>IF(((Y121-0.1)*AW108)&gt;0,((Y121-0.1)*AW108),0)</f>
        <v>#DIV/0!</v>
      </c>
      <c r="Z124" s="3278"/>
      <c r="AA124" s="3278"/>
      <c r="AB124" s="3279"/>
      <c r="AC124" s="971"/>
      <c r="AD124" s="3277" t="e">
        <f>IF(((AD121-0.1)*AW109)&gt;0,((AD121-0.1)*AW109),0)</f>
        <v>#DIV/0!</v>
      </c>
      <c r="AE124" s="3278"/>
      <c r="AF124" s="3278"/>
      <c r="AG124" s="327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21">
        <f>ROUNDDOWN(SUMIF(E124:AG124,"&gt;0"),2)</f>
        <v>0.26</v>
      </c>
      <c r="F126" s="3022"/>
      <c r="G126" s="3022"/>
      <c r="H126" s="3023"/>
      <c r="I126" s="1473"/>
      <c r="J126" s="1480" t="s">
        <v>2367</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14">
        <f>IF((E126*100)&gt;10,10,E126*100)</f>
        <v>10</v>
      </c>
      <c r="F127" s="3215"/>
      <c r="G127" s="3215"/>
      <c r="H127" s="3216"/>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14">
        <f>E127</f>
        <v>10</v>
      </c>
      <c r="AL131" s="3215"/>
      <c r="AM131" s="321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30" t="s">
        <v>1584</v>
      </c>
      <c r="AF134" s="3230"/>
      <c r="AG134" s="3230"/>
      <c r="AH134" s="3230"/>
      <c r="AI134" s="3230"/>
      <c r="AJ134" s="3230"/>
      <c r="AK134" s="3230"/>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60" t="s">
        <v>1608</v>
      </c>
      <c r="AG136" s="3160"/>
      <c r="AH136" s="3160"/>
      <c r="AI136" s="3160"/>
      <c r="AJ136" s="3160"/>
      <c r="AK136" s="3160"/>
      <c r="AL136" s="3160"/>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9" t="s">
        <v>2616</v>
      </c>
      <c r="C138" s="3219"/>
      <c r="D138" s="3219"/>
      <c r="E138" s="3219"/>
      <c r="F138" s="3219"/>
      <c r="G138" s="3219"/>
      <c r="H138" s="3219"/>
      <c r="I138" s="3219"/>
      <c r="J138" s="3219"/>
      <c r="K138" s="3219"/>
      <c r="L138" s="3219"/>
      <c r="M138" s="3219"/>
      <c r="N138" s="3219"/>
      <c r="O138" s="3219"/>
      <c r="P138" s="3219"/>
      <c r="Q138" s="3219"/>
      <c r="R138" s="3219"/>
      <c r="S138" s="3219"/>
      <c r="T138" s="3219"/>
      <c r="U138" s="3219"/>
      <c r="V138" s="3219"/>
      <c r="W138" s="3219"/>
      <c r="X138" s="3219"/>
      <c r="Y138" s="3219"/>
      <c r="Z138" s="3219"/>
      <c r="AA138" s="3219"/>
      <c r="AB138" s="3219"/>
      <c r="AC138" s="321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20" t="s">
        <v>1611</v>
      </c>
      <c r="C141" s="3220"/>
      <c r="D141" s="3220"/>
      <c r="E141" s="3220"/>
      <c r="F141" s="3220"/>
      <c r="G141" s="3220"/>
      <c r="H141" s="3220"/>
      <c r="I141" s="3220"/>
      <c r="J141" s="3220"/>
      <c r="K141" s="3220"/>
      <c r="L141" s="3220"/>
      <c r="M141" s="3220"/>
      <c r="N141" s="3220"/>
      <c r="O141" s="3220"/>
      <c r="P141" s="3220"/>
      <c r="Q141" s="3220"/>
      <c r="R141" s="3220"/>
      <c r="S141" s="3220"/>
      <c r="T141" s="3220"/>
      <c r="U141" s="3220"/>
      <c r="V141" s="3220"/>
      <c r="W141" s="3220"/>
      <c r="X141" s="3220"/>
      <c r="Y141" s="3220"/>
      <c r="Z141" s="3220"/>
      <c r="AA141" s="3220"/>
      <c r="AB141" s="3220"/>
      <c r="AC141" s="3220"/>
      <c r="AD141" s="3220"/>
      <c r="AE141" s="3220"/>
      <c r="AF141" s="3220"/>
      <c r="AG141" s="3220"/>
      <c r="AH141" s="3220"/>
      <c r="AI141" s="3220"/>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65" t="s">
        <v>625</v>
      </c>
      <c r="AC143" s="316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20" t="s">
        <v>1613</v>
      </c>
      <c r="C146" s="3220"/>
      <c r="D146" s="3220"/>
      <c r="E146" s="3220"/>
      <c r="F146" s="3220"/>
      <c r="G146" s="3220"/>
      <c r="H146" s="3220"/>
      <c r="I146" s="3220"/>
      <c r="J146" s="3220"/>
      <c r="K146" s="3220"/>
      <c r="L146" s="3220"/>
      <c r="M146" s="3220"/>
      <c r="N146" s="3220"/>
      <c r="O146" s="3220"/>
      <c r="P146" s="3220"/>
      <c r="Q146" s="3220"/>
      <c r="R146" s="3220"/>
      <c r="S146" s="3220"/>
      <c r="T146" s="3220"/>
      <c r="U146" s="3220"/>
      <c r="V146" s="3220"/>
      <c r="W146" s="3220"/>
      <c r="X146" s="3220"/>
      <c r="Y146" s="3220"/>
      <c r="Z146" s="3220"/>
      <c r="AA146" s="3220"/>
      <c r="AB146" s="3220"/>
      <c r="AC146" s="3220"/>
      <c r="AD146" s="3220"/>
      <c r="AE146" s="3220"/>
      <c r="AF146" s="3220"/>
      <c r="AG146" s="3220"/>
      <c r="AH146" s="3220"/>
      <c r="AI146" s="3220"/>
      <c r="AJ146" s="3220"/>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21">
        <f>IF($AB$143="N/A",VLOOKUP($B$141,$AO$139:$AP$142,2,FALSE),VLOOKUP($B$146,$AO$144:$AP$147,2,FALSE))</f>
        <v>7</v>
      </c>
      <c r="AK149" s="322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60" t="s">
        <v>1622</v>
      </c>
      <c r="AG151" s="3160"/>
      <c r="AH151" s="3160"/>
      <c r="AI151" s="3160"/>
      <c r="AJ151" s="3160"/>
      <c r="AK151" s="3160"/>
      <c r="AL151" s="3160"/>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20" t="s">
        <v>1620</v>
      </c>
      <c r="D153" s="3220"/>
      <c r="E153" s="3220"/>
      <c r="F153" s="3220"/>
      <c r="G153" s="3220"/>
      <c r="H153" s="3220"/>
      <c r="I153" s="3220"/>
      <c r="J153" s="3220"/>
      <c r="K153" s="3220"/>
      <c r="L153" s="3220"/>
      <c r="M153" s="3220"/>
      <c r="N153" s="3220"/>
      <c r="O153" s="3220"/>
      <c r="P153" s="3220"/>
      <c r="Q153" s="3220"/>
      <c r="R153" s="3220"/>
      <c r="S153" s="3220"/>
      <c r="T153" s="3220"/>
      <c r="U153" s="3220"/>
      <c r="V153" s="3220"/>
      <c r="W153" s="3220"/>
      <c r="X153" s="3220"/>
      <c r="Y153" s="3220"/>
      <c r="Z153" s="3220"/>
      <c r="AA153" s="3220"/>
      <c r="AB153" s="3220"/>
      <c r="AC153" s="3220"/>
      <c r="AD153" s="3220"/>
      <c r="AE153" s="3220"/>
      <c r="AF153" s="3220"/>
      <c r="AG153" s="3220"/>
      <c r="AH153" s="3220"/>
      <c r="AI153" s="3220"/>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5" t="s">
        <v>625</v>
      </c>
      <c r="AD155" s="3165"/>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20" t="s">
        <v>1613</v>
      </c>
      <c r="D157" s="3220"/>
      <c r="E157" s="3220"/>
      <c r="F157" s="3220"/>
      <c r="G157" s="3220"/>
      <c r="H157" s="3220"/>
      <c r="I157" s="3220"/>
      <c r="J157" s="3220"/>
      <c r="K157" s="3220"/>
      <c r="L157" s="3220"/>
      <c r="M157" s="3220"/>
      <c r="N157" s="3220"/>
      <c r="O157" s="3220"/>
      <c r="P157" s="3220"/>
      <c r="Q157" s="3220"/>
      <c r="R157" s="3220"/>
      <c r="S157" s="3220"/>
      <c r="T157" s="3220"/>
      <c r="U157" s="3220"/>
      <c r="V157" s="3220"/>
      <c r="W157" s="3220"/>
      <c r="X157" s="3220"/>
      <c r="Y157" s="3220"/>
      <c r="Z157" s="3220"/>
      <c r="AA157" s="3220"/>
      <c r="AB157" s="3220"/>
      <c r="AC157" s="3220"/>
      <c r="AD157" s="322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9" t="s">
        <v>2670</v>
      </c>
      <c r="D161" s="3219"/>
      <c r="E161" s="3219"/>
      <c r="F161" s="3219"/>
      <c r="G161" s="3219"/>
      <c r="H161" s="3219"/>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19"/>
      <c r="AD161" s="3219"/>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8">
        <f>IF($AC$155="N/A",VLOOKUP($C$153,$AO$153:$AP$156,2,FALSE),VLOOKUP($C$157,$AO$160:$AP$162,2,FALSE))</f>
        <v>3</v>
      </c>
      <c r="AK163" s="307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14">
        <f>$AJ$149+$AJ$163</f>
        <v>10</v>
      </c>
      <c r="AL166" s="3215"/>
      <c r="AM166" s="321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2222</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5" t="s">
        <v>1584</v>
      </c>
      <c r="AF169" s="3125"/>
      <c r="AG169" s="3125"/>
      <c r="AH169" s="3125"/>
      <c r="AI169" s="3125"/>
      <c r="AJ169" s="3125"/>
      <c r="AK169" s="3125"/>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17" t="s">
        <v>1154</v>
      </c>
      <c r="C171" s="3217"/>
      <c r="D171" s="3217"/>
      <c r="E171" s="3217"/>
      <c r="F171" s="3217"/>
      <c r="G171" s="3217"/>
      <c r="H171" s="3217"/>
      <c r="I171" s="3217"/>
      <c r="J171" s="3217"/>
      <c r="K171" s="3217"/>
      <c r="L171" s="3217"/>
      <c r="M171" s="3217"/>
      <c r="N171" s="3217"/>
      <c r="O171" s="3217"/>
      <c r="P171" s="3217"/>
      <c r="Q171" s="3217"/>
      <c r="R171" s="3217"/>
      <c r="S171" s="3217"/>
      <c r="T171" s="3217"/>
      <c r="U171" s="3217"/>
      <c r="V171" s="3217"/>
      <c r="W171" s="3217"/>
      <c r="X171" s="3217"/>
      <c r="Y171" s="3217"/>
      <c r="Z171" s="3217"/>
      <c r="AA171" s="3217"/>
      <c r="AB171" s="3217"/>
      <c r="AC171" s="3217"/>
      <c r="AD171" s="1023"/>
      <c r="AE171" s="1023"/>
      <c r="AF171" s="3160" t="s">
        <v>1633</v>
      </c>
      <c r="AG171" s="3160"/>
      <c r="AH171" s="3160"/>
      <c r="AI171" s="3160"/>
      <c r="AJ171" s="3160"/>
      <c r="AK171" s="3160"/>
      <c r="AL171" s="3160"/>
      <c r="AN171" s="1000"/>
      <c r="AP171" s="943" t="s">
        <v>1156</v>
      </c>
      <c r="AQ171" s="943">
        <v>10</v>
      </c>
    </row>
    <row r="172" spans="1:81" s="943" customFormat="1" ht="12.75" customHeight="1">
      <c r="A172" s="927"/>
      <c r="B172" s="3218" t="s">
        <v>2221</v>
      </c>
      <c r="C172" s="3218"/>
      <c r="D172" s="3218"/>
      <c r="E172" s="3218"/>
      <c r="F172" s="3218"/>
      <c r="G172" s="3218"/>
      <c r="H172" s="3218"/>
      <c r="I172" s="3218"/>
      <c r="J172" s="3218"/>
      <c r="K172" s="3218"/>
      <c r="L172" s="3218"/>
      <c r="M172" s="3218"/>
      <c r="N172" s="3218"/>
      <c r="O172" s="3218"/>
      <c r="P172" s="3218"/>
      <c r="Q172" s="3218"/>
      <c r="R172" s="3218"/>
      <c r="S172" s="3218"/>
      <c r="T172" s="3219" t="s">
        <v>625</v>
      </c>
      <c r="U172" s="3219"/>
      <c r="V172" s="3219"/>
      <c r="W172" s="3219"/>
      <c r="X172" s="3219"/>
      <c r="Y172" s="3219"/>
      <c r="Z172" s="3219"/>
      <c r="AA172" s="3219"/>
      <c r="AB172" s="3219"/>
      <c r="AC172" s="3219"/>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43">
        <f>IF(AK72&gt;0,VLOOKUP($B$171,AP168:AQ175,2,FALSE),0)</f>
        <v>10</v>
      </c>
      <c r="AL174" s="3044"/>
      <c r="AM174" s="3045"/>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5" t="s">
        <v>1642</v>
      </c>
      <c r="AF177" s="3125"/>
      <c r="AG177" s="3125"/>
      <c r="AH177" s="3125"/>
      <c r="AI177" s="3125"/>
      <c r="AJ177" s="3125"/>
      <c r="AK177" s="312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11" t="s">
        <v>2602</v>
      </c>
      <c r="C182" s="3211"/>
      <c r="D182" s="3211"/>
      <c r="E182" s="3211"/>
      <c r="F182" s="3211"/>
      <c r="G182" s="3211"/>
      <c r="H182" s="3211"/>
      <c r="I182" s="3211"/>
      <c r="J182" s="3211"/>
      <c r="K182" s="3211"/>
      <c r="L182" s="3211"/>
      <c r="M182" s="3211"/>
      <c r="N182" s="3211"/>
      <c r="O182" s="3211"/>
      <c r="P182" s="3211"/>
      <c r="Q182" s="3211"/>
      <c r="R182" s="3211"/>
      <c r="S182" s="3211"/>
      <c r="T182" s="3211"/>
      <c r="U182" s="3211"/>
      <c r="V182" s="3211"/>
      <c r="W182" s="3211"/>
      <c r="X182" s="3211"/>
      <c r="Y182" s="3211"/>
      <c r="Z182" s="3211"/>
      <c r="AA182" s="3211"/>
      <c r="AB182" s="3211"/>
      <c r="AC182" s="1397"/>
      <c r="AD182" s="3201">
        <v>3900000</v>
      </c>
      <c r="AE182" s="3201"/>
      <c r="AF182" s="3201"/>
      <c r="AG182" s="3201"/>
      <c r="AH182" s="3201"/>
      <c r="AI182" s="3201"/>
      <c r="AJ182" s="3201"/>
      <c r="AK182" s="1024"/>
    </row>
    <row r="183" spans="1:37">
      <c r="A183" s="1016"/>
      <c r="B183" s="3211"/>
      <c r="C183" s="3211"/>
      <c r="D183" s="3211"/>
      <c r="E183" s="3211"/>
      <c r="F183" s="3211"/>
      <c r="G183" s="3211"/>
      <c r="H183" s="3211"/>
      <c r="I183" s="3211"/>
      <c r="J183" s="3211"/>
      <c r="K183" s="3211"/>
      <c r="L183" s="3211"/>
      <c r="M183" s="3211"/>
      <c r="N183" s="3211"/>
      <c r="O183" s="3211"/>
      <c r="P183" s="3211"/>
      <c r="Q183" s="3211"/>
      <c r="R183" s="3211"/>
      <c r="S183" s="3211"/>
      <c r="T183" s="3211"/>
      <c r="U183" s="3211"/>
      <c r="V183" s="3211"/>
      <c r="W183" s="3211"/>
      <c r="X183" s="3211"/>
      <c r="Y183" s="3211"/>
      <c r="Z183" s="3211"/>
      <c r="AA183" s="3211"/>
      <c r="AB183" s="3211"/>
      <c r="AC183" s="1397"/>
      <c r="AD183" s="3201"/>
      <c r="AE183" s="3201"/>
      <c r="AF183" s="3201"/>
      <c r="AG183" s="3201"/>
      <c r="AH183" s="3201"/>
      <c r="AI183" s="3201"/>
      <c r="AJ183" s="3201"/>
      <c r="AK183" s="1024"/>
    </row>
    <row r="184" spans="1:37">
      <c r="A184" s="1016"/>
      <c r="B184" s="3211"/>
      <c r="C184" s="3211"/>
      <c r="D184" s="3211"/>
      <c r="E184" s="3211"/>
      <c r="F184" s="3211"/>
      <c r="G184" s="3211"/>
      <c r="H184" s="3211"/>
      <c r="I184" s="3211"/>
      <c r="J184" s="3211"/>
      <c r="K184" s="3211"/>
      <c r="L184" s="3211"/>
      <c r="M184" s="3211"/>
      <c r="N184" s="3211"/>
      <c r="O184" s="3211"/>
      <c r="P184" s="3211"/>
      <c r="Q184" s="3211"/>
      <c r="R184" s="3211"/>
      <c r="S184" s="3211"/>
      <c r="T184" s="3211"/>
      <c r="U184" s="3211"/>
      <c r="V184" s="3211"/>
      <c r="W184" s="3211"/>
      <c r="X184" s="3211"/>
      <c r="Y184" s="3211"/>
      <c r="Z184" s="3211"/>
      <c r="AA184" s="3211"/>
      <c r="AB184" s="3211"/>
      <c r="AC184" s="1397"/>
      <c r="AD184" s="3201"/>
      <c r="AE184" s="3201"/>
      <c r="AF184" s="3201"/>
      <c r="AG184" s="3201"/>
      <c r="AH184" s="3201"/>
      <c r="AI184" s="3201"/>
      <c r="AJ184" s="3201"/>
      <c r="AK184" s="1024"/>
    </row>
    <row r="185" spans="1:37">
      <c r="A185" s="1016"/>
      <c r="B185" s="3211"/>
      <c r="C185" s="3211"/>
      <c r="D185" s="3211"/>
      <c r="E185" s="3211"/>
      <c r="F185" s="3211"/>
      <c r="G185" s="3211"/>
      <c r="H185" s="3211"/>
      <c r="I185" s="3211"/>
      <c r="J185" s="3211"/>
      <c r="K185" s="3211"/>
      <c r="L185" s="3211"/>
      <c r="M185" s="3211"/>
      <c r="N185" s="3211"/>
      <c r="O185" s="3211"/>
      <c r="P185" s="3211"/>
      <c r="Q185" s="3211"/>
      <c r="R185" s="3211"/>
      <c r="S185" s="3211"/>
      <c r="T185" s="3211"/>
      <c r="U185" s="3211"/>
      <c r="V185" s="3211"/>
      <c r="W185" s="3211"/>
      <c r="X185" s="3211"/>
      <c r="Y185" s="3211"/>
      <c r="Z185" s="3211"/>
      <c r="AA185" s="3211"/>
      <c r="AB185" s="3211"/>
      <c r="AC185" s="1397"/>
      <c r="AD185" s="3201"/>
      <c r="AE185" s="3201"/>
      <c r="AF185" s="3201"/>
      <c r="AG185" s="3201"/>
      <c r="AH185" s="3201"/>
      <c r="AI185" s="3201"/>
      <c r="AJ185" s="3201"/>
      <c r="AK185" s="1024"/>
    </row>
    <row r="186" spans="1:37">
      <c r="A186" s="1016"/>
      <c r="B186" s="3211"/>
      <c r="C186" s="3211"/>
      <c r="D186" s="3211"/>
      <c r="E186" s="3211"/>
      <c r="F186" s="3211"/>
      <c r="G186" s="3211"/>
      <c r="H186" s="3211"/>
      <c r="I186" s="3211"/>
      <c r="J186" s="3211"/>
      <c r="K186" s="3211"/>
      <c r="L186" s="3211"/>
      <c r="M186" s="3211"/>
      <c r="N186" s="3211"/>
      <c r="O186" s="3211"/>
      <c r="P186" s="3211"/>
      <c r="Q186" s="3211"/>
      <c r="R186" s="3211"/>
      <c r="S186" s="3211"/>
      <c r="T186" s="3211"/>
      <c r="U186" s="3211"/>
      <c r="V186" s="3211"/>
      <c r="W186" s="3211"/>
      <c r="X186" s="3211"/>
      <c r="Y186" s="3211"/>
      <c r="Z186" s="3211"/>
      <c r="AA186" s="3211"/>
      <c r="AB186" s="3211"/>
      <c r="AC186" s="1397"/>
      <c r="AD186" s="3201"/>
      <c r="AE186" s="3201"/>
      <c r="AF186" s="3201"/>
      <c r="AG186" s="3201"/>
      <c r="AH186" s="3201"/>
      <c r="AI186" s="3201"/>
      <c r="AJ186" s="3201"/>
      <c r="AK186" s="1024"/>
    </row>
    <row r="187" spans="1:37">
      <c r="A187" s="1016"/>
      <c r="B187" s="3211"/>
      <c r="C187" s="3211"/>
      <c r="D187" s="3211"/>
      <c r="E187" s="3211"/>
      <c r="F187" s="3211"/>
      <c r="G187" s="3211"/>
      <c r="H187" s="3211"/>
      <c r="I187" s="3211"/>
      <c r="J187" s="3211"/>
      <c r="K187" s="3211"/>
      <c r="L187" s="3211"/>
      <c r="M187" s="3211"/>
      <c r="N187" s="3211"/>
      <c r="O187" s="3211"/>
      <c r="P187" s="3211"/>
      <c r="Q187" s="3211"/>
      <c r="R187" s="3211"/>
      <c r="S187" s="3211"/>
      <c r="T187" s="3211"/>
      <c r="U187" s="3211"/>
      <c r="V187" s="3211"/>
      <c r="W187" s="3211"/>
      <c r="X187" s="3211"/>
      <c r="Y187" s="3211"/>
      <c r="Z187" s="3211"/>
      <c r="AA187" s="3211"/>
      <c r="AB187" s="3211"/>
      <c r="AC187" s="1397"/>
      <c r="AD187" s="3201"/>
      <c r="AE187" s="3201"/>
      <c r="AF187" s="3201"/>
      <c r="AG187" s="3201"/>
      <c r="AH187" s="3201"/>
      <c r="AI187" s="3201"/>
      <c r="AJ187" s="3201"/>
      <c r="AK187" s="1024"/>
    </row>
    <row r="188" spans="1:37">
      <c r="A188" s="1016"/>
      <c r="B188" s="3211"/>
      <c r="C188" s="3211"/>
      <c r="D188" s="3211"/>
      <c r="E188" s="3211"/>
      <c r="F188" s="3211"/>
      <c r="G188" s="3211"/>
      <c r="H188" s="3211"/>
      <c r="I188" s="3211"/>
      <c r="J188" s="3211"/>
      <c r="K188" s="3211"/>
      <c r="L188" s="3211"/>
      <c r="M188" s="3211"/>
      <c r="N188" s="3211"/>
      <c r="O188" s="3211"/>
      <c r="P188" s="3211"/>
      <c r="Q188" s="3211"/>
      <c r="R188" s="3211"/>
      <c r="S188" s="3211"/>
      <c r="T188" s="3211"/>
      <c r="U188" s="3211"/>
      <c r="V188" s="3211"/>
      <c r="W188" s="3211"/>
      <c r="X188" s="3211"/>
      <c r="Y188" s="3211"/>
      <c r="Z188" s="3211"/>
      <c r="AA188" s="3211"/>
      <c r="AB188" s="3211"/>
      <c r="AC188" s="1397"/>
      <c r="AD188" s="3201"/>
      <c r="AE188" s="3201"/>
      <c r="AF188" s="3201"/>
      <c r="AG188" s="3201"/>
      <c r="AH188" s="3201"/>
      <c r="AI188" s="3201"/>
      <c r="AJ188" s="3201"/>
      <c r="AK188" s="1024"/>
    </row>
    <row r="189" spans="1:37">
      <c r="A189" s="1016"/>
      <c r="B189" s="3211"/>
      <c r="C189" s="3211"/>
      <c r="D189" s="3211"/>
      <c r="E189" s="3211"/>
      <c r="F189" s="3211"/>
      <c r="G189" s="3211"/>
      <c r="H189" s="3211"/>
      <c r="I189" s="3211"/>
      <c r="J189" s="3211"/>
      <c r="K189" s="3211"/>
      <c r="L189" s="3211"/>
      <c r="M189" s="3211"/>
      <c r="N189" s="3211"/>
      <c r="O189" s="3211"/>
      <c r="P189" s="3211"/>
      <c r="Q189" s="3211"/>
      <c r="R189" s="3211"/>
      <c r="S189" s="3211"/>
      <c r="T189" s="3211"/>
      <c r="U189" s="3211"/>
      <c r="V189" s="3211"/>
      <c r="W189" s="3211"/>
      <c r="X189" s="3211"/>
      <c r="Y189" s="3211"/>
      <c r="Z189" s="3211"/>
      <c r="AA189" s="3211"/>
      <c r="AB189" s="3211"/>
      <c r="AC189" s="1397"/>
      <c r="AD189" s="3201"/>
      <c r="AE189" s="3201"/>
      <c r="AF189" s="3201"/>
      <c r="AG189" s="3201"/>
      <c r="AH189" s="3201"/>
      <c r="AI189" s="3201"/>
      <c r="AJ189" s="3201"/>
      <c r="AK189" s="1024"/>
    </row>
    <row r="190" spans="1:37">
      <c r="A190" s="1016"/>
      <c r="B190" s="3211"/>
      <c r="C190" s="3211"/>
      <c r="D190" s="3211"/>
      <c r="E190" s="3211"/>
      <c r="F190" s="3211"/>
      <c r="G190" s="3211"/>
      <c r="H190" s="3211"/>
      <c r="I190" s="3211"/>
      <c r="J190" s="3211"/>
      <c r="K190" s="3211"/>
      <c r="L190" s="3211"/>
      <c r="M190" s="3211"/>
      <c r="N190" s="3211"/>
      <c r="O190" s="3211"/>
      <c r="P190" s="3211"/>
      <c r="Q190" s="3211"/>
      <c r="R190" s="3211"/>
      <c r="S190" s="3211"/>
      <c r="T190" s="3211"/>
      <c r="U190" s="3211"/>
      <c r="V190" s="3211"/>
      <c r="W190" s="3211"/>
      <c r="X190" s="3211"/>
      <c r="Y190" s="3211"/>
      <c r="Z190" s="3211"/>
      <c r="AA190" s="3211"/>
      <c r="AB190" s="3211"/>
      <c r="AC190" s="1397"/>
      <c r="AD190" s="3201"/>
      <c r="AE190" s="3201"/>
      <c r="AF190" s="3201"/>
      <c r="AG190" s="3201"/>
      <c r="AH190" s="3201"/>
      <c r="AI190" s="3201"/>
      <c r="AJ190" s="3201"/>
      <c r="AK190" s="1024"/>
    </row>
    <row r="191" spans="1:37">
      <c r="A191" s="1016"/>
      <c r="B191" s="3211"/>
      <c r="C191" s="3211"/>
      <c r="D191" s="3211"/>
      <c r="E191" s="3211"/>
      <c r="F191" s="3211"/>
      <c r="G191" s="3211"/>
      <c r="H191" s="3211"/>
      <c r="I191" s="3211"/>
      <c r="J191" s="3211"/>
      <c r="K191" s="3211"/>
      <c r="L191" s="3211"/>
      <c r="M191" s="3211"/>
      <c r="N191" s="3211"/>
      <c r="O191" s="3211"/>
      <c r="P191" s="3211"/>
      <c r="Q191" s="3211"/>
      <c r="R191" s="3211"/>
      <c r="S191" s="3211"/>
      <c r="T191" s="3211"/>
      <c r="U191" s="3211"/>
      <c r="V191" s="3211"/>
      <c r="W191" s="3211"/>
      <c r="X191" s="3211"/>
      <c r="Y191" s="3211"/>
      <c r="Z191" s="3211"/>
      <c r="AA191" s="3211"/>
      <c r="AB191" s="3211"/>
      <c r="AC191" s="1397"/>
      <c r="AD191" s="3201"/>
      <c r="AE191" s="3201"/>
      <c r="AF191" s="3201"/>
      <c r="AG191" s="3201"/>
      <c r="AH191" s="3201"/>
      <c r="AI191" s="3201"/>
      <c r="AJ191" s="3201"/>
      <c r="AK191" s="1024"/>
    </row>
    <row r="192" spans="1:37">
      <c r="A192" s="1016"/>
      <c r="B192" s="3065" t="s">
        <v>1930</v>
      </c>
      <c r="C192" s="3065"/>
      <c r="D192" s="3065"/>
      <c r="E192" s="3065"/>
      <c r="F192" s="3065"/>
      <c r="G192" s="3065"/>
      <c r="H192" s="3065"/>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927"/>
      <c r="AD192" s="3199">
        <f>AB243</f>
        <v>0</v>
      </c>
      <c r="AE192" s="3199"/>
      <c r="AF192" s="3199"/>
      <c r="AG192" s="3199"/>
      <c r="AH192" s="3199"/>
      <c r="AI192" s="3199"/>
      <c r="AJ192" s="3199"/>
      <c r="AK192" s="1024"/>
    </row>
    <row r="193" spans="1:37">
      <c r="A193" s="1016"/>
      <c r="B193" s="3063" t="s">
        <v>1893</v>
      </c>
      <c r="C193" s="3063"/>
      <c r="D193" s="3063"/>
      <c r="E193" s="3063"/>
      <c r="F193" s="3063"/>
      <c r="G193" s="3063"/>
      <c r="H193" s="3063"/>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1397"/>
      <c r="AD193" s="3200">
        <f>'Sources and Uses Budget'!B15</f>
        <v>0</v>
      </c>
      <c r="AE193" s="3200"/>
      <c r="AF193" s="3200"/>
      <c r="AG193" s="3200"/>
      <c r="AH193" s="3200"/>
      <c r="AI193" s="3200"/>
      <c r="AJ193" s="320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05">
        <f>SUM(AD182:AJ192)-AD193</f>
        <v>3900000</v>
      </c>
      <c r="AE194" s="3205"/>
      <c r="AF194" s="3205"/>
      <c r="AG194" s="3205"/>
      <c r="AH194" s="3205"/>
      <c r="AI194" s="3205"/>
      <c r="AJ194" s="320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6" t="s">
        <v>1910</v>
      </c>
      <c r="J205" s="3226"/>
      <c r="K205" s="3226"/>
      <c r="L205" s="991"/>
      <c r="M205" s="991"/>
      <c r="N205" s="991"/>
      <c r="O205" s="991"/>
      <c r="P205" s="991"/>
      <c r="Q205" s="991"/>
      <c r="R205" s="991"/>
      <c r="S205" s="991"/>
      <c r="T205" s="3026" t="s">
        <v>1904</v>
      </c>
      <c r="U205" s="3026"/>
      <c r="V205" s="3026"/>
      <c r="W205" s="3026"/>
      <c r="X205" s="3026"/>
      <c r="Y205" s="3026"/>
      <c r="Z205" s="1401"/>
      <c r="AA205" s="1402"/>
      <c r="AB205" s="3222" t="s">
        <v>1905</v>
      </c>
      <c r="AC205" s="3222"/>
      <c r="AD205" s="3222"/>
      <c r="AE205" s="3222"/>
      <c r="AF205" s="3222"/>
      <c r="AG205" s="3222"/>
      <c r="AH205" s="1371"/>
      <c r="AI205" s="1371"/>
      <c r="AJ205" s="1371"/>
      <c r="AK205" s="1024"/>
    </row>
    <row r="206" spans="1:37">
      <c r="A206" s="1016"/>
      <c r="B206" s="3224" t="s">
        <v>1883</v>
      </c>
      <c r="C206" s="3224"/>
      <c r="D206" s="3224"/>
      <c r="E206" s="3224"/>
      <c r="F206" s="3224"/>
      <c r="G206" s="3224"/>
      <c r="I206" s="3225" t="s">
        <v>1911</v>
      </c>
      <c r="J206" s="3225"/>
      <c r="K206" s="3225"/>
      <c r="L206" s="1799"/>
      <c r="N206" s="3064" t="s">
        <v>1906</v>
      </c>
      <c r="O206" s="3064"/>
      <c r="P206" s="3064"/>
      <c r="Q206" s="3064"/>
      <c r="R206" s="3064"/>
      <c r="T206" s="3064" t="s">
        <v>1907</v>
      </c>
      <c r="U206" s="3064"/>
      <c r="V206" s="3064"/>
      <c r="W206" s="3064"/>
      <c r="X206" s="3064"/>
      <c r="Y206" s="3064"/>
      <c r="Z206" s="1403"/>
      <c r="AA206" s="1402"/>
      <c r="AB206" s="3067" t="s">
        <v>1908</v>
      </c>
      <c r="AC206" s="3067"/>
      <c r="AD206" s="3067"/>
      <c r="AE206" s="3067"/>
      <c r="AF206" s="3067"/>
      <c r="AG206" s="3067"/>
      <c r="AH206" s="1371"/>
      <c r="AI206" s="1371"/>
      <c r="AJ206" s="1371"/>
      <c r="AK206" s="1024"/>
    </row>
    <row r="207" spans="1:37">
      <c r="A207" s="1016"/>
      <c r="B207" s="3066" t="s">
        <v>1383</v>
      </c>
      <c r="C207" s="3066"/>
      <c r="D207" s="3066"/>
      <c r="E207" s="3066"/>
      <c r="F207" s="3066"/>
      <c r="G207" s="3066"/>
      <c r="H207" s="1405"/>
      <c r="I207" s="3031"/>
      <c r="J207" s="3031"/>
      <c r="K207" s="3031"/>
      <c r="L207" s="1799"/>
      <c r="N207" s="3028"/>
      <c r="O207" s="3028"/>
      <c r="P207" s="3028"/>
      <c r="Q207" s="3028"/>
      <c r="R207" s="3028"/>
      <c r="T207" s="3027"/>
      <c r="U207" s="3027"/>
      <c r="V207" s="3027"/>
      <c r="W207" s="3027"/>
      <c r="X207" s="3027"/>
      <c r="Y207" s="3027"/>
      <c r="Z207" s="1404"/>
      <c r="AA207" s="1404"/>
      <c r="AB207" s="3025">
        <f t="shared" ref="AB207:AB216" si="0">MAX(($T207-$N207)*$I207*12,0)</f>
        <v>0</v>
      </c>
      <c r="AC207" s="3025"/>
      <c r="AD207" s="3025"/>
      <c r="AE207" s="3025"/>
      <c r="AF207" s="3025"/>
      <c r="AG207" s="3025"/>
      <c r="AH207" s="1371"/>
      <c r="AI207" s="1371"/>
      <c r="AJ207" s="1371"/>
      <c r="AK207" s="1024"/>
    </row>
    <row r="208" spans="1:37">
      <c r="A208" s="1016"/>
      <c r="B208" s="3066" t="s">
        <v>1383</v>
      </c>
      <c r="C208" s="3066"/>
      <c r="D208" s="3066"/>
      <c r="E208" s="3066"/>
      <c r="F208" s="3066"/>
      <c r="G208" s="3066"/>
      <c r="I208" s="3031"/>
      <c r="J208" s="3031"/>
      <c r="K208" s="3031"/>
      <c r="L208" s="1799"/>
      <c r="N208" s="3028"/>
      <c r="O208" s="3028"/>
      <c r="P208" s="3028"/>
      <c r="Q208" s="3028"/>
      <c r="R208" s="3028"/>
      <c r="T208" s="3027"/>
      <c r="U208" s="3027"/>
      <c r="V208" s="3027"/>
      <c r="W208" s="3027"/>
      <c r="X208" s="3027"/>
      <c r="Y208" s="3027"/>
      <c r="Z208" s="1404"/>
      <c r="AA208" s="1404"/>
      <c r="AB208" s="3025">
        <f t="shared" si="0"/>
        <v>0</v>
      </c>
      <c r="AC208" s="3025"/>
      <c r="AD208" s="3025"/>
      <c r="AE208" s="3025"/>
      <c r="AF208" s="3025"/>
      <c r="AG208" s="3025"/>
      <c r="AH208" s="1371"/>
      <c r="AI208" s="1371"/>
      <c r="AJ208" s="1371"/>
      <c r="AK208" s="1024"/>
    </row>
    <row r="209" spans="1:37">
      <c r="A209" s="1016"/>
      <c r="B209" s="3066" t="s">
        <v>1383</v>
      </c>
      <c r="C209" s="3066"/>
      <c r="D209" s="3066"/>
      <c r="E209" s="3066"/>
      <c r="F209" s="3066"/>
      <c r="G209" s="3066"/>
      <c r="I209" s="3031"/>
      <c r="J209" s="3031"/>
      <c r="K209" s="3031"/>
      <c r="L209" s="1799"/>
      <c r="N209" s="3028"/>
      <c r="O209" s="3028"/>
      <c r="P209" s="3028"/>
      <c r="Q209" s="3028"/>
      <c r="R209" s="3028"/>
      <c r="T209" s="3027"/>
      <c r="U209" s="3027"/>
      <c r="V209" s="3027"/>
      <c r="W209" s="3027"/>
      <c r="X209" s="3027"/>
      <c r="Y209" s="3027"/>
      <c r="Z209" s="1404"/>
      <c r="AA209" s="1404"/>
      <c r="AB209" s="3025">
        <f t="shared" si="0"/>
        <v>0</v>
      </c>
      <c r="AC209" s="3025"/>
      <c r="AD209" s="3025"/>
      <c r="AE209" s="3025"/>
      <c r="AF209" s="3025"/>
      <c r="AG209" s="3025"/>
      <c r="AH209" s="1371"/>
      <c r="AI209" s="1371"/>
      <c r="AJ209" s="1371"/>
      <c r="AK209" s="1024"/>
    </row>
    <row r="210" spans="1:37">
      <c r="A210" s="1016"/>
      <c r="B210" s="3066" t="s">
        <v>1383</v>
      </c>
      <c r="C210" s="3066"/>
      <c r="D210" s="3066"/>
      <c r="E210" s="3066"/>
      <c r="F210" s="3066"/>
      <c r="G210" s="3066"/>
      <c r="I210" s="3031"/>
      <c r="J210" s="3031"/>
      <c r="K210" s="3031"/>
      <c r="L210" s="1799"/>
      <c r="N210" s="3028"/>
      <c r="O210" s="3028"/>
      <c r="P210" s="3028"/>
      <c r="Q210" s="3028"/>
      <c r="R210" s="3028"/>
      <c r="T210" s="3027"/>
      <c r="U210" s="3027"/>
      <c r="V210" s="3027"/>
      <c r="W210" s="3027"/>
      <c r="X210" s="3027"/>
      <c r="Y210" s="3027"/>
      <c r="Z210" s="1404"/>
      <c r="AA210" s="1404"/>
      <c r="AB210" s="3025">
        <f t="shared" si="0"/>
        <v>0</v>
      </c>
      <c r="AC210" s="3025"/>
      <c r="AD210" s="3025"/>
      <c r="AE210" s="3025"/>
      <c r="AF210" s="3025"/>
      <c r="AG210" s="3025"/>
      <c r="AH210" s="1371"/>
      <c r="AI210" s="1371"/>
      <c r="AJ210" s="1371"/>
      <c r="AK210" s="1024"/>
    </row>
    <row r="211" spans="1:37">
      <c r="A211" s="1016"/>
      <c r="B211" s="3066" t="s">
        <v>1383</v>
      </c>
      <c r="C211" s="3066"/>
      <c r="D211" s="3066"/>
      <c r="E211" s="3066"/>
      <c r="F211" s="3066"/>
      <c r="G211" s="3066"/>
      <c r="I211" s="3031"/>
      <c r="J211" s="3031"/>
      <c r="K211" s="3031"/>
      <c r="L211" s="1811"/>
      <c r="N211" s="3028"/>
      <c r="O211" s="3028"/>
      <c r="P211" s="3028"/>
      <c r="Q211" s="3028"/>
      <c r="R211" s="3028"/>
      <c r="T211" s="3027"/>
      <c r="U211" s="3027"/>
      <c r="V211" s="3027"/>
      <c r="W211" s="3027"/>
      <c r="X211" s="3027"/>
      <c r="Y211" s="3027"/>
      <c r="Z211" s="1404"/>
      <c r="AA211" s="1404"/>
      <c r="AB211" s="3025">
        <f t="shared" si="0"/>
        <v>0</v>
      </c>
      <c r="AC211" s="3025"/>
      <c r="AD211" s="3025"/>
      <c r="AE211" s="3025"/>
      <c r="AF211" s="3025"/>
      <c r="AG211" s="3025"/>
      <c r="AH211" s="1371"/>
      <c r="AI211" s="1371"/>
      <c r="AJ211" s="1371"/>
      <c r="AK211" s="1024"/>
    </row>
    <row r="212" spans="1:37">
      <c r="A212" s="1016"/>
      <c r="B212" s="3066" t="s">
        <v>1383</v>
      </c>
      <c r="C212" s="3066"/>
      <c r="D212" s="3066"/>
      <c r="E212" s="3066"/>
      <c r="F212" s="3066"/>
      <c r="G212" s="3066"/>
      <c r="I212" s="3031"/>
      <c r="J212" s="3031"/>
      <c r="K212" s="3031"/>
      <c r="L212" s="1811"/>
      <c r="N212" s="3028"/>
      <c r="O212" s="3028"/>
      <c r="P212" s="3028"/>
      <c r="Q212" s="3028"/>
      <c r="R212" s="3028"/>
      <c r="T212" s="3027"/>
      <c r="U212" s="3027"/>
      <c r="V212" s="3027"/>
      <c r="W212" s="3027"/>
      <c r="X212" s="3027"/>
      <c r="Y212" s="3027"/>
      <c r="Z212" s="1404"/>
      <c r="AA212" s="1404"/>
      <c r="AB212" s="3025">
        <f t="shared" si="0"/>
        <v>0</v>
      </c>
      <c r="AC212" s="3025"/>
      <c r="AD212" s="3025"/>
      <c r="AE212" s="3025"/>
      <c r="AF212" s="3025"/>
      <c r="AG212" s="3025"/>
      <c r="AH212" s="1371"/>
      <c r="AI212" s="1371"/>
      <c r="AJ212" s="1371"/>
      <c r="AK212" s="1024"/>
    </row>
    <row r="213" spans="1:37">
      <c r="A213" s="1016"/>
      <c r="B213" s="3066" t="s">
        <v>1383</v>
      </c>
      <c r="C213" s="3066"/>
      <c r="D213" s="3066"/>
      <c r="E213" s="3066"/>
      <c r="F213" s="3066"/>
      <c r="G213" s="3066"/>
      <c r="I213" s="3031"/>
      <c r="J213" s="3031"/>
      <c r="K213" s="3031"/>
      <c r="L213" s="1811"/>
      <c r="N213" s="3028"/>
      <c r="O213" s="3028"/>
      <c r="P213" s="3028"/>
      <c r="Q213" s="3028"/>
      <c r="R213" s="3028"/>
      <c r="T213" s="3027"/>
      <c r="U213" s="3027"/>
      <c r="V213" s="3027"/>
      <c r="W213" s="3027"/>
      <c r="X213" s="3027"/>
      <c r="Y213" s="3027"/>
      <c r="Z213" s="1404"/>
      <c r="AA213" s="1404"/>
      <c r="AB213" s="3025">
        <f t="shared" si="0"/>
        <v>0</v>
      </c>
      <c r="AC213" s="3025"/>
      <c r="AD213" s="3025"/>
      <c r="AE213" s="3025"/>
      <c r="AF213" s="3025"/>
      <c r="AG213" s="3025"/>
      <c r="AH213" s="1371"/>
      <c r="AI213" s="1371"/>
      <c r="AJ213" s="1371"/>
      <c r="AK213" s="1024"/>
    </row>
    <row r="214" spans="1:37">
      <c r="A214" s="1016"/>
      <c r="B214" s="3066" t="s">
        <v>1383</v>
      </c>
      <c r="C214" s="3066"/>
      <c r="D214" s="3066"/>
      <c r="E214" s="3066"/>
      <c r="F214" s="3066"/>
      <c r="G214" s="3066"/>
      <c r="I214" s="3031"/>
      <c r="J214" s="3031"/>
      <c r="K214" s="3031"/>
      <c r="L214" s="1811"/>
      <c r="N214" s="3028"/>
      <c r="O214" s="3028"/>
      <c r="P214" s="3028"/>
      <c r="Q214" s="3028"/>
      <c r="R214" s="3028"/>
      <c r="T214" s="3027"/>
      <c r="U214" s="3027"/>
      <c r="V214" s="3027"/>
      <c r="W214" s="3027"/>
      <c r="X214" s="3027"/>
      <c r="Y214" s="3027"/>
      <c r="Z214" s="1404"/>
      <c r="AA214" s="1404"/>
      <c r="AB214" s="3025">
        <f t="shared" si="0"/>
        <v>0</v>
      </c>
      <c r="AC214" s="3025"/>
      <c r="AD214" s="3025"/>
      <c r="AE214" s="3025"/>
      <c r="AF214" s="3025"/>
      <c r="AG214" s="3025"/>
      <c r="AH214" s="1371"/>
      <c r="AI214" s="1371"/>
      <c r="AJ214" s="1371"/>
      <c r="AK214" s="1024"/>
    </row>
    <row r="215" spans="1:37">
      <c r="A215" s="1016"/>
      <c r="B215" s="3066" t="s">
        <v>1383</v>
      </c>
      <c r="C215" s="3066"/>
      <c r="D215" s="3066"/>
      <c r="E215" s="3066"/>
      <c r="F215" s="3066"/>
      <c r="G215" s="3066"/>
      <c r="I215" s="3031"/>
      <c r="J215" s="3031"/>
      <c r="K215" s="3031"/>
      <c r="L215" s="1811"/>
      <c r="N215" s="3028"/>
      <c r="O215" s="3028"/>
      <c r="P215" s="3028"/>
      <c r="Q215" s="3028"/>
      <c r="R215" s="3028"/>
      <c r="T215" s="3027"/>
      <c r="U215" s="3027"/>
      <c r="V215" s="3027"/>
      <c r="W215" s="3027"/>
      <c r="X215" s="3027"/>
      <c r="Y215" s="3027"/>
      <c r="Z215" s="1404"/>
      <c r="AA215" s="1404"/>
      <c r="AB215" s="3025">
        <f t="shared" si="0"/>
        <v>0</v>
      </c>
      <c r="AC215" s="3025"/>
      <c r="AD215" s="3025"/>
      <c r="AE215" s="3025"/>
      <c r="AF215" s="3025"/>
      <c r="AG215" s="3025"/>
      <c r="AH215" s="1371"/>
      <c r="AI215" s="1371"/>
      <c r="AJ215" s="1371"/>
      <c r="AK215" s="1024"/>
    </row>
    <row r="216" spans="1:37">
      <c r="A216" s="1016"/>
      <c r="B216" s="3066" t="s">
        <v>1383</v>
      </c>
      <c r="C216" s="3066"/>
      <c r="D216" s="3066"/>
      <c r="E216" s="3066"/>
      <c r="F216" s="3066"/>
      <c r="G216" s="3066"/>
      <c r="I216" s="3227"/>
      <c r="J216" s="3227"/>
      <c r="K216" s="3227"/>
      <c r="L216" s="1811"/>
      <c r="N216" s="3028"/>
      <c r="O216" s="3028"/>
      <c r="P216" s="3028"/>
      <c r="Q216" s="3028"/>
      <c r="R216" s="3028"/>
      <c r="T216" s="3027"/>
      <c r="U216" s="3027"/>
      <c r="V216" s="3027"/>
      <c r="W216" s="3027"/>
      <c r="X216" s="3027"/>
      <c r="Y216" s="3027"/>
      <c r="Z216" s="1404"/>
      <c r="AA216" s="1404"/>
      <c r="AB216" s="3033">
        <f t="shared" si="0"/>
        <v>0</v>
      </c>
      <c r="AC216" s="3033"/>
      <c r="AD216" s="3033"/>
      <c r="AE216" s="3033"/>
      <c r="AF216" s="3033"/>
      <c r="AG216" s="303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25">
        <f>SUM(AB207:AB216)</f>
        <v>0</v>
      </c>
      <c r="AC217" s="3025"/>
      <c r="AD217" s="3025"/>
      <c r="AE217" s="3025"/>
      <c r="AF217" s="3025"/>
      <c r="AG217" s="302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8"/>
      <c r="AC223" s="3068"/>
      <c r="AD223" s="3068"/>
      <c r="AE223" s="3068"/>
      <c r="AF223" s="3068"/>
      <c r="AG223" s="3068"/>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8"/>
      <c r="AC226" s="3068"/>
      <c r="AD226" s="3068"/>
      <c r="AE226" s="3068"/>
      <c r="AF226" s="3068"/>
      <c r="AG226" s="3068"/>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4"/>
      <c r="AC227" s="3024"/>
      <c r="AD227" s="3024"/>
      <c r="AE227" s="3024"/>
      <c r="AF227" s="3024"/>
      <c r="AG227" s="3024"/>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4">
        <f>IFERROR(AB226/AB227,0)</f>
        <v>0</v>
      </c>
      <c r="AC228" s="3034"/>
      <c r="AD228" s="3034"/>
      <c r="AE228" s="3034"/>
      <c r="AF228" s="3034"/>
      <c r="AG228" s="303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62">
        <f>MAX(AB223,AB228)</f>
        <v>0</v>
      </c>
      <c r="AC230" s="3062"/>
      <c r="AD230" s="3062"/>
      <c r="AE230" s="3062"/>
      <c r="AF230" s="3062"/>
      <c r="AG230" s="306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32">
        <f>AB217+AB230</f>
        <v>0</v>
      </c>
      <c r="AC233" s="3032"/>
      <c r="AD233" s="3032"/>
      <c r="AE233" s="3032"/>
      <c r="AF233" s="3032"/>
      <c r="AG233" s="3032"/>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9">
        <v>0.05</v>
      </c>
      <c r="AC234" s="3209"/>
      <c r="AD234" s="3209"/>
      <c r="AE234" s="3209"/>
      <c r="AF234" s="3209"/>
      <c r="AG234" s="3209"/>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10">
        <f>AB233-(AB233*AB234)</f>
        <v>0</v>
      </c>
      <c r="AC235" s="3210"/>
      <c r="AD235" s="3210"/>
      <c r="AE235" s="3210"/>
      <c r="AF235" s="3210"/>
      <c r="AG235" s="3210"/>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32">
        <f>AB235/AB241</f>
        <v>0</v>
      </c>
      <c r="AC237" s="3032"/>
      <c r="AD237" s="3032"/>
      <c r="AE237" s="3032"/>
      <c r="AF237" s="3032"/>
      <c r="AG237" s="303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23">
        <v>15</v>
      </c>
      <c r="AC239" s="3223"/>
      <c r="AD239" s="3223"/>
      <c r="AE239" s="3223"/>
      <c r="AF239" s="3223"/>
      <c r="AG239" s="3223"/>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12">
        <v>0.04</v>
      </c>
      <c r="AC240" s="3212"/>
      <c r="AD240" s="3212"/>
      <c r="AE240" s="3212"/>
      <c r="AF240" s="3212"/>
      <c r="AG240" s="3212"/>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13">
        <v>1.1499999999999999</v>
      </c>
      <c r="AC241" s="3213"/>
      <c r="AD241" s="3213"/>
      <c r="AE241" s="3213"/>
      <c r="AF241" s="3213"/>
      <c r="AG241" s="321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02">
        <f>PV(AB240/12,AB239*12,-AB237/12, ,0)</f>
        <v>0</v>
      </c>
      <c r="AC243" s="3203"/>
      <c r="AD243" s="3203"/>
      <c r="AE243" s="3203"/>
      <c r="AF243" s="3203"/>
      <c r="AG243" s="320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6">
        <f>IFERROR(('Sources and Uses Budget'!D105/'Sources and Uses Budget'!B105),0)</f>
        <v>0</v>
      </c>
      <c r="AC249" s="3207"/>
      <c r="AD249" s="3207"/>
      <c r="AE249" s="3207"/>
      <c r="AF249" s="3207"/>
      <c r="AG249" s="320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40">
        <f>AD194*(1-AB249)</f>
        <v>3900000</v>
      </c>
      <c r="AH251" s="3040"/>
      <c r="AI251" s="3040"/>
      <c r="AJ251" s="3040"/>
      <c r="AK251" s="3040"/>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40">
        <f>'Sources and Uses Budget'!C105</f>
        <v>80692123</v>
      </c>
      <c r="AH252" s="3040"/>
      <c r="AI252" s="3040"/>
      <c r="AJ252" s="3040"/>
      <c r="AK252" s="304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8">
        <f>ROUNDDOWN(IF(AND(C274="Yes",AK72=10),((AG251*2)/AG252),AG251/AG252),2)</f>
        <v>0.09</v>
      </c>
      <c r="AH253" s="3198"/>
      <c r="AI253" s="3198"/>
      <c r="AJ253" s="3198"/>
      <c r="AK253" s="3198"/>
    </row>
    <row r="254" spans="1:39">
      <c r="A254" s="1045"/>
      <c r="B254" s="1699" t="s">
        <v>2237</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91">
        <f>IF(AG253=0,0,IF((AG253*100)&gt;8,8,(AG253*100)))</f>
        <v>8</v>
      </c>
      <c r="AL256" s="3191"/>
      <c r="AM256" s="319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57" t="s">
        <v>577</v>
      </c>
      <c r="D261" s="3057"/>
      <c r="E261" s="940"/>
      <c r="F261" s="3008" t="s">
        <v>2411</v>
      </c>
      <c r="G261" s="3009"/>
      <c r="H261" s="3009"/>
      <c r="I261" s="3009"/>
      <c r="J261" s="3009"/>
      <c r="K261" s="3009"/>
      <c r="L261" s="3009"/>
      <c r="M261" s="3009"/>
      <c r="N261" s="3009"/>
      <c r="O261" s="3009"/>
      <c r="P261" s="3009"/>
      <c r="Q261" s="3009"/>
      <c r="R261" s="3009"/>
      <c r="S261" s="3009"/>
      <c r="T261" s="3009"/>
      <c r="U261" s="3009"/>
      <c r="V261" s="3009"/>
      <c r="W261" s="3009"/>
      <c r="X261" s="3009"/>
      <c r="Y261" s="3009"/>
      <c r="Z261" s="3009"/>
      <c r="AA261" s="3009"/>
      <c r="AB261" s="3009"/>
      <c r="AC261" s="3009"/>
      <c r="AD261" s="3010"/>
      <c r="AE261" s="943"/>
      <c r="AF261" s="1066"/>
      <c r="AG261" s="3196" t="s">
        <v>1633</v>
      </c>
      <c r="AH261" s="3196"/>
      <c r="AI261" s="3196"/>
      <c r="AJ261" s="3196"/>
      <c r="AK261" s="1026"/>
      <c r="AL261" s="1026"/>
      <c r="AM261" s="1026"/>
      <c r="AN261" s="1061"/>
      <c r="AO261" s="943"/>
      <c r="AS261" s="21"/>
      <c r="AT261" s="21"/>
    </row>
    <row r="262" spans="1:81" ht="13.7" customHeight="1">
      <c r="A262" s="1060"/>
      <c r="B262" s="1065"/>
      <c r="C262" s="1067"/>
      <c r="D262" s="943"/>
      <c r="E262" s="940"/>
      <c r="F262" s="3011"/>
      <c r="G262" s="3012"/>
      <c r="H262" s="3012"/>
      <c r="I262" s="3012"/>
      <c r="J262" s="3012"/>
      <c r="K262" s="3012"/>
      <c r="L262" s="3012"/>
      <c r="M262" s="3012"/>
      <c r="N262" s="3012"/>
      <c r="O262" s="3012"/>
      <c r="P262" s="3012"/>
      <c r="Q262" s="3012"/>
      <c r="R262" s="3012"/>
      <c r="S262" s="3012"/>
      <c r="T262" s="3012"/>
      <c r="U262" s="3012"/>
      <c r="V262" s="3012"/>
      <c r="W262" s="3012"/>
      <c r="X262" s="3012"/>
      <c r="Y262" s="3012"/>
      <c r="Z262" s="3012"/>
      <c r="AA262" s="3012"/>
      <c r="AB262" s="3012"/>
      <c r="AC262" s="3012"/>
      <c r="AD262" s="301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11"/>
      <c r="G263" s="3012"/>
      <c r="H263" s="3012"/>
      <c r="I263" s="3012"/>
      <c r="J263" s="3012"/>
      <c r="K263" s="3012"/>
      <c r="L263" s="3012"/>
      <c r="M263" s="3012"/>
      <c r="N263" s="3012"/>
      <c r="O263" s="3012"/>
      <c r="P263" s="3012"/>
      <c r="Q263" s="3012"/>
      <c r="R263" s="3012"/>
      <c r="S263" s="3012"/>
      <c r="T263" s="3012"/>
      <c r="U263" s="3012"/>
      <c r="V263" s="3012"/>
      <c r="W263" s="3012"/>
      <c r="X263" s="3012"/>
      <c r="Y263" s="3012"/>
      <c r="Z263" s="3012"/>
      <c r="AA263" s="3012"/>
      <c r="AB263" s="3012"/>
      <c r="AC263" s="3012"/>
      <c r="AD263" s="3013"/>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97"/>
      <c r="D264" s="3197"/>
      <c r="E264" s="940"/>
      <c r="F264" s="3014"/>
      <c r="G264" s="3015"/>
      <c r="H264" s="3015"/>
      <c r="I264" s="3015"/>
      <c r="J264" s="3015"/>
      <c r="K264" s="3015"/>
      <c r="L264" s="3015"/>
      <c r="M264" s="3015"/>
      <c r="N264" s="3015"/>
      <c r="O264" s="3015"/>
      <c r="P264" s="3015"/>
      <c r="Q264" s="3015"/>
      <c r="R264" s="3015"/>
      <c r="S264" s="3015"/>
      <c r="T264" s="3015"/>
      <c r="U264" s="3015"/>
      <c r="V264" s="3015"/>
      <c r="W264" s="3015"/>
      <c r="X264" s="3015"/>
      <c r="Y264" s="3015"/>
      <c r="Z264" s="3015"/>
      <c r="AA264" s="3015"/>
      <c r="AB264" s="3015"/>
      <c r="AC264" s="3015"/>
      <c r="AD264" s="3016"/>
      <c r="AE264" s="943"/>
      <c r="AF264" s="1066"/>
      <c r="AG264" s="3196"/>
      <c r="AH264" s="3196"/>
      <c r="AI264" s="3196"/>
      <c r="AJ264" s="3196"/>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91">
        <f>IF($C$261="yes",10,0)</f>
        <v>10</v>
      </c>
      <c r="AL267" s="3191"/>
      <c r="AM267" s="319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2377</v>
      </c>
      <c r="AH270" s="1034" t="s">
        <v>1563</v>
      </c>
    </row>
    <row r="271" spans="1:81" ht="15" customHeight="1">
      <c r="B271" s="932" t="s">
        <v>2376</v>
      </c>
    </row>
    <row r="272" spans="1:81" ht="15" customHeight="1">
      <c r="B272" s="932" t="s">
        <v>2378</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9" t="s">
        <v>1652</v>
      </c>
      <c r="B274" s="3169"/>
      <c r="C274" s="3057" t="s">
        <v>577</v>
      </c>
      <c r="D274" s="3057"/>
      <c r="E274" s="940"/>
      <c r="F274" s="3193" t="s">
        <v>1653</v>
      </c>
      <c r="G274" s="3194"/>
      <c r="H274" s="3194"/>
      <c r="I274" s="3194"/>
      <c r="J274" s="3194"/>
      <c r="K274" s="3194"/>
      <c r="L274" s="3194"/>
      <c r="M274" s="3194"/>
      <c r="N274" s="3194"/>
      <c r="O274" s="3194"/>
      <c r="P274" s="3194"/>
      <c r="Q274" s="3194"/>
      <c r="R274" s="3194"/>
      <c r="S274" s="3194"/>
      <c r="T274" s="3194"/>
      <c r="U274" s="3194"/>
      <c r="V274" s="3194"/>
      <c r="W274" s="3194"/>
      <c r="X274" s="3194"/>
      <c r="Y274" s="3194"/>
      <c r="Z274" s="3194"/>
      <c r="AA274" s="3194"/>
      <c r="AB274" s="3194"/>
      <c r="AC274" s="3194"/>
      <c r="AD274" s="3195"/>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6"/>
      <c r="G275" s="3061"/>
      <c r="H275" s="3061"/>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61"/>
      <c r="AD275" s="3187"/>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86"/>
      <c r="G276" s="3061"/>
      <c r="H276" s="3061"/>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61"/>
      <c r="AD276" s="318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6" t="s">
        <v>1655</v>
      </c>
      <c r="G277" s="3061"/>
      <c r="H277" s="3061"/>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61"/>
      <c r="AD277" s="318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6"/>
      <c r="G278" s="3061"/>
      <c r="H278" s="3061"/>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61"/>
      <c r="AD278" s="3187"/>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86" t="s">
        <v>1656</v>
      </c>
      <c r="G279" s="3061"/>
      <c r="H279" s="3061"/>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61"/>
      <c r="AD279" s="3187"/>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86"/>
      <c r="G280" s="3061"/>
      <c r="H280" s="3061"/>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61"/>
      <c r="AD280" s="318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6" t="s">
        <v>1657</v>
      </c>
      <c r="G281" s="3061"/>
      <c r="H281" s="3061"/>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61"/>
      <c r="AD281" s="318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8"/>
      <c r="G282" s="3189"/>
      <c r="H282" s="3189"/>
      <c r="I282" s="3189"/>
      <c r="J282" s="3189"/>
      <c r="K282" s="3189"/>
      <c r="L282" s="3189"/>
      <c r="M282" s="3189"/>
      <c r="N282" s="3189"/>
      <c r="O282" s="3189"/>
      <c r="P282" s="3189"/>
      <c r="Q282" s="3189"/>
      <c r="R282" s="3189"/>
      <c r="S282" s="3189"/>
      <c r="T282" s="3189"/>
      <c r="U282" s="3189"/>
      <c r="V282" s="3189"/>
      <c r="W282" s="3189"/>
      <c r="X282" s="3189"/>
      <c r="Y282" s="3189"/>
      <c r="Z282" s="3189"/>
      <c r="AA282" s="3189"/>
      <c r="AB282" s="3189"/>
      <c r="AC282" s="3189"/>
      <c r="AD282" s="319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9" t="s">
        <v>1658</v>
      </c>
      <c r="B284" s="3169"/>
      <c r="C284" s="3057" t="s">
        <v>625</v>
      </c>
      <c r="D284" s="3057"/>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86" t="s">
        <v>1661</v>
      </c>
      <c r="G285" s="3061"/>
      <c r="H285" s="3061"/>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61"/>
      <c r="AD285" s="3187"/>
      <c r="AE285" s="944"/>
      <c r="AF285" s="944"/>
      <c r="AG285" s="944"/>
      <c r="AH285" s="944"/>
      <c r="AI285" s="944"/>
      <c r="AJ285" s="943"/>
      <c r="AK285" s="1026"/>
      <c r="AL285" s="1026"/>
      <c r="AM285" s="1026"/>
      <c r="AR285" s="1086"/>
    </row>
    <row r="286" spans="1:53" ht="15" customHeight="1">
      <c r="A286" s="1060"/>
      <c r="B286" s="944"/>
      <c r="C286" s="943"/>
      <c r="D286" s="944"/>
      <c r="E286" s="943"/>
      <c r="F286" s="3186"/>
      <c r="G286" s="3061"/>
      <c r="H286" s="3061"/>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61"/>
      <c r="AD286" s="3187"/>
      <c r="AE286" s="944"/>
      <c r="AF286" s="944"/>
      <c r="AG286" s="944"/>
      <c r="AH286" s="944"/>
      <c r="AI286" s="944"/>
      <c r="AJ286" s="943"/>
      <c r="AK286" s="1026"/>
      <c r="AL286" s="1026"/>
      <c r="AM286" s="1026"/>
      <c r="AR286" s="1086"/>
    </row>
    <row r="287" spans="1:53">
      <c r="A287" s="1060"/>
      <c r="B287" s="944"/>
      <c r="C287" s="943"/>
      <c r="D287" s="944"/>
      <c r="E287" s="943"/>
      <c r="F287" s="3186" t="s">
        <v>1656</v>
      </c>
      <c r="G287" s="3061"/>
      <c r="H287" s="3061"/>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61"/>
      <c r="AD287" s="318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6"/>
      <c r="G288" s="3061"/>
      <c r="H288" s="3061"/>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61"/>
      <c r="AD288" s="3187"/>
      <c r="AE288" s="944"/>
      <c r="AF288" s="944"/>
      <c r="AG288" s="944"/>
      <c r="AH288" s="944"/>
      <c r="AI288" s="944"/>
      <c r="AJ288" s="943"/>
      <c r="AK288" s="1026"/>
      <c r="AL288" s="1026"/>
      <c r="AM288" s="1026"/>
      <c r="AP288" s="1079"/>
      <c r="AQ288" s="968"/>
      <c r="AR288" s="1086"/>
    </row>
    <row r="289" spans="1:60">
      <c r="A289" s="1060"/>
      <c r="B289" s="944"/>
      <c r="C289" s="943"/>
      <c r="D289" s="944"/>
      <c r="E289" s="943"/>
      <c r="F289" s="3186" t="s">
        <v>1662</v>
      </c>
      <c r="G289" s="3061"/>
      <c r="H289" s="3061"/>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61"/>
      <c r="AD289" s="3187"/>
      <c r="AE289" s="944"/>
      <c r="AF289" s="944"/>
      <c r="AG289" s="944"/>
      <c r="AH289" s="944"/>
      <c r="AI289" s="944"/>
      <c r="AJ289" s="943"/>
      <c r="AK289" s="1026"/>
      <c r="AL289" s="1026"/>
      <c r="AM289" s="1026"/>
      <c r="AP289" s="1079"/>
      <c r="AQ289" s="968"/>
      <c r="AR289" s="1086"/>
    </row>
    <row r="290" spans="1:60">
      <c r="A290" s="1060"/>
      <c r="B290" s="944"/>
      <c r="C290" s="943"/>
      <c r="D290" s="944"/>
      <c r="E290" s="943"/>
      <c r="F290" s="3188"/>
      <c r="G290" s="3189"/>
      <c r="H290" s="3189"/>
      <c r="I290" s="3189"/>
      <c r="J290" s="3189"/>
      <c r="K290" s="3189"/>
      <c r="L290" s="3189"/>
      <c r="M290" s="3189"/>
      <c r="N290" s="3189"/>
      <c r="O290" s="3189"/>
      <c r="P290" s="3189"/>
      <c r="Q290" s="3189"/>
      <c r="R290" s="3189"/>
      <c r="S290" s="3189"/>
      <c r="T290" s="3189"/>
      <c r="U290" s="3189"/>
      <c r="V290" s="3189"/>
      <c r="W290" s="3189"/>
      <c r="X290" s="3189"/>
      <c r="Y290" s="3189"/>
      <c r="Z290" s="3189"/>
      <c r="AA290" s="3189"/>
      <c r="AB290" s="3189"/>
      <c r="AC290" s="3189"/>
      <c r="AD290" s="319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9" t="s">
        <v>1663</v>
      </c>
      <c r="B292" s="3169"/>
      <c r="C292" s="3057" t="s">
        <v>625</v>
      </c>
      <c r="D292" s="3057"/>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86" t="s">
        <v>1664</v>
      </c>
      <c r="G293" s="3061"/>
      <c r="H293" s="3061"/>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61"/>
      <c r="AD293" s="3187"/>
      <c r="AE293" s="944"/>
      <c r="AF293" s="944"/>
      <c r="AG293" s="1012"/>
      <c r="AH293" s="944"/>
      <c r="AI293" s="944"/>
      <c r="AJ293" s="943"/>
      <c r="AK293" s="1026"/>
      <c r="AL293" s="1026"/>
      <c r="AM293" s="1026"/>
      <c r="AN293" s="110"/>
      <c r="AO293" s="51"/>
      <c r="AP293" s="950" t="s">
        <v>1383</v>
      </c>
      <c r="AR293" s="21"/>
    </row>
    <row r="294" spans="1:60" s="21" customFormat="1">
      <c r="F294" s="3186"/>
      <c r="G294" s="3061"/>
      <c r="H294" s="3061"/>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61"/>
      <c r="AD294" s="3187"/>
      <c r="AE294" s="944"/>
      <c r="AF294" s="944"/>
      <c r="AH294" s="944"/>
      <c r="AI294" s="944"/>
      <c r="AJ294" s="1089"/>
      <c r="AK294" s="1060"/>
      <c r="AL294" s="1060"/>
      <c r="AM294" s="1060"/>
      <c r="AN294" s="1090"/>
      <c r="AP294" s="1091" t="s">
        <v>2225</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2227</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2380</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6" t="s">
        <v>1383</v>
      </c>
      <c r="G298" s="3177"/>
      <c r="H298" s="3177"/>
      <c r="I298" s="3177"/>
      <c r="J298" s="3177"/>
      <c r="K298" s="3177"/>
      <c r="L298" s="3177"/>
      <c r="M298" s="3177"/>
      <c r="N298" s="3177"/>
      <c r="O298" s="3177"/>
      <c r="P298" s="3177"/>
      <c r="Q298" s="3177"/>
      <c r="R298" s="3177"/>
      <c r="S298" s="3177"/>
      <c r="T298" s="3177"/>
      <c r="U298" s="3177"/>
      <c r="V298" s="3177"/>
      <c r="W298" s="3177"/>
      <c r="X298" s="3177"/>
      <c r="Y298" s="3177"/>
      <c r="Z298" s="3177"/>
      <c r="AA298" s="3177"/>
      <c r="AB298" s="3177"/>
      <c r="AC298" s="3177"/>
      <c r="AD298" s="317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6"/>
      <c r="G299" s="3177"/>
      <c r="H299" s="3177"/>
      <c r="I299" s="3177"/>
      <c r="J299" s="3177"/>
      <c r="K299" s="3177"/>
      <c r="L299" s="3177"/>
      <c r="M299" s="3177"/>
      <c r="N299" s="3177"/>
      <c r="O299" s="3177"/>
      <c r="P299" s="3177"/>
      <c r="Q299" s="3177"/>
      <c r="R299" s="3177"/>
      <c r="S299" s="3177"/>
      <c r="T299" s="3177"/>
      <c r="U299" s="3177"/>
      <c r="V299" s="3177"/>
      <c r="W299" s="3177"/>
      <c r="X299" s="3177"/>
      <c r="Y299" s="3177"/>
      <c r="Z299" s="3177"/>
      <c r="AA299" s="3177"/>
      <c r="AB299" s="3177"/>
      <c r="AC299" s="3177"/>
      <c r="AD299" s="317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6"/>
      <c r="G300" s="3177"/>
      <c r="H300" s="3177"/>
      <c r="I300" s="3177"/>
      <c r="J300" s="3177"/>
      <c r="K300" s="3177"/>
      <c r="L300" s="3177"/>
      <c r="M300" s="3177"/>
      <c r="N300" s="3177"/>
      <c r="O300" s="3177"/>
      <c r="P300" s="3177"/>
      <c r="Q300" s="3177"/>
      <c r="R300" s="3177"/>
      <c r="S300" s="3177"/>
      <c r="T300" s="3177"/>
      <c r="U300" s="3177"/>
      <c r="V300" s="3177"/>
      <c r="W300" s="3177"/>
      <c r="X300" s="3177"/>
      <c r="Y300" s="3177"/>
      <c r="Z300" s="3177"/>
      <c r="AA300" s="3177"/>
      <c r="AB300" s="3177"/>
      <c r="AC300" s="3177"/>
      <c r="AD300" s="317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6"/>
      <c r="G301" s="3177"/>
      <c r="H301" s="3177"/>
      <c r="I301" s="3177"/>
      <c r="J301" s="3177"/>
      <c r="K301" s="3177"/>
      <c r="L301" s="3177"/>
      <c r="M301" s="3177"/>
      <c r="N301" s="3177"/>
      <c r="O301" s="3177"/>
      <c r="P301" s="3177"/>
      <c r="Q301" s="3177"/>
      <c r="R301" s="3177"/>
      <c r="S301" s="3177"/>
      <c r="T301" s="3177"/>
      <c r="U301" s="3177"/>
      <c r="V301" s="3177"/>
      <c r="W301" s="3177"/>
      <c r="X301" s="3177"/>
      <c r="Y301" s="3177"/>
      <c r="Z301" s="3177"/>
      <c r="AA301" s="3177"/>
      <c r="AB301" s="3177"/>
      <c r="AC301" s="3177"/>
      <c r="AD301" s="317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9"/>
      <c r="G302" s="3180"/>
      <c r="H302" s="3180"/>
      <c r="I302" s="3180"/>
      <c r="J302" s="3180"/>
      <c r="K302" s="3180"/>
      <c r="L302" s="3180"/>
      <c r="M302" s="3180"/>
      <c r="N302" s="3180"/>
      <c r="O302" s="3180"/>
      <c r="P302" s="3180"/>
      <c r="Q302" s="3180"/>
      <c r="R302" s="3180"/>
      <c r="S302" s="3180"/>
      <c r="T302" s="3180"/>
      <c r="U302" s="3180"/>
      <c r="V302" s="3180"/>
      <c r="W302" s="3180"/>
      <c r="X302" s="3180"/>
      <c r="Y302" s="3180"/>
      <c r="Z302" s="3180"/>
      <c r="AA302" s="3180"/>
      <c r="AB302" s="3180"/>
      <c r="AC302" s="3180"/>
      <c r="AD302" s="318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2226</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82" t="s">
        <v>1383</v>
      </c>
      <c r="J306" s="3182"/>
      <c r="K306" s="3182"/>
      <c r="L306" s="3182"/>
      <c r="M306" s="3182"/>
      <c r="N306" s="3182"/>
      <c r="O306" s="3182"/>
      <c r="P306" s="3182"/>
      <c r="Q306" s="3182"/>
      <c r="R306" s="3182"/>
      <c r="S306" s="3182"/>
      <c r="T306" s="3182"/>
      <c r="U306" s="3182"/>
      <c r="V306" s="3182"/>
      <c r="W306" s="3182"/>
      <c r="X306" s="3182"/>
      <c r="Y306" s="3182"/>
      <c r="Z306" s="3182"/>
      <c r="AA306" s="3182"/>
      <c r="AB306" s="3182"/>
      <c r="AC306" s="3182"/>
      <c r="AD306" s="3183"/>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82"/>
      <c r="J307" s="3182"/>
      <c r="K307" s="3182"/>
      <c r="L307" s="3182"/>
      <c r="M307" s="3182"/>
      <c r="N307" s="3182"/>
      <c r="O307" s="3182"/>
      <c r="P307" s="3182"/>
      <c r="Q307" s="3182"/>
      <c r="R307" s="3182"/>
      <c r="S307" s="3182"/>
      <c r="T307" s="3182"/>
      <c r="U307" s="3182"/>
      <c r="V307" s="3182"/>
      <c r="W307" s="3182"/>
      <c r="X307" s="3182"/>
      <c r="Y307" s="3182"/>
      <c r="Z307" s="3182"/>
      <c r="AA307" s="3182"/>
      <c r="AB307" s="3182"/>
      <c r="AC307" s="3182"/>
      <c r="AD307" s="3183"/>
      <c r="AE307" s="944"/>
      <c r="AF307" s="944"/>
      <c r="AG307" s="986"/>
      <c r="AH307" s="944"/>
      <c r="AI307" s="944"/>
      <c r="AJ307" s="943"/>
      <c r="AK307" s="1026"/>
      <c r="AL307" s="1026"/>
      <c r="AM307" s="1026"/>
      <c r="AN307" s="110"/>
      <c r="AO307" s="51"/>
      <c r="AP307" s="950" t="s">
        <v>2228</v>
      </c>
      <c r="AR307" s="21"/>
    </row>
    <row r="308" spans="1:60">
      <c r="A308" s="1060"/>
      <c r="B308" s="944"/>
      <c r="C308" s="1093"/>
      <c r="D308" s="1093"/>
      <c r="E308" s="940"/>
      <c r="F308" s="1098"/>
      <c r="G308" s="969"/>
      <c r="H308" s="969"/>
      <c r="I308" s="3182"/>
      <c r="J308" s="3182"/>
      <c r="K308" s="3182"/>
      <c r="L308" s="3182"/>
      <c r="M308" s="3182"/>
      <c r="N308" s="3182"/>
      <c r="O308" s="3182"/>
      <c r="P308" s="3182"/>
      <c r="Q308" s="3182"/>
      <c r="R308" s="3182"/>
      <c r="S308" s="3182"/>
      <c r="T308" s="3182"/>
      <c r="U308" s="3182"/>
      <c r="V308" s="3182"/>
      <c r="W308" s="3182"/>
      <c r="X308" s="3182"/>
      <c r="Y308" s="3182"/>
      <c r="Z308" s="3182"/>
      <c r="AA308" s="3182"/>
      <c r="AB308" s="3182"/>
      <c r="AC308" s="3182"/>
      <c r="AD308" s="3183"/>
      <c r="AE308" s="944"/>
      <c r="AF308" s="944"/>
      <c r="AG308" s="986"/>
      <c r="AH308" s="944"/>
      <c r="AI308" s="944"/>
      <c r="AJ308" s="943"/>
      <c r="AK308" s="1026"/>
      <c r="AL308" s="1026"/>
      <c r="AM308" s="1026"/>
      <c r="AN308" s="110"/>
      <c r="AO308" s="51"/>
      <c r="AP308" s="950" t="s">
        <v>2230</v>
      </c>
      <c r="AR308" s="21"/>
    </row>
    <row r="309" spans="1:60">
      <c r="A309" s="1060"/>
      <c r="B309" s="944"/>
      <c r="C309" s="1093"/>
      <c r="D309" s="1093"/>
      <c r="E309" s="940"/>
      <c r="F309" s="1096"/>
      <c r="G309" s="944"/>
      <c r="H309" s="944"/>
      <c r="I309" s="3184"/>
      <c r="J309" s="3184"/>
      <c r="K309" s="3184"/>
      <c r="L309" s="3184"/>
      <c r="M309" s="3184"/>
      <c r="N309" s="3184"/>
      <c r="O309" s="3184"/>
      <c r="P309" s="3184"/>
      <c r="Q309" s="3184"/>
      <c r="R309" s="3184"/>
      <c r="S309" s="3184"/>
      <c r="T309" s="3184"/>
      <c r="U309" s="3184"/>
      <c r="V309" s="3184"/>
      <c r="W309" s="3184"/>
      <c r="X309" s="3184"/>
      <c r="Y309" s="3184"/>
      <c r="Z309" s="3184"/>
      <c r="AA309" s="3184"/>
      <c r="AB309" s="3184"/>
      <c r="AC309" s="3184"/>
      <c r="AD309" s="3185"/>
      <c r="AE309" s="944"/>
      <c r="AF309" s="944"/>
      <c r="AG309" s="986"/>
      <c r="AH309" s="944"/>
      <c r="AI309" s="944"/>
      <c r="AJ309" s="943"/>
      <c r="AK309" s="1026"/>
      <c r="AL309" s="1026"/>
      <c r="AM309" s="1026"/>
      <c r="AN309" s="110"/>
      <c r="AO309" s="51"/>
      <c r="AP309" s="950" t="s">
        <v>2229</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82" t="s">
        <v>1383</v>
      </c>
      <c r="J311" s="3182"/>
      <c r="K311" s="3182"/>
      <c r="L311" s="3182"/>
      <c r="M311" s="3182"/>
      <c r="N311" s="3182"/>
      <c r="O311" s="3182"/>
      <c r="P311" s="3182"/>
      <c r="Q311" s="3182"/>
      <c r="R311" s="3182"/>
      <c r="S311" s="3182"/>
      <c r="T311" s="3182"/>
      <c r="U311" s="3182"/>
      <c r="V311" s="3182"/>
      <c r="W311" s="3182"/>
      <c r="X311" s="3182"/>
      <c r="Y311" s="3182"/>
      <c r="Z311" s="3182"/>
      <c r="AA311" s="3182"/>
      <c r="AB311" s="3182"/>
      <c r="AC311" s="3182"/>
      <c r="AD311" s="318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82"/>
      <c r="J312" s="3182"/>
      <c r="K312" s="3182"/>
      <c r="L312" s="3182"/>
      <c r="M312" s="3182"/>
      <c r="N312" s="3182"/>
      <c r="O312" s="3182"/>
      <c r="P312" s="3182"/>
      <c r="Q312" s="3182"/>
      <c r="R312" s="3182"/>
      <c r="S312" s="3182"/>
      <c r="T312" s="3182"/>
      <c r="U312" s="3182"/>
      <c r="V312" s="3182"/>
      <c r="W312" s="3182"/>
      <c r="X312" s="3182"/>
      <c r="Y312" s="3182"/>
      <c r="Z312" s="3182"/>
      <c r="AA312" s="3182"/>
      <c r="AB312" s="3182"/>
      <c r="AC312" s="3182"/>
      <c r="AD312" s="3183"/>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84"/>
      <c r="J313" s="3184"/>
      <c r="K313" s="3184"/>
      <c r="L313" s="3184"/>
      <c r="M313" s="3184"/>
      <c r="N313" s="3184"/>
      <c r="O313" s="3184"/>
      <c r="P313" s="3184"/>
      <c r="Q313" s="3184"/>
      <c r="R313" s="3184"/>
      <c r="S313" s="3184"/>
      <c r="T313" s="3184"/>
      <c r="U313" s="3184"/>
      <c r="V313" s="3184"/>
      <c r="W313" s="3184"/>
      <c r="X313" s="3184"/>
      <c r="Y313" s="3184"/>
      <c r="Z313" s="3184"/>
      <c r="AA313" s="3184"/>
      <c r="AB313" s="3184"/>
      <c r="AC313" s="3184"/>
      <c r="AD313" s="3185"/>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9" t="s">
        <v>1667</v>
      </c>
      <c r="B315" s="3169"/>
      <c r="C315" s="3057" t="s">
        <v>625</v>
      </c>
      <c r="D315" s="3057"/>
      <c r="E315" s="940"/>
      <c r="F315" s="3170" t="s">
        <v>1668</v>
      </c>
      <c r="G315" s="3171"/>
      <c r="H315" s="3171"/>
      <c r="I315" s="3171"/>
      <c r="J315" s="3171"/>
      <c r="K315" s="3171"/>
      <c r="L315" s="3171"/>
      <c r="M315" s="3171"/>
      <c r="N315" s="3171"/>
      <c r="O315" s="3171"/>
      <c r="P315" s="3171"/>
      <c r="Q315" s="3171"/>
      <c r="R315" s="3171"/>
      <c r="S315" s="3171"/>
      <c r="T315" s="3171"/>
      <c r="U315" s="3171"/>
      <c r="V315" s="3171"/>
      <c r="W315" s="3171"/>
      <c r="X315" s="3171"/>
      <c r="Y315" s="3171"/>
      <c r="Z315" s="3171"/>
      <c r="AA315" s="3171"/>
      <c r="AB315" s="3171"/>
      <c r="AC315" s="3171"/>
      <c r="AD315" s="3172"/>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73"/>
      <c r="G316" s="3174"/>
      <c r="H316" s="3174"/>
      <c r="I316" s="3174"/>
      <c r="J316" s="3174"/>
      <c r="K316" s="3174"/>
      <c r="L316" s="3174"/>
      <c r="M316" s="3174"/>
      <c r="N316" s="3174"/>
      <c r="O316" s="3174"/>
      <c r="P316" s="3174"/>
      <c r="Q316" s="3174"/>
      <c r="R316" s="3174"/>
      <c r="S316" s="3174"/>
      <c r="T316" s="3174"/>
      <c r="U316" s="3174"/>
      <c r="V316" s="3174"/>
      <c r="W316" s="3174"/>
      <c r="X316" s="3174"/>
      <c r="Y316" s="3174"/>
      <c r="Z316" s="3174"/>
      <c r="AA316" s="3174"/>
      <c r="AB316" s="3174"/>
      <c r="AC316" s="3174"/>
      <c r="AD316" s="3175"/>
      <c r="AE316" s="944"/>
      <c r="AF316" s="944"/>
      <c r="AG316" s="944"/>
      <c r="AH316" s="944"/>
      <c r="AI316" s="944"/>
      <c r="AJ316" s="943"/>
      <c r="AK316" s="1026"/>
      <c r="AL316" s="1026"/>
      <c r="AM316" s="1026"/>
      <c r="AN316" s="110"/>
      <c r="AO316" s="51"/>
    </row>
    <row r="317" spans="1:60" ht="15" customHeight="1">
      <c r="A317" s="1060"/>
      <c r="B317" s="944"/>
      <c r="C317" s="944"/>
      <c r="D317" s="944"/>
      <c r="E317" s="944"/>
      <c r="F317" s="3173"/>
      <c r="G317" s="3174"/>
      <c r="H317" s="3174"/>
      <c r="I317" s="3174"/>
      <c r="J317" s="3174"/>
      <c r="K317" s="3174"/>
      <c r="L317" s="3174"/>
      <c r="M317" s="3174"/>
      <c r="N317" s="3174"/>
      <c r="O317" s="3174"/>
      <c r="P317" s="3174"/>
      <c r="Q317" s="3174"/>
      <c r="R317" s="3174"/>
      <c r="S317" s="3174"/>
      <c r="T317" s="3174"/>
      <c r="U317" s="3174"/>
      <c r="V317" s="3174"/>
      <c r="W317" s="3174"/>
      <c r="X317" s="3174"/>
      <c r="Y317" s="3174"/>
      <c r="Z317" s="3174"/>
      <c r="AA317" s="3174"/>
      <c r="AB317" s="3174"/>
      <c r="AC317" s="3174"/>
      <c r="AD317" s="317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43">
        <f>AP279</f>
        <v>20</v>
      </c>
      <c r="AL320" s="3044"/>
      <c r="AM320" s="304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5" t="s">
        <v>1584</v>
      </c>
      <c r="AF323" s="3125"/>
      <c r="AG323" s="3125"/>
      <c r="AH323" s="3125"/>
      <c r="AI323" s="3125"/>
      <c r="AJ323" s="3125"/>
      <c r="AK323" s="312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61" t="s">
        <v>2188</v>
      </c>
      <c r="C325" s="3061"/>
      <c r="D325" s="3061"/>
      <c r="E325" s="3061"/>
      <c r="F325" s="3061"/>
      <c r="G325" s="3061"/>
      <c r="H325" s="3061"/>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61"/>
      <c r="AD325" s="3061"/>
      <c r="AE325" s="3061"/>
      <c r="AF325" s="3061"/>
      <c r="AG325" s="3061"/>
      <c r="AH325" s="3061"/>
      <c r="AI325" s="3061"/>
      <c r="AJ325" s="3061"/>
      <c r="AK325" s="1078"/>
      <c r="AL325" s="967"/>
      <c r="AM325" s="1027"/>
      <c r="AN325" s="1000"/>
    </row>
    <row r="326" spans="1:42" s="943" customFormat="1" ht="12.75" customHeight="1">
      <c r="A326" s="1027"/>
      <c r="B326" s="3061"/>
      <c r="C326" s="3061"/>
      <c r="D326" s="3061"/>
      <c r="E326" s="3061"/>
      <c r="F326" s="3061"/>
      <c r="G326" s="3061"/>
      <c r="H326" s="3061"/>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61"/>
      <c r="AD326" s="3061"/>
      <c r="AE326" s="3061"/>
      <c r="AF326" s="3061"/>
      <c r="AG326" s="3061"/>
      <c r="AH326" s="3061"/>
      <c r="AI326" s="3061"/>
      <c r="AJ326" s="3061"/>
      <c r="AK326" s="1078"/>
      <c r="AL326" s="967"/>
      <c r="AM326" s="1027"/>
      <c r="AN326" s="1000"/>
    </row>
    <row r="327" spans="1:42" s="943" customFormat="1" ht="12.75" customHeight="1">
      <c r="A327" s="1027"/>
      <c r="B327" s="3061"/>
      <c r="C327" s="3061"/>
      <c r="D327" s="3061"/>
      <c r="E327" s="3061"/>
      <c r="F327" s="3061"/>
      <c r="G327" s="3061"/>
      <c r="H327" s="3061"/>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61"/>
      <c r="AD327" s="3061"/>
      <c r="AE327" s="3061"/>
      <c r="AF327" s="3061"/>
      <c r="AG327" s="3061"/>
      <c r="AH327" s="3061"/>
      <c r="AI327" s="3061"/>
      <c r="AJ327" s="3061"/>
      <c r="AK327" s="1078"/>
      <c r="AL327" s="967"/>
      <c r="AM327" s="1027"/>
      <c r="AN327" s="1000"/>
    </row>
    <row r="328" spans="1:42" s="943" customFormat="1" ht="12.75" customHeight="1">
      <c r="A328" s="1027"/>
      <c r="B328" s="3061"/>
      <c r="C328" s="3061"/>
      <c r="D328" s="3061"/>
      <c r="E328" s="3061"/>
      <c r="F328" s="3061"/>
      <c r="G328" s="3061"/>
      <c r="H328" s="3061"/>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61"/>
      <c r="AD328" s="3061"/>
      <c r="AE328" s="3061"/>
      <c r="AF328" s="3061"/>
      <c r="AG328" s="3061"/>
      <c r="AH328" s="3061"/>
      <c r="AI328" s="3061"/>
      <c r="AJ328" s="3061"/>
      <c r="AK328" s="1078"/>
      <c r="AL328" s="967"/>
      <c r="AM328" s="1027"/>
      <c r="AN328" s="1000"/>
    </row>
    <row r="329" spans="1:42" s="943" customFormat="1" ht="12.75" customHeight="1">
      <c r="A329" s="1027"/>
      <c r="B329" s="3061"/>
      <c r="C329" s="3061"/>
      <c r="D329" s="3061"/>
      <c r="E329" s="3061"/>
      <c r="F329" s="3061"/>
      <c r="G329" s="3061"/>
      <c r="H329" s="3061"/>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61"/>
      <c r="AD329" s="3061"/>
      <c r="AE329" s="3061"/>
      <c r="AF329" s="3061"/>
      <c r="AG329" s="3061"/>
      <c r="AH329" s="3061"/>
      <c r="AI329" s="3061"/>
      <c r="AJ329" s="3061"/>
      <c r="AK329" s="1078"/>
      <c r="AL329" s="967"/>
      <c r="AM329" s="1027"/>
      <c r="AN329" s="1000"/>
    </row>
    <row r="330" spans="1:42" s="943" customFormat="1" ht="12.75" customHeight="1">
      <c r="A330" s="1027"/>
      <c r="B330" s="3061"/>
      <c r="C330" s="3061"/>
      <c r="D330" s="3061"/>
      <c r="E330" s="3061"/>
      <c r="F330" s="3061"/>
      <c r="G330" s="3061"/>
      <c r="H330" s="3061"/>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61"/>
      <c r="AD330" s="3061"/>
      <c r="AE330" s="3061"/>
      <c r="AF330" s="3061"/>
      <c r="AG330" s="3061"/>
      <c r="AH330" s="3061"/>
      <c r="AI330" s="3061"/>
      <c r="AJ330" s="3061"/>
      <c r="AK330" s="1078"/>
      <c r="AL330" s="967"/>
      <c r="AM330" s="1027"/>
      <c r="AN330" s="1000"/>
    </row>
    <row r="331" spans="1:42" s="943" customFormat="1" ht="12.75" customHeight="1">
      <c r="A331" s="1027"/>
      <c r="B331" s="3061"/>
      <c r="C331" s="3061"/>
      <c r="D331" s="3061"/>
      <c r="E331" s="3061"/>
      <c r="F331" s="3061"/>
      <c r="G331" s="3061"/>
      <c r="H331" s="3061"/>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61"/>
      <c r="AD331" s="3061"/>
      <c r="AE331" s="3061"/>
      <c r="AF331" s="3061"/>
      <c r="AG331" s="3061"/>
      <c r="AH331" s="3061"/>
      <c r="AI331" s="3061"/>
      <c r="AJ331" s="3061"/>
      <c r="AK331" s="1078"/>
      <c r="AL331" s="967"/>
      <c r="AM331" s="1027"/>
      <c r="AN331" s="1000"/>
    </row>
    <row r="332" spans="1:42" ht="12.75" customHeight="1">
      <c r="A332" s="1027"/>
      <c r="B332" s="3061"/>
      <c r="C332" s="3061"/>
      <c r="D332" s="3061"/>
      <c r="E332" s="3061"/>
      <c r="F332" s="3061"/>
      <c r="G332" s="3061"/>
      <c r="H332" s="3061"/>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61"/>
      <c r="AD332" s="3061"/>
      <c r="AE332" s="3061"/>
      <c r="AF332" s="3061"/>
      <c r="AG332" s="3061"/>
      <c r="AH332" s="3061"/>
      <c r="AI332" s="3061"/>
      <c r="AJ332" s="3061"/>
      <c r="AK332" s="1078"/>
      <c r="AL332" s="967"/>
      <c r="AM332" s="1027"/>
    </row>
    <row r="333" spans="1:42" s="943" customFormat="1" ht="12.75" customHeight="1">
      <c r="A333" s="1060"/>
      <c r="B333" s="3061"/>
      <c r="C333" s="3061"/>
      <c r="D333" s="3061"/>
      <c r="E333" s="3061"/>
      <c r="F333" s="3061"/>
      <c r="G333" s="3061"/>
      <c r="H333" s="3061"/>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61"/>
      <c r="AD333" s="3061"/>
      <c r="AE333" s="3061"/>
      <c r="AF333" s="3061"/>
      <c r="AG333" s="3061"/>
      <c r="AH333" s="3061"/>
      <c r="AI333" s="3061"/>
      <c r="AJ333" s="306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2193</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60" t="s">
        <v>1608</v>
      </c>
      <c r="AG339" s="3160"/>
      <c r="AH339" s="3160"/>
      <c r="AI339" s="3160"/>
      <c r="AJ339" s="3160"/>
      <c r="AK339" s="3160"/>
      <c r="AL339" s="3160"/>
      <c r="AM339" s="1026"/>
      <c r="AN339" s="1000"/>
    </row>
    <row r="340" spans="1:42" s="943" customFormat="1" ht="12.75" customHeight="1">
      <c r="A340" s="1026"/>
      <c r="B340" s="1006"/>
      <c r="C340" s="1035"/>
      <c r="D340" s="1106"/>
      <c r="E340" s="1636" t="s">
        <v>2194</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2195</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2196</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2197</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2198</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2199</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60" t="s">
        <v>1674</v>
      </c>
      <c r="AG346" s="3160"/>
      <c r="AH346" s="3160"/>
      <c r="AI346" s="3160"/>
      <c r="AJ346" s="3160"/>
      <c r="AK346" s="3160"/>
      <c r="AL346" s="3160"/>
      <c r="AM346" s="1026"/>
      <c r="AN346" s="1000"/>
    </row>
    <row r="347" spans="1:42" s="943" customFormat="1" ht="12.75" customHeight="1">
      <c r="A347" s="1060"/>
      <c r="B347" s="1023"/>
      <c r="C347" s="1639"/>
      <c r="D347" s="1106"/>
      <c r="E347" s="1636" t="s">
        <v>2200</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2201</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2203</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2202</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2204</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60" t="s">
        <v>1648</v>
      </c>
      <c r="AG352" s="3160"/>
      <c r="AH352" s="3160"/>
      <c r="AI352" s="3160"/>
      <c r="AJ352" s="3160"/>
      <c r="AK352" s="3160"/>
      <c r="AL352" s="3160"/>
      <c r="AM352" s="1026"/>
      <c r="AN352" s="1000"/>
      <c r="AO352" s="1118" t="s">
        <v>1676</v>
      </c>
      <c r="AP352" s="943">
        <v>3</v>
      </c>
    </row>
    <row r="353" spans="1:53" s="943" customFormat="1" ht="12.75" customHeight="1">
      <c r="A353" s="1060"/>
      <c r="B353" s="1023"/>
      <c r="C353" s="1639"/>
      <c r="D353" s="1106"/>
      <c r="E353" s="1636" t="s">
        <v>2200</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2201</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2203</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2202</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2205</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60" t="s">
        <v>1677</v>
      </c>
      <c r="AG358" s="3160"/>
      <c r="AH358" s="3160"/>
      <c r="AI358" s="3160"/>
      <c r="AJ358" s="3160"/>
      <c r="AK358" s="3160"/>
      <c r="AL358" s="3160"/>
      <c r="AM358" s="1026"/>
      <c r="AN358" s="1000"/>
      <c r="AO358" s="943" t="str">
        <f>X395</f>
        <v>N/A</v>
      </c>
    </row>
    <row r="359" spans="1:53" s="943" customFormat="1" ht="12.75" customHeight="1">
      <c r="A359" s="1060"/>
      <c r="B359" s="1023"/>
      <c r="C359" s="1639"/>
      <c r="D359" s="1106"/>
      <c r="E359" s="1636" t="s">
        <v>2206</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2207</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2392</v>
      </c>
      <c r="O362" s="3168" t="s">
        <v>1383</v>
      </c>
      <c r="P362" s="3168"/>
      <c r="Q362" s="3168"/>
      <c r="R362" s="3168"/>
      <c r="S362" s="3168"/>
      <c r="T362" s="3168"/>
      <c r="U362" s="3168"/>
      <c r="V362" s="3168"/>
      <c r="W362" s="3168"/>
      <c r="X362" s="3168"/>
      <c r="Y362" s="3168"/>
      <c r="Z362" s="3168"/>
      <c r="AA362" s="3168"/>
      <c r="AB362" s="316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2209</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60" t="s">
        <v>1622</v>
      </c>
      <c r="AG364" s="3160"/>
      <c r="AH364" s="3160"/>
      <c r="AI364" s="3160"/>
      <c r="AJ364" s="3160"/>
      <c r="AK364" s="3160"/>
      <c r="AL364" s="3160"/>
      <c r="AM364" s="1026"/>
      <c r="AN364" s="1001"/>
    </row>
    <row r="365" spans="1:53" s="943" customFormat="1" ht="12.75" customHeight="1">
      <c r="A365" s="1060"/>
      <c r="B365" s="1006"/>
      <c r="C365" s="1637"/>
      <c r="D365" s="1106"/>
      <c r="E365" s="1636" t="s">
        <v>2208</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60" t="s">
        <v>625</v>
      </c>
      <c r="I367" s="306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2210</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2211</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2212</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2213</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67" t="s">
        <v>625</v>
      </c>
      <c r="J375" s="3167"/>
      <c r="K375" s="3167"/>
      <c r="L375" s="3167"/>
      <c r="M375" s="3167"/>
      <c r="N375" s="3167"/>
      <c r="O375" s="3167"/>
      <c r="P375" s="3167"/>
      <c r="Q375" s="3167"/>
      <c r="R375" s="3167"/>
      <c r="S375" s="3167"/>
      <c r="T375" s="3167"/>
      <c r="U375" s="3167"/>
      <c r="V375" s="3167"/>
      <c r="W375" s="3167"/>
      <c r="X375" s="3167"/>
      <c r="Y375" s="3167"/>
      <c r="Z375" s="3167"/>
      <c r="AA375" s="3167"/>
      <c r="AB375" s="3167"/>
      <c r="AC375" s="3167"/>
      <c r="AD375" s="3167"/>
      <c r="AE375" s="3167"/>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65" t="s">
        <v>625</v>
      </c>
      <c r="C377" s="3165"/>
      <c r="D377" s="1644"/>
      <c r="E377" s="3061" t="s">
        <v>1681</v>
      </c>
      <c r="F377" s="3061"/>
      <c r="G377" s="3061"/>
      <c r="H377" s="3061"/>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61"/>
      <c r="AD377" s="3061"/>
      <c r="AE377" s="3061"/>
      <c r="AF377" s="3061"/>
      <c r="AG377" s="3061"/>
      <c r="AH377" s="1644"/>
      <c r="AI377" s="1644"/>
      <c r="AJ377" s="1644"/>
      <c r="AK377" s="1644"/>
      <c r="AL377" s="1644"/>
      <c r="AN377" s="1000"/>
    </row>
    <row r="378" spans="1:46" s="943" customFormat="1" ht="12.75" customHeight="1">
      <c r="A378" s="1060"/>
      <c r="B378" s="1023"/>
      <c r="C378" s="1639"/>
      <c r="D378" s="1644"/>
      <c r="E378" s="3061"/>
      <c r="F378" s="3061"/>
      <c r="G378" s="3061"/>
      <c r="H378" s="3061"/>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61"/>
      <c r="AD378" s="3061"/>
      <c r="AE378" s="3061"/>
      <c r="AF378" s="3061"/>
      <c r="AG378" s="3061"/>
      <c r="AH378" s="1644"/>
      <c r="AI378" s="1644"/>
      <c r="AJ378" s="1644"/>
      <c r="AK378" s="1644"/>
      <c r="AL378" s="1644"/>
      <c r="AN378" s="1000"/>
    </row>
    <row r="379" spans="1:46" s="943" customFormat="1" ht="12.75" customHeight="1">
      <c r="A379" s="1060"/>
      <c r="B379" s="1023"/>
      <c r="C379" s="1639"/>
      <c r="D379" s="1644"/>
      <c r="E379" s="3061"/>
      <c r="F379" s="3061"/>
      <c r="G379" s="3061"/>
      <c r="H379" s="3061"/>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61"/>
      <c r="AD379" s="3061"/>
      <c r="AE379" s="3061"/>
      <c r="AF379" s="3061"/>
      <c r="AG379" s="3061"/>
      <c r="AH379" s="1644"/>
      <c r="AI379" s="1644"/>
      <c r="AJ379" s="1644"/>
      <c r="AK379" s="1644"/>
      <c r="AL379" s="1644"/>
      <c r="AN379" s="1000"/>
    </row>
    <row r="380" spans="1:46" s="943" customFormat="1" ht="12.75" customHeight="1">
      <c r="A380" s="1060"/>
      <c r="B380" s="1023"/>
      <c r="C380" s="1639"/>
      <c r="D380" s="1646"/>
      <c r="E380" s="3061"/>
      <c r="F380" s="3061"/>
      <c r="G380" s="3061"/>
      <c r="H380" s="3061"/>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61"/>
      <c r="AD380" s="3061"/>
      <c r="AE380" s="3061"/>
      <c r="AF380" s="3061"/>
      <c r="AG380" s="306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43">
        <f>VLOOKUP($H$367,$AO$347:$AP$352,2,FALSE)+VLOOKUP($I$375,$AO$374:$AP$376,2,FALSE)</f>
        <v>0</v>
      </c>
      <c r="AK382" s="304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66" t="s">
        <v>2189</v>
      </c>
      <c r="F386" s="3166"/>
      <c r="G386" s="3166"/>
      <c r="H386" s="3166"/>
      <c r="I386" s="3166"/>
      <c r="J386" s="3166"/>
      <c r="K386" s="3166"/>
      <c r="L386" s="3166"/>
      <c r="M386" s="3166"/>
      <c r="N386" s="3166"/>
      <c r="O386" s="3166"/>
      <c r="P386" s="3166"/>
      <c r="Q386" s="3166"/>
      <c r="R386" s="3166"/>
      <c r="S386" s="3166"/>
      <c r="T386" s="3166"/>
      <c r="U386" s="3166"/>
      <c r="V386" s="3166"/>
      <c r="W386" s="3166"/>
      <c r="X386" s="3166"/>
      <c r="Y386" s="3166"/>
      <c r="Z386" s="3166"/>
      <c r="AA386" s="3166"/>
      <c r="AB386" s="3166"/>
      <c r="AC386" s="3166"/>
      <c r="AD386" s="3166"/>
      <c r="AE386" s="932"/>
      <c r="AF386" s="3160" t="s">
        <v>1622</v>
      </c>
      <c r="AG386" s="3160"/>
      <c r="AH386" s="3160"/>
      <c r="AI386" s="3160"/>
      <c r="AJ386" s="3160"/>
      <c r="AK386" s="3160"/>
      <c r="AL386" s="3160"/>
      <c r="AM386" s="1026"/>
      <c r="AN386" s="1125"/>
    </row>
    <row r="387" spans="1:42" s="943" customFormat="1" ht="12.75" customHeight="1">
      <c r="A387" s="1126"/>
      <c r="B387" s="1023"/>
      <c r="C387" s="1639"/>
      <c r="D387" s="1106"/>
      <c r="E387" s="3166"/>
      <c r="F387" s="3166"/>
      <c r="G387" s="3166"/>
      <c r="H387" s="3166"/>
      <c r="I387" s="3166"/>
      <c r="J387" s="3166"/>
      <c r="K387" s="3166"/>
      <c r="L387" s="3166"/>
      <c r="M387" s="3166"/>
      <c r="N387" s="3166"/>
      <c r="O387" s="3166"/>
      <c r="P387" s="3166"/>
      <c r="Q387" s="3166"/>
      <c r="R387" s="3166"/>
      <c r="S387" s="3166"/>
      <c r="T387" s="3166"/>
      <c r="U387" s="3166"/>
      <c r="V387" s="3166"/>
      <c r="W387" s="3166"/>
      <c r="X387" s="3166"/>
      <c r="Y387" s="3166"/>
      <c r="Z387" s="3166"/>
      <c r="AA387" s="3166"/>
      <c r="AB387" s="3166"/>
      <c r="AC387" s="3166"/>
      <c r="AD387" s="316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6"/>
      <c r="F388" s="3166"/>
      <c r="G388" s="3166"/>
      <c r="H388" s="3166"/>
      <c r="I388" s="3166"/>
      <c r="J388" s="3166"/>
      <c r="K388" s="3166"/>
      <c r="L388" s="3166"/>
      <c r="M388" s="3166"/>
      <c r="N388" s="3166"/>
      <c r="O388" s="3166"/>
      <c r="P388" s="3166"/>
      <c r="Q388" s="3166"/>
      <c r="R388" s="3166"/>
      <c r="S388" s="3166"/>
      <c r="T388" s="3166"/>
      <c r="U388" s="3166"/>
      <c r="V388" s="3166"/>
      <c r="W388" s="3166"/>
      <c r="X388" s="3166"/>
      <c r="Y388" s="3166"/>
      <c r="Z388" s="3166"/>
      <c r="AA388" s="3166"/>
      <c r="AB388" s="3166"/>
      <c r="AC388" s="3166"/>
      <c r="AD388" s="316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6"/>
      <c r="F389" s="3166"/>
      <c r="G389" s="3166"/>
      <c r="H389" s="3166"/>
      <c r="I389" s="3166"/>
      <c r="J389" s="3166"/>
      <c r="K389" s="3166"/>
      <c r="L389" s="3166"/>
      <c r="M389" s="3166"/>
      <c r="N389" s="3166"/>
      <c r="O389" s="3166"/>
      <c r="P389" s="3166"/>
      <c r="Q389" s="3166"/>
      <c r="R389" s="3166"/>
      <c r="S389" s="3166"/>
      <c r="T389" s="3166"/>
      <c r="U389" s="3166"/>
      <c r="V389" s="3166"/>
      <c r="W389" s="3166"/>
      <c r="X389" s="3166"/>
      <c r="Y389" s="3166"/>
      <c r="Z389" s="3166"/>
      <c r="AA389" s="3166"/>
      <c r="AB389" s="3166"/>
      <c r="AC389" s="3166"/>
      <c r="AD389" s="316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6"/>
      <c r="F390" s="3166"/>
      <c r="G390" s="3166"/>
      <c r="H390" s="3166"/>
      <c r="I390" s="3166"/>
      <c r="J390" s="3166"/>
      <c r="K390" s="3166"/>
      <c r="L390" s="3166"/>
      <c r="M390" s="3166"/>
      <c r="N390" s="3166"/>
      <c r="O390" s="3166"/>
      <c r="P390" s="3166"/>
      <c r="Q390" s="3166"/>
      <c r="R390" s="3166"/>
      <c r="S390" s="3166"/>
      <c r="T390" s="3166"/>
      <c r="U390" s="3166"/>
      <c r="V390" s="3166"/>
      <c r="W390" s="3166"/>
      <c r="X390" s="3166"/>
      <c r="Y390" s="3166"/>
      <c r="Z390" s="3166"/>
      <c r="AA390" s="3166"/>
      <c r="AB390" s="3166"/>
      <c r="AC390" s="3166"/>
      <c r="AD390" s="316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6"/>
      <c r="F391" s="3166"/>
      <c r="G391" s="3166"/>
      <c r="H391" s="3166"/>
      <c r="I391" s="3166"/>
      <c r="J391" s="3166"/>
      <c r="K391" s="3166"/>
      <c r="L391" s="3166"/>
      <c r="M391" s="3166"/>
      <c r="N391" s="3166"/>
      <c r="O391" s="3166"/>
      <c r="P391" s="3166"/>
      <c r="Q391" s="3166"/>
      <c r="R391" s="3166"/>
      <c r="S391" s="3166"/>
      <c r="T391" s="3166"/>
      <c r="U391" s="3166"/>
      <c r="V391" s="3166"/>
      <c r="W391" s="3166"/>
      <c r="X391" s="3166"/>
      <c r="Y391" s="3166"/>
      <c r="Z391" s="3166"/>
      <c r="AA391" s="3166"/>
      <c r="AB391" s="3166"/>
      <c r="AC391" s="3166"/>
      <c r="AD391" s="316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6"/>
      <c r="F392" s="3166"/>
      <c r="G392" s="3166"/>
      <c r="H392" s="3166"/>
      <c r="I392" s="3166"/>
      <c r="J392" s="3166"/>
      <c r="K392" s="3166"/>
      <c r="L392" s="3166"/>
      <c r="M392" s="3166"/>
      <c r="N392" s="3166"/>
      <c r="O392" s="3166"/>
      <c r="P392" s="3166"/>
      <c r="Q392" s="3166"/>
      <c r="R392" s="3166"/>
      <c r="S392" s="3166"/>
      <c r="T392" s="3166"/>
      <c r="U392" s="3166"/>
      <c r="V392" s="3166"/>
      <c r="W392" s="3166"/>
      <c r="X392" s="3166"/>
      <c r="Y392" s="3166"/>
      <c r="Z392" s="3166"/>
      <c r="AA392" s="3166"/>
      <c r="AB392" s="3166"/>
      <c r="AC392" s="3166"/>
      <c r="AD392" s="316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6"/>
      <c r="F393" s="3166"/>
      <c r="G393" s="3166"/>
      <c r="H393" s="3166"/>
      <c r="I393" s="3166"/>
      <c r="J393" s="3166"/>
      <c r="K393" s="3166"/>
      <c r="L393" s="3166"/>
      <c r="M393" s="3166"/>
      <c r="N393" s="3166"/>
      <c r="O393" s="3166"/>
      <c r="P393" s="3166"/>
      <c r="Q393" s="3166"/>
      <c r="R393" s="3166"/>
      <c r="S393" s="3166"/>
      <c r="T393" s="3166"/>
      <c r="U393" s="3166"/>
      <c r="V393" s="3166"/>
      <c r="W393" s="3166"/>
      <c r="X393" s="3166"/>
      <c r="Y393" s="3166"/>
      <c r="Z393" s="3166"/>
      <c r="AA393" s="3166"/>
      <c r="AB393" s="3166"/>
      <c r="AC393" s="3166"/>
      <c r="AD393" s="316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65" t="s">
        <v>625</v>
      </c>
      <c r="Y395" s="3165"/>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60" t="s">
        <v>1686</v>
      </c>
      <c r="AG397" s="3160"/>
      <c r="AH397" s="3160"/>
      <c r="AI397" s="3160"/>
      <c r="AJ397" s="3160"/>
      <c r="AK397" s="3160"/>
      <c r="AL397" s="316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60" t="s">
        <v>625</v>
      </c>
      <c r="I399" s="306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43">
        <f>VLOOKUP($H$399,$AO$366:$AP$368,2,FALSE)</f>
        <v>0</v>
      </c>
      <c r="AK401" s="3045"/>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60" t="s">
        <v>1622</v>
      </c>
      <c r="AG405" s="3160"/>
      <c r="AH405" s="3160"/>
      <c r="AI405" s="3160"/>
      <c r="AJ405" s="3160"/>
      <c r="AK405" s="3160"/>
      <c r="AL405" s="3160"/>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60" t="s">
        <v>1686</v>
      </c>
      <c r="AG408" s="3160"/>
      <c r="AH408" s="3160"/>
      <c r="AI408" s="3160"/>
      <c r="AJ408" s="3160"/>
      <c r="AK408" s="3160"/>
      <c r="AL408" s="3160"/>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60" t="s">
        <v>625</v>
      </c>
      <c r="I411" s="306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43">
        <f>VLOOKUP(H411,AT366:AU368,2,FALSE)</f>
        <v>0</v>
      </c>
      <c r="AK413" s="3045"/>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61" t="s">
        <v>1698</v>
      </c>
      <c r="F418" s="3061"/>
      <c r="G418" s="3061"/>
      <c r="H418" s="3061"/>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61"/>
      <c r="AD418" s="927"/>
      <c r="AE418" s="927"/>
      <c r="AF418" s="3160" t="s">
        <v>1648</v>
      </c>
      <c r="AG418" s="3160"/>
      <c r="AH418" s="3160"/>
      <c r="AI418" s="3160"/>
      <c r="AJ418" s="3160"/>
      <c r="AK418" s="3160"/>
      <c r="AL418" s="3160"/>
      <c r="AN418" s="1000"/>
    </row>
    <row r="419" spans="1:42" s="943" customFormat="1" ht="12.75" customHeight="1">
      <c r="B419" s="927"/>
      <c r="C419" s="986"/>
      <c r="D419" s="927"/>
      <c r="E419" s="3061"/>
      <c r="F419" s="3061"/>
      <c r="G419" s="3061"/>
      <c r="H419" s="3061"/>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61"/>
      <c r="AD419" s="927"/>
      <c r="AE419" s="927"/>
      <c r="AF419" s="927"/>
      <c r="AG419" s="927"/>
      <c r="AH419" s="927"/>
      <c r="AI419" s="927"/>
      <c r="AJ419" s="927"/>
      <c r="AK419" s="927"/>
      <c r="AL419" s="927"/>
      <c r="AN419" s="1000"/>
    </row>
    <row r="420" spans="1:42" s="943" customFormat="1" ht="12.75" customHeight="1">
      <c r="B420" s="927"/>
      <c r="C420" s="986"/>
      <c r="D420" s="1106"/>
      <c r="E420" s="3061"/>
      <c r="F420" s="3061"/>
      <c r="G420" s="3061"/>
      <c r="H420" s="3061"/>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6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61" t="s">
        <v>1699</v>
      </c>
      <c r="F422" s="3061"/>
      <c r="G422" s="3061"/>
      <c r="H422" s="3061"/>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61"/>
      <c r="AD422" s="927"/>
      <c r="AE422" s="927"/>
      <c r="AF422" s="3160" t="s">
        <v>1677</v>
      </c>
      <c r="AG422" s="3160"/>
      <c r="AH422" s="3160"/>
      <c r="AI422" s="3160"/>
      <c r="AJ422" s="3160"/>
      <c r="AK422" s="3160"/>
      <c r="AL422" s="3160"/>
      <c r="AN422" s="1000"/>
    </row>
    <row r="423" spans="1:42" s="943" customFormat="1" ht="12.75" customHeight="1">
      <c r="B423" s="927"/>
      <c r="C423" s="986"/>
      <c r="D423" s="927"/>
      <c r="E423" s="3061"/>
      <c r="F423" s="3061"/>
      <c r="G423" s="3061"/>
      <c r="H423" s="3061"/>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61"/>
      <c r="AD423" s="927"/>
      <c r="AE423" s="927"/>
      <c r="AF423" s="927"/>
      <c r="AG423" s="927"/>
      <c r="AH423" s="927"/>
      <c r="AI423" s="927"/>
      <c r="AJ423" s="927"/>
      <c r="AK423" s="927"/>
      <c r="AL423" s="927"/>
      <c r="AN423" s="1000"/>
    </row>
    <row r="424" spans="1:42" s="943" customFormat="1" ht="15" customHeight="1">
      <c r="B424" s="927"/>
      <c r="C424" s="986"/>
      <c r="D424" s="1106"/>
      <c r="E424" s="3061"/>
      <c r="F424" s="3061"/>
      <c r="G424" s="3061"/>
      <c r="H424" s="3061"/>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6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61" t="s">
        <v>1700</v>
      </c>
      <c r="F426" s="3061"/>
      <c r="G426" s="3061"/>
      <c r="H426" s="3061"/>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61"/>
      <c r="AD426" s="927"/>
      <c r="AE426" s="927"/>
      <c r="AF426" s="3160" t="s">
        <v>1622</v>
      </c>
      <c r="AG426" s="3160"/>
      <c r="AH426" s="3160"/>
      <c r="AI426" s="3160"/>
      <c r="AJ426" s="3160"/>
      <c r="AK426" s="3160"/>
      <c r="AL426" s="3160"/>
      <c r="AN426" s="1000"/>
    </row>
    <row r="427" spans="1:42" s="943" customFormat="1" ht="12.75" customHeight="1">
      <c r="A427" s="1060"/>
      <c r="B427" s="1023"/>
      <c r="C427" s="1640"/>
      <c r="D427" s="927"/>
      <c r="E427" s="3061"/>
      <c r="F427" s="3061"/>
      <c r="G427" s="3061"/>
      <c r="H427" s="3061"/>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61"/>
      <c r="AD427" s="927"/>
      <c r="AE427" s="3160"/>
      <c r="AF427" s="3160"/>
      <c r="AG427" s="3160"/>
      <c r="AH427" s="3160"/>
      <c r="AI427" s="3160"/>
      <c r="AJ427" s="3160"/>
      <c r="AK427" s="3160"/>
      <c r="AL427" s="1596"/>
      <c r="AM427" s="1026"/>
      <c r="AN427" s="1000"/>
      <c r="AO427" s="943" t="s">
        <v>625</v>
      </c>
      <c r="AP427" s="1120">
        <v>0</v>
      </c>
    </row>
    <row r="428" spans="1:42" s="943" customFormat="1" ht="12.75" customHeight="1">
      <c r="A428" s="1126"/>
      <c r="B428" s="927"/>
      <c r="C428" s="927"/>
      <c r="D428" s="1106"/>
      <c r="E428" s="3061"/>
      <c r="F428" s="3061"/>
      <c r="G428" s="3061"/>
      <c r="H428" s="3061"/>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61"/>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61" t="s">
        <v>1701</v>
      </c>
      <c r="F430" s="3061"/>
      <c r="G430" s="3061"/>
      <c r="H430" s="3061"/>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61"/>
      <c r="AD430" s="927"/>
      <c r="AE430" s="927"/>
      <c r="AF430" s="3160" t="s">
        <v>1677</v>
      </c>
      <c r="AG430" s="3160"/>
      <c r="AH430" s="3160"/>
      <c r="AI430" s="3160"/>
      <c r="AJ430" s="3160"/>
      <c r="AK430" s="3160"/>
      <c r="AL430" s="3160"/>
      <c r="AN430" s="1000"/>
    </row>
    <row r="431" spans="1:42" s="943" customFormat="1" ht="12.75" customHeight="1">
      <c r="A431" s="1115"/>
      <c r="B431" s="1023"/>
      <c r="C431" s="1656"/>
      <c r="D431" s="1106"/>
      <c r="E431" s="3061"/>
      <c r="F431" s="3061"/>
      <c r="G431" s="3061"/>
      <c r="H431" s="3061"/>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6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61"/>
      <c r="F432" s="3061"/>
      <c r="G432" s="3061"/>
      <c r="H432" s="3061"/>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6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61" t="s">
        <v>1702</v>
      </c>
      <c r="F434" s="3061"/>
      <c r="G434" s="3061"/>
      <c r="H434" s="3061"/>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61"/>
      <c r="AD434" s="927"/>
      <c r="AE434" s="927"/>
      <c r="AF434" s="3160" t="s">
        <v>1622</v>
      </c>
      <c r="AG434" s="3160"/>
      <c r="AH434" s="3160"/>
      <c r="AI434" s="3160"/>
      <c r="AJ434" s="3160"/>
      <c r="AK434" s="3160"/>
      <c r="AL434" s="3160"/>
      <c r="AM434" s="1065"/>
      <c r="AN434" s="1000"/>
    </row>
    <row r="435" spans="1:42" s="943" customFormat="1" ht="12.75" customHeight="1">
      <c r="A435" s="1060"/>
      <c r="B435" s="1023"/>
      <c r="C435" s="1640"/>
      <c r="D435" s="1106"/>
      <c r="E435" s="3061"/>
      <c r="F435" s="3061"/>
      <c r="G435" s="3061"/>
      <c r="H435" s="3061"/>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6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61"/>
      <c r="F436" s="3061"/>
      <c r="G436" s="3061"/>
      <c r="H436" s="3061"/>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6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61" t="s">
        <v>1703</v>
      </c>
      <c r="F438" s="3061"/>
      <c r="G438" s="3061"/>
      <c r="H438" s="3061"/>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61"/>
      <c r="AD438" s="927"/>
      <c r="AE438" s="927"/>
      <c r="AF438" s="3160" t="s">
        <v>1686</v>
      </c>
      <c r="AG438" s="3160"/>
      <c r="AH438" s="3160"/>
      <c r="AI438" s="3160"/>
      <c r="AJ438" s="3160"/>
      <c r="AK438" s="3160"/>
      <c r="AL438" s="3160"/>
      <c r="AM438" s="1065"/>
      <c r="AN438" s="1000"/>
    </row>
    <row r="439" spans="1:42" s="943" customFormat="1" ht="12.75" customHeight="1">
      <c r="A439" s="1599"/>
      <c r="B439" s="1006"/>
      <c r="C439" s="1637"/>
      <c r="D439" s="1106"/>
      <c r="E439" s="3061"/>
      <c r="F439" s="3061"/>
      <c r="G439" s="3061"/>
      <c r="H439" s="3061"/>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6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61"/>
      <c r="F440" s="3061"/>
      <c r="G440" s="3061"/>
      <c r="H440" s="3061"/>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6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61" t="s">
        <v>1704</v>
      </c>
      <c r="F442" s="3061"/>
      <c r="G442" s="3061"/>
      <c r="H442" s="3061"/>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61"/>
      <c r="AD442" s="927"/>
      <c r="AE442" s="927"/>
      <c r="AF442" s="3160" t="s">
        <v>1705</v>
      </c>
      <c r="AG442" s="3160"/>
      <c r="AH442" s="3160"/>
      <c r="AI442" s="3160"/>
      <c r="AJ442" s="3160"/>
      <c r="AK442" s="3160"/>
      <c r="AL442" s="3160"/>
      <c r="AM442" s="1065"/>
      <c r="AN442" s="1000"/>
      <c r="AO442" s="1118" t="s">
        <v>724</v>
      </c>
      <c r="AP442" s="943">
        <v>3</v>
      </c>
    </row>
    <row r="443" spans="1:42" s="943" customFormat="1" ht="12.75" customHeight="1">
      <c r="A443" s="1599"/>
      <c r="B443" s="1006"/>
      <c r="C443" s="1637"/>
      <c r="D443" s="1106"/>
      <c r="E443" s="3061"/>
      <c r="F443" s="3061"/>
      <c r="G443" s="3061"/>
      <c r="H443" s="3061"/>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61"/>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61"/>
      <c r="F444" s="3061"/>
      <c r="G444" s="3061"/>
      <c r="H444" s="3061"/>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6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60" t="s">
        <v>625</v>
      </c>
      <c r="I446" s="306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43">
        <f>VLOOKUP($H$446,$AO$394:$AP$401,2,FALSE)</f>
        <v>0</v>
      </c>
      <c r="AK448" s="304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61" t="s">
        <v>2185</v>
      </c>
      <c r="F452" s="3061"/>
      <c r="G452" s="3061"/>
      <c r="H452" s="3061"/>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927"/>
      <c r="AD452" s="927"/>
      <c r="AE452" s="930"/>
      <c r="AF452" s="3160" t="s">
        <v>1622</v>
      </c>
      <c r="AG452" s="3160"/>
      <c r="AH452" s="3160"/>
      <c r="AI452" s="3160"/>
      <c r="AJ452" s="3160"/>
      <c r="AK452" s="3160"/>
      <c r="AL452" s="3160"/>
      <c r="AM452" s="1026"/>
      <c r="AN452" s="1001"/>
    </row>
    <row r="453" spans="1:42" s="1002" customFormat="1" ht="12.75" customHeight="1">
      <c r="A453" s="1060"/>
      <c r="B453" s="1023"/>
      <c r="C453" s="1649"/>
      <c r="D453" s="1106"/>
      <c r="E453" s="3061"/>
      <c r="F453" s="3061"/>
      <c r="G453" s="3061"/>
      <c r="H453" s="3061"/>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927"/>
      <c r="AD453" s="927"/>
      <c r="AE453" s="1035"/>
      <c r="AF453" s="930"/>
      <c r="AG453" s="930"/>
      <c r="AH453" s="930"/>
      <c r="AI453" s="930"/>
      <c r="AJ453" s="930"/>
      <c r="AK453" s="930"/>
      <c r="AL453" s="930"/>
      <c r="AM453" s="1026"/>
      <c r="AN453" s="1001"/>
      <c r="AO453" s="3164"/>
      <c r="AP453" s="3164"/>
    </row>
    <row r="454" spans="1:42" s="1002" customFormat="1" ht="12.75" customHeight="1">
      <c r="A454" s="1060"/>
      <c r="B454" s="1023"/>
      <c r="C454" s="1649"/>
      <c r="D454" s="1106"/>
      <c r="E454" s="3061"/>
      <c r="F454" s="3061"/>
      <c r="G454" s="3061"/>
      <c r="H454" s="3061"/>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61"/>
      <c r="F455" s="3061"/>
      <c r="G455" s="3061"/>
      <c r="H455" s="3061"/>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61" t="s">
        <v>2187</v>
      </c>
      <c r="F457" s="3061"/>
      <c r="G457" s="3061"/>
      <c r="H457" s="3061"/>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927"/>
      <c r="AD457" s="927"/>
      <c r="AE457" s="927"/>
      <c r="AF457" s="3160" t="s">
        <v>1686</v>
      </c>
      <c r="AG457" s="3160"/>
      <c r="AH457" s="3160"/>
      <c r="AI457" s="3160"/>
      <c r="AJ457" s="3160"/>
      <c r="AK457" s="3160"/>
      <c r="AL457" s="3160"/>
      <c r="AM457" s="1026"/>
      <c r="AN457" s="1000"/>
      <c r="AO457" s="1118" t="s">
        <v>541</v>
      </c>
      <c r="AP457" s="943">
        <v>1</v>
      </c>
    </row>
    <row r="458" spans="1:42" s="943" customFormat="1" ht="12" customHeight="1">
      <c r="A458" s="1026"/>
      <c r="B458" s="927"/>
      <c r="C458" s="1657"/>
      <c r="D458" s="927"/>
      <c r="E458" s="3061"/>
      <c r="F458" s="3061"/>
      <c r="G458" s="3061"/>
      <c r="H458" s="3061"/>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61"/>
      <c r="F459" s="3061"/>
      <c r="G459" s="3061"/>
      <c r="H459" s="3061"/>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61"/>
      <c r="F460" s="3061"/>
      <c r="G460" s="3061"/>
      <c r="H460" s="3061"/>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61" t="s">
        <v>2186</v>
      </c>
      <c r="F462" s="3061"/>
      <c r="G462" s="3061"/>
      <c r="H462" s="3061"/>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61"/>
      <c r="F463" s="3061"/>
      <c r="G463" s="3061"/>
      <c r="H463" s="3061"/>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61"/>
      <c r="F464" s="3061"/>
      <c r="G464" s="3061"/>
      <c r="H464" s="3061"/>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60" t="s">
        <v>625</v>
      </c>
      <c r="I466" s="306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43">
        <f>VLOOKUP($H$466,$AO$413:$AP$415,2,FALSE)</f>
        <v>0</v>
      </c>
      <c r="AK468" s="3045"/>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62" t="s">
        <v>2190</v>
      </c>
      <c r="F472" s="3162"/>
      <c r="G472" s="3162"/>
      <c r="H472" s="3162"/>
      <c r="I472" s="3162"/>
      <c r="J472" s="3162"/>
      <c r="K472" s="3162"/>
      <c r="L472" s="3162"/>
      <c r="M472" s="3162"/>
      <c r="N472" s="3162"/>
      <c r="O472" s="3162"/>
      <c r="P472" s="3162"/>
      <c r="Q472" s="3162"/>
      <c r="R472" s="3162"/>
      <c r="S472" s="3162"/>
      <c r="T472" s="3162"/>
      <c r="U472" s="3162"/>
      <c r="V472" s="3162"/>
      <c r="W472" s="3162"/>
      <c r="X472" s="3162"/>
      <c r="Y472" s="3162"/>
      <c r="Z472" s="3162"/>
      <c r="AA472" s="3162"/>
      <c r="AB472" s="3162"/>
      <c r="AC472" s="927"/>
      <c r="AD472" s="927"/>
      <c r="AE472" s="927"/>
      <c r="AF472" s="3160" t="s">
        <v>1622</v>
      </c>
      <c r="AG472" s="3160"/>
      <c r="AH472" s="3160"/>
      <c r="AI472" s="3160"/>
      <c r="AJ472" s="3160"/>
      <c r="AK472" s="3160"/>
      <c r="AL472" s="3160"/>
      <c r="AM472" s="1026"/>
      <c r="AN472" s="1133"/>
      <c r="AP472" s="1135" t="s">
        <v>1714</v>
      </c>
    </row>
    <row r="473" spans="1:43" s="1134" customFormat="1" ht="11.85" customHeight="1">
      <c r="A473" s="1060"/>
      <c r="B473" s="1023"/>
      <c r="C473" s="1639"/>
      <c r="D473" s="1106"/>
      <c r="E473" s="3162"/>
      <c r="F473" s="3162"/>
      <c r="G473" s="3162"/>
      <c r="H473" s="3162"/>
      <c r="I473" s="3162"/>
      <c r="J473" s="3162"/>
      <c r="K473" s="3162"/>
      <c r="L473" s="3162"/>
      <c r="M473" s="3162"/>
      <c r="N473" s="3162"/>
      <c r="O473" s="3162"/>
      <c r="P473" s="3162"/>
      <c r="Q473" s="3162"/>
      <c r="R473" s="3162"/>
      <c r="S473" s="3162"/>
      <c r="T473" s="3162"/>
      <c r="U473" s="3162"/>
      <c r="V473" s="3162"/>
      <c r="W473" s="3162"/>
      <c r="X473" s="3162"/>
      <c r="Y473" s="3162"/>
      <c r="Z473" s="3162"/>
      <c r="AA473" s="3162"/>
      <c r="AB473" s="3162"/>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62"/>
      <c r="F474" s="3162"/>
      <c r="G474" s="3162"/>
      <c r="H474" s="3162"/>
      <c r="I474" s="3162"/>
      <c r="J474" s="3162"/>
      <c r="K474" s="3162"/>
      <c r="L474" s="3162"/>
      <c r="M474" s="3162"/>
      <c r="N474" s="3162"/>
      <c r="O474" s="3162"/>
      <c r="P474" s="3162"/>
      <c r="Q474" s="3162"/>
      <c r="R474" s="3162"/>
      <c r="S474" s="3162"/>
      <c r="T474" s="3162"/>
      <c r="U474" s="3162"/>
      <c r="V474" s="3162"/>
      <c r="W474" s="3162"/>
      <c r="X474" s="3162"/>
      <c r="Y474" s="3162"/>
      <c r="Z474" s="3162"/>
      <c r="AA474" s="3162"/>
      <c r="AB474" s="3162"/>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63" t="s">
        <v>1717</v>
      </c>
      <c r="F476" s="3163"/>
      <c r="G476" s="3163"/>
      <c r="H476" s="3163"/>
      <c r="I476" s="3163"/>
      <c r="J476" s="3163"/>
      <c r="K476" s="3163"/>
      <c r="L476" s="3163"/>
      <c r="M476" s="3163"/>
      <c r="N476" s="3163"/>
      <c r="O476" s="3163"/>
      <c r="P476" s="3163"/>
      <c r="Q476" s="3163"/>
      <c r="R476" s="3163"/>
      <c r="S476" s="3163"/>
      <c r="T476" s="3163"/>
      <c r="U476" s="3163"/>
      <c r="V476" s="3163"/>
      <c r="W476" s="3163"/>
      <c r="X476" s="3163"/>
      <c r="Y476" s="3163"/>
      <c r="Z476" s="3163"/>
      <c r="AA476" s="3163"/>
      <c r="AB476" s="3163"/>
      <c r="AC476" s="927"/>
      <c r="AD476" s="927"/>
      <c r="AE476" s="927"/>
      <c r="AF476" s="3160" t="s">
        <v>1686</v>
      </c>
      <c r="AG476" s="3160"/>
      <c r="AH476" s="3160"/>
      <c r="AI476" s="3160"/>
      <c r="AJ476" s="3160"/>
      <c r="AK476" s="3160"/>
      <c r="AL476" s="3160"/>
      <c r="AM476" s="1026"/>
      <c r="AN476" s="1136"/>
    </row>
    <row r="477" spans="1:43" s="1134" customFormat="1" ht="12.75" customHeight="1">
      <c r="A477" s="1060"/>
      <c r="B477" s="1023"/>
      <c r="C477" s="1639"/>
      <c r="D477" s="1023"/>
      <c r="E477" s="3163"/>
      <c r="F477" s="3163"/>
      <c r="G477" s="3163"/>
      <c r="H477" s="3163"/>
      <c r="I477" s="3163"/>
      <c r="J477" s="3163"/>
      <c r="K477" s="3163"/>
      <c r="L477" s="3163"/>
      <c r="M477" s="3163"/>
      <c r="N477" s="3163"/>
      <c r="O477" s="3163"/>
      <c r="P477" s="3163"/>
      <c r="Q477" s="3163"/>
      <c r="R477" s="3163"/>
      <c r="S477" s="3163"/>
      <c r="T477" s="3163"/>
      <c r="U477" s="3163"/>
      <c r="V477" s="3163"/>
      <c r="W477" s="3163"/>
      <c r="X477" s="3163"/>
      <c r="Y477" s="3163"/>
      <c r="Z477" s="3163"/>
      <c r="AA477" s="3163"/>
      <c r="AB477" s="3163"/>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63"/>
      <c r="F478" s="3163"/>
      <c r="G478" s="3163"/>
      <c r="H478" s="3163"/>
      <c r="I478" s="3163"/>
      <c r="J478" s="3163"/>
      <c r="K478" s="3163"/>
      <c r="L478" s="3163"/>
      <c r="M478" s="3163"/>
      <c r="N478" s="3163"/>
      <c r="O478" s="3163"/>
      <c r="P478" s="3163"/>
      <c r="Q478" s="3163"/>
      <c r="R478" s="3163"/>
      <c r="S478" s="3163"/>
      <c r="T478" s="3163"/>
      <c r="U478" s="3163"/>
      <c r="V478" s="3163"/>
      <c r="W478" s="3163"/>
      <c r="X478" s="3163"/>
      <c r="Y478" s="3163"/>
      <c r="Z478" s="3163"/>
      <c r="AA478" s="3163"/>
      <c r="AB478" s="3163"/>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060" t="s">
        <v>625</v>
      </c>
      <c r="I480" s="306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43">
        <f>VLOOKUP($H$480,$AO$413:$AP$415,2,FALSE)</f>
        <v>0</v>
      </c>
      <c r="AK482" s="3045"/>
      <c r="AL482" s="1005"/>
      <c r="AM482" s="1002"/>
      <c r="AN482" s="1138"/>
      <c r="AP482" s="3043"/>
      <c r="AQ482" s="304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61" t="s">
        <v>2191</v>
      </c>
      <c r="F486" s="3061"/>
      <c r="G486" s="3061"/>
      <c r="H486" s="3061"/>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927"/>
      <c r="AD486" s="927"/>
      <c r="AE486" s="927"/>
      <c r="AF486" s="3160" t="s">
        <v>1622</v>
      </c>
      <c r="AG486" s="3160"/>
      <c r="AH486" s="3160"/>
      <c r="AI486" s="3160"/>
      <c r="AJ486" s="3160"/>
      <c r="AK486" s="3160"/>
      <c r="AL486" s="3160"/>
      <c r="AM486" s="1026"/>
      <c r="AN486" s="1133"/>
      <c r="AT486" s="51"/>
      <c r="AU486" s="51"/>
      <c r="AV486" s="51"/>
      <c r="AW486" s="51"/>
      <c r="AX486" s="51"/>
      <c r="AY486" s="51"/>
      <c r="AZ486" s="51"/>
    </row>
    <row r="487" spans="1:81" s="1134" customFormat="1">
      <c r="A487" s="1060"/>
      <c r="B487" s="1023"/>
      <c r="C487" s="1639"/>
      <c r="D487" s="1106"/>
      <c r="E487" s="3061"/>
      <c r="F487" s="3061"/>
      <c r="G487" s="3061"/>
      <c r="H487" s="3061"/>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61" t="s">
        <v>1721</v>
      </c>
      <c r="F489" s="3061"/>
      <c r="G489" s="3061"/>
      <c r="H489" s="3061"/>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927"/>
      <c r="AD489" s="927"/>
      <c r="AE489" s="927"/>
      <c r="AF489" s="3160" t="s">
        <v>1686</v>
      </c>
      <c r="AG489" s="3160"/>
      <c r="AH489" s="3160"/>
      <c r="AI489" s="3160"/>
      <c r="AJ489" s="3160"/>
      <c r="AK489" s="3160"/>
      <c r="AL489" s="3160"/>
      <c r="AM489" s="1026"/>
      <c r="AN489" s="1133"/>
      <c r="AT489" s="51"/>
      <c r="AU489" s="51"/>
      <c r="AV489" s="51"/>
      <c r="AW489" s="51"/>
      <c r="AX489" s="51"/>
      <c r="AY489" s="51"/>
      <c r="AZ489" s="51"/>
    </row>
    <row r="490" spans="1:81" s="1134" customFormat="1">
      <c r="A490" s="1060"/>
      <c r="B490" s="1023"/>
      <c r="C490" s="1639"/>
      <c r="D490" s="1023"/>
      <c r="E490" s="3061"/>
      <c r="F490" s="3061"/>
      <c r="G490" s="3061"/>
      <c r="H490" s="3061"/>
      <c r="I490" s="3061"/>
      <c r="J490" s="3061"/>
      <c r="K490" s="3061"/>
      <c r="L490" s="3061"/>
      <c r="M490" s="3061"/>
      <c r="N490" s="3061"/>
      <c r="O490" s="3061"/>
      <c r="P490" s="3061"/>
      <c r="Q490" s="3061"/>
      <c r="R490" s="3061"/>
      <c r="S490" s="3061"/>
      <c r="T490" s="3061"/>
      <c r="U490" s="3061"/>
      <c r="V490" s="3061"/>
      <c r="W490" s="3061"/>
      <c r="X490" s="3061"/>
      <c r="Y490" s="3061"/>
      <c r="Z490" s="3061"/>
      <c r="AA490" s="3061"/>
      <c r="AB490" s="306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60" t="s">
        <v>625</v>
      </c>
      <c r="I492" s="306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43">
        <f>VLOOKUP($H$492,$AO$427:$AP$429,2,FALSE)</f>
        <v>0</v>
      </c>
      <c r="AK494" s="304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61" t="s">
        <v>1724</v>
      </c>
      <c r="F498" s="3061"/>
      <c r="G498" s="3061"/>
      <c r="H498" s="3061"/>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927"/>
      <c r="AD498" s="927"/>
      <c r="AE498" s="927"/>
      <c r="AF498" s="3160" t="s">
        <v>1622</v>
      </c>
      <c r="AG498" s="3160"/>
      <c r="AH498" s="3160"/>
      <c r="AI498" s="3160"/>
      <c r="AJ498" s="3160"/>
      <c r="AK498" s="3160"/>
      <c r="AL498" s="3160"/>
      <c r="AM498" s="1026"/>
      <c r="AN498" s="1133"/>
      <c r="AT498" s="51"/>
      <c r="AU498" s="51"/>
      <c r="AV498" s="51"/>
      <c r="AW498" s="51"/>
      <c r="AX498" s="51"/>
      <c r="AY498" s="51"/>
      <c r="AZ498" s="51"/>
    </row>
    <row r="499" spans="1:81" s="1134" customFormat="1">
      <c r="A499" s="1060"/>
      <c r="B499" s="927"/>
      <c r="C499" s="1637"/>
      <c r="D499" s="1106"/>
      <c r="E499" s="3061"/>
      <c r="F499" s="3061"/>
      <c r="G499" s="3061"/>
      <c r="H499" s="3061"/>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61"/>
      <c r="F500" s="3061"/>
      <c r="G500" s="3061"/>
      <c r="H500" s="3061"/>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61"/>
      <c r="F501" s="3061"/>
      <c r="G501" s="3061"/>
      <c r="H501" s="3061"/>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61" t="s">
        <v>1725</v>
      </c>
      <c r="F503" s="3061"/>
      <c r="G503" s="3061"/>
      <c r="H503" s="3061"/>
      <c r="I503" s="3061"/>
      <c r="J503" s="3061"/>
      <c r="K503" s="3061"/>
      <c r="L503" s="3061"/>
      <c r="M503" s="3061"/>
      <c r="N503" s="3061"/>
      <c r="O503" s="3061"/>
      <c r="P503" s="3061"/>
      <c r="Q503" s="3061"/>
      <c r="R503" s="3061"/>
      <c r="S503" s="3061"/>
      <c r="T503" s="3061"/>
      <c r="U503" s="3061"/>
      <c r="V503" s="3061"/>
      <c r="W503" s="3061"/>
      <c r="X503" s="3061"/>
      <c r="Y503" s="3061"/>
      <c r="Z503" s="3061"/>
      <c r="AA503" s="3061"/>
      <c r="AB503" s="969"/>
      <c r="AC503" s="927"/>
      <c r="AD503" s="927"/>
      <c r="AE503" s="927"/>
      <c r="AF503" s="3160" t="s">
        <v>1686</v>
      </c>
      <c r="AG503" s="3160"/>
      <c r="AH503" s="3160"/>
      <c r="AI503" s="3160"/>
      <c r="AJ503" s="3160"/>
      <c r="AK503" s="3160"/>
      <c r="AL503" s="3160"/>
      <c r="AM503" s="1026"/>
      <c r="AN503" s="1133"/>
      <c r="AO503" s="126"/>
      <c r="AP503" s="51"/>
    </row>
    <row r="504" spans="1:81" s="1134" customFormat="1">
      <c r="A504" s="1060"/>
      <c r="B504" s="1006"/>
      <c r="C504" s="1637"/>
      <c r="D504" s="1106"/>
      <c r="E504" s="3061"/>
      <c r="F504" s="3061"/>
      <c r="G504" s="3061"/>
      <c r="H504" s="3061"/>
      <c r="I504" s="3061"/>
      <c r="J504" s="3061"/>
      <c r="K504" s="3061"/>
      <c r="L504" s="3061"/>
      <c r="M504" s="3061"/>
      <c r="N504" s="3061"/>
      <c r="O504" s="3061"/>
      <c r="P504" s="3061"/>
      <c r="Q504" s="3061"/>
      <c r="R504" s="3061"/>
      <c r="S504" s="3061"/>
      <c r="T504" s="3061"/>
      <c r="U504" s="3061"/>
      <c r="V504" s="3061"/>
      <c r="W504" s="3061"/>
      <c r="X504" s="3061"/>
      <c r="Y504" s="3061"/>
      <c r="Z504" s="3061"/>
      <c r="AA504" s="306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61"/>
      <c r="F505" s="3061"/>
      <c r="G505" s="3061"/>
      <c r="H505" s="3061"/>
      <c r="I505" s="3061"/>
      <c r="J505" s="3061"/>
      <c r="K505" s="3061"/>
      <c r="L505" s="3061"/>
      <c r="M505" s="3061"/>
      <c r="N505" s="3061"/>
      <c r="O505" s="3061"/>
      <c r="P505" s="3061"/>
      <c r="Q505" s="3061"/>
      <c r="R505" s="3061"/>
      <c r="S505" s="3061"/>
      <c r="T505" s="3061"/>
      <c r="U505" s="3061"/>
      <c r="V505" s="3061"/>
      <c r="W505" s="3061"/>
      <c r="X505" s="3061"/>
      <c r="Y505" s="3061"/>
      <c r="Z505" s="3061"/>
      <c r="AA505" s="306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61"/>
      <c r="F506" s="3061"/>
      <c r="G506" s="3061"/>
      <c r="H506" s="3061"/>
      <c r="I506" s="3061"/>
      <c r="J506" s="3061"/>
      <c r="K506" s="3061"/>
      <c r="L506" s="3061"/>
      <c r="M506" s="3061"/>
      <c r="N506" s="3061"/>
      <c r="O506" s="3061"/>
      <c r="P506" s="3061"/>
      <c r="Q506" s="3061"/>
      <c r="R506" s="3061"/>
      <c r="S506" s="3061"/>
      <c r="T506" s="3061"/>
      <c r="U506" s="3061"/>
      <c r="V506" s="3061"/>
      <c r="W506" s="3061"/>
      <c r="X506" s="3061"/>
      <c r="Y506" s="3061"/>
      <c r="Z506" s="3061"/>
      <c r="AA506" s="306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60" t="s">
        <v>625</v>
      </c>
      <c r="I508" s="306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43">
        <f>VLOOKUP($H$508,$AO$441:$AP$443,2,FALSE)</f>
        <v>0</v>
      </c>
      <c r="AK510" s="304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61" t="s">
        <v>1727</v>
      </c>
      <c r="F514" s="3061"/>
      <c r="G514" s="3061"/>
      <c r="H514" s="3061"/>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927"/>
      <c r="AD514" s="927"/>
      <c r="AE514" s="927"/>
      <c r="AF514" s="3160" t="s">
        <v>1686</v>
      </c>
      <c r="AG514" s="3160"/>
      <c r="AH514" s="3160"/>
      <c r="AI514" s="3160"/>
      <c r="AJ514" s="3160"/>
      <c r="AK514" s="3160"/>
      <c r="AL514" s="316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61"/>
      <c r="F515" s="3061"/>
      <c r="G515" s="3061"/>
      <c r="H515" s="3061"/>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61" t="s">
        <v>1728</v>
      </c>
      <c r="F517" s="3061"/>
      <c r="G517" s="3061"/>
      <c r="H517" s="3061"/>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927"/>
      <c r="AD517" s="927"/>
      <c r="AE517" s="927"/>
      <c r="AF517" s="3160" t="s">
        <v>1705</v>
      </c>
      <c r="AG517" s="3160"/>
      <c r="AH517" s="3160"/>
      <c r="AI517" s="3160"/>
      <c r="AJ517" s="3160"/>
      <c r="AK517" s="3160"/>
      <c r="AL517" s="316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61"/>
      <c r="F518" s="3061"/>
      <c r="G518" s="3061"/>
      <c r="H518" s="3061"/>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60" t="s">
        <v>625</v>
      </c>
      <c r="I520" s="306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43">
        <f>VLOOKUP($H$520,$AO$455:$AP$457,2,FALSE)</f>
        <v>0</v>
      </c>
      <c r="AK522" s="304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61" t="s">
        <v>2184</v>
      </c>
      <c r="F526" s="3061"/>
      <c r="G526" s="3061"/>
      <c r="H526" s="3061"/>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61"/>
      <c r="AD526" s="3061"/>
      <c r="AE526" s="927"/>
      <c r="AF526" s="3160" t="s">
        <v>1686</v>
      </c>
      <c r="AG526" s="3160"/>
      <c r="AH526" s="3160"/>
      <c r="AI526" s="3160"/>
      <c r="AJ526" s="3160"/>
      <c r="AK526" s="3160"/>
      <c r="AL526" s="3160"/>
      <c r="AM526" s="1031"/>
      <c r="AN526" s="1133"/>
    </row>
    <row r="527" spans="1:74" s="1134" customFormat="1" ht="13.7" customHeight="1">
      <c r="A527" s="1060"/>
      <c r="B527" s="1035"/>
      <c r="C527" s="1649"/>
      <c r="D527" s="1106"/>
      <c r="E527" s="3061"/>
      <c r="F527" s="3061"/>
      <c r="G527" s="3061"/>
      <c r="H527" s="3061"/>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61"/>
      <c r="AD527" s="3061"/>
      <c r="AE527" s="927"/>
      <c r="AF527" s="1596"/>
      <c r="AG527" s="1596"/>
      <c r="AH527" s="1596"/>
      <c r="AI527" s="1596"/>
      <c r="AJ527" s="1596"/>
      <c r="AK527" s="1596"/>
      <c r="AL527" s="1596"/>
      <c r="AM527" s="1031"/>
      <c r="AN527" s="1133"/>
    </row>
    <row r="528" spans="1:74" s="1134" customFormat="1">
      <c r="A528" s="1060"/>
      <c r="B528" s="1035"/>
      <c r="C528" s="1649"/>
      <c r="D528" s="1106"/>
      <c r="E528" s="3061"/>
      <c r="F528" s="3061"/>
      <c r="G528" s="3061"/>
      <c r="H528" s="3061"/>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61"/>
      <c r="AD528" s="306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61"/>
      <c r="F529" s="3061"/>
      <c r="G529" s="3061"/>
      <c r="H529" s="3061"/>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61"/>
      <c r="AD529" s="306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61" t="s">
        <v>2192</v>
      </c>
      <c r="F531" s="3161"/>
      <c r="G531" s="3161"/>
      <c r="H531" s="3161"/>
      <c r="I531" s="3161"/>
      <c r="J531" s="3161"/>
      <c r="K531" s="3161"/>
      <c r="L531" s="3161"/>
      <c r="M531" s="3161"/>
      <c r="N531" s="3161"/>
      <c r="O531" s="3161"/>
      <c r="P531" s="3161"/>
      <c r="Q531" s="3161"/>
      <c r="R531" s="3161"/>
      <c r="S531" s="3161"/>
      <c r="T531" s="3161"/>
      <c r="U531" s="3161"/>
      <c r="V531" s="3161"/>
      <c r="W531" s="3161"/>
      <c r="X531" s="3161"/>
      <c r="Y531" s="3161"/>
      <c r="Z531" s="3161"/>
      <c r="AA531" s="3161"/>
      <c r="AB531" s="3161"/>
      <c r="AC531" s="3161"/>
      <c r="AD531" s="3161"/>
      <c r="AE531" s="927"/>
      <c r="AF531" s="3160" t="s">
        <v>1622</v>
      </c>
      <c r="AG531" s="3160"/>
      <c r="AH531" s="3160"/>
      <c r="AI531" s="3160"/>
      <c r="AJ531" s="3160"/>
      <c r="AK531" s="3160"/>
      <c r="AL531" s="3160"/>
      <c r="AM531" s="1031"/>
      <c r="AN531" s="1000"/>
    </row>
    <row r="532" spans="1:81" s="943" customFormat="1" ht="12.75" customHeight="1">
      <c r="A532" s="1060"/>
      <c r="B532" s="1035"/>
      <c r="C532" s="1649"/>
      <c r="D532" s="1106"/>
      <c r="E532" s="3161"/>
      <c r="F532" s="3161"/>
      <c r="G532" s="3161"/>
      <c r="H532" s="3161"/>
      <c r="I532" s="3161"/>
      <c r="J532" s="3161"/>
      <c r="K532" s="3161"/>
      <c r="L532" s="3161"/>
      <c r="M532" s="3161"/>
      <c r="N532" s="3161"/>
      <c r="O532" s="3161"/>
      <c r="P532" s="3161"/>
      <c r="Q532" s="3161"/>
      <c r="R532" s="3161"/>
      <c r="S532" s="3161"/>
      <c r="T532" s="3161"/>
      <c r="U532" s="3161"/>
      <c r="V532" s="3161"/>
      <c r="W532" s="3161"/>
      <c r="X532" s="3161"/>
      <c r="Y532" s="3161"/>
      <c r="Z532" s="3161"/>
      <c r="AA532" s="3161"/>
      <c r="AB532" s="3161"/>
      <c r="AC532" s="3161"/>
      <c r="AD532" s="316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61"/>
      <c r="F533" s="3161"/>
      <c r="G533" s="3161"/>
      <c r="H533" s="3161"/>
      <c r="I533" s="3161"/>
      <c r="J533" s="3161"/>
      <c r="K533" s="3161"/>
      <c r="L533" s="3161"/>
      <c r="M533" s="3161"/>
      <c r="N533" s="3161"/>
      <c r="O533" s="3161"/>
      <c r="P533" s="3161"/>
      <c r="Q533" s="3161"/>
      <c r="R533" s="3161"/>
      <c r="S533" s="3161"/>
      <c r="T533" s="3161"/>
      <c r="U533" s="3161"/>
      <c r="V533" s="3161"/>
      <c r="W533" s="3161"/>
      <c r="X533" s="3161"/>
      <c r="Y533" s="3161"/>
      <c r="Z533" s="3161"/>
      <c r="AA533" s="3161"/>
      <c r="AB533" s="3161"/>
      <c r="AC533" s="3161"/>
      <c r="AD533" s="316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61"/>
      <c r="F534" s="3161"/>
      <c r="G534" s="3161"/>
      <c r="H534" s="3161"/>
      <c r="I534" s="3161"/>
      <c r="J534" s="3161"/>
      <c r="K534" s="3161"/>
      <c r="L534" s="3161"/>
      <c r="M534" s="3161"/>
      <c r="N534" s="3161"/>
      <c r="O534" s="3161"/>
      <c r="P534" s="3161"/>
      <c r="Q534" s="3161"/>
      <c r="R534" s="3161"/>
      <c r="S534" s="3161"/>
      <c r="T534" s="3161"/>
      <c r="U534" s="3161"/>
      <c r="V534" s="3161"/>
      <c r="W534" s="3161"/>
      <c r="X534" s="3161"/>
      <c r="Y534" s="3161"/>
      <c r="Z534" s="3161"/>
      <c r="AA534" s="3161"/>
      <c r="AB534" s="3161"/>
      <c r="AC534" s="3161"/>
      <c r="AD534" s="316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60" t="s">
        <v>625</v>
      </c>
      <c r="I536" s="306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43">
        <f>VLOOKUP($H$536,$AP$477:$AQ$479,2,FALSE)</f>
        <v>0</v>
      </c>
      <c r="AK538" s="304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61" t="s">
        <v>2183</v>
      </c>
      <c r="F542" s="3061"/>
      <c r="G542" s="3061"/>
      <c r="H542" s="3061"/>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61"/>
      <c r="AD542" s="3061"/>
      <c r="AE542" s="927"/>
      <c r="AF542" s="3160" t="s">
        <v>1732</v>
      </c>
      <c r="AG542" s="3160"/>
      <c r="AH542" s="3160"/>
      <c r="AI542" s="3160"/>
      <c r="AJ542" s="3160"/>
      <c r="AK542" s="3160"/>
      <c r="AL542" s="3160"/>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61"/>
      <c r="F543" s="3061"/>
      <c r="G543" s="3061"/>
      <c r="H543" s="3061"/>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61"/>
      <c r="AD543" s="306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61"/>
      <c r="F544" s="3061"/>
      <c r="G544" s="3061"/>
      <c r="H544" s="3061"/>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61"/>
      <c r="AD544" s="306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61"/>
      <c r="F545" s="3061"/>
      <c r="G545" s="3061"/>
      <c r="H545" s="3061"/>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61"/>
      <c r="AD545" s="306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60" t="s">
        <v>625</v>
      </c>
      <c r="I547" s="306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43">
        <f>VLOOKUP($H$547,$AO$541:$AP$542,2,FALSE)</f>
        <v>0</v>
      </c>
      <c r="AK549" s="304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43">
        <f>IF(($AJ$382+$AJ$401+$AJ$413+$AJ$448+$AJ$468+$AJ$482+$AJ$494+$AJ$510+$AJ$522+$AJ$538+AJ549)&gt;10,10,($AJ$382+$AJ$401+$AJ$413+$AJ$448+$AJ$468+$AJ$482+$AJ$494+$AJ$510+$AJ$522+$AJ$538+AJ549))</f>
        <v>0</v>
      </c>
      <c r="AL551" s="3044"/>
      <c r="AM551" s="304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43">
        <f>IF((AK320+AK551)&gt;20,20,(AK320+AK551))</f>
        <v>20</v>
      </c>
      <c r="AL553" s="3044"/>
      <c r="AM553" s="304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5" t="s">
        <v>1584</v>
      </c>
      <c r="AF556" s="3125"/>
      <c r="AG556" s="3125"/>
      <c r="AH556" s="3125"/>
      <c r="AI556" s="3125"/>
      <c r="AJ556" s="3125"/>
      <c r="AK556" s="312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52" t="s">
        <v>1737</v>
      </c>
      <c r="D558" s="3052"/>
      <c r="E558" s="3052"/>
      <c r="F558" s="3052"/>
      <c r="G558" s="3052"/>
      <c r="H558" s="3052"/>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3052"/>
      <c r="AD558" s="3052"/>
      <c r="AE558" s="3052"/>
      <c r="AF558" s="3052"/>
      <c r="AG558" s="3052"/>
      <c r="AH558" s="3052"/>
      <c r="AI558" s="3052"/>
      <c r="AJ558" s="3052"/>
      <c r="AK558" s="1027"/>
      <c r="AL558" s="1027"/>
      <c r="AM558" s="1027"/>
      <c r="AN558" s="1000"/>
    </row>
    <row r="559" spans="1:81" s="943" customFormat="1" ht="12.75" customHeight="1">
      <c r="A559" s="1027"/>
      <c r="B559" s="1028"/>
      <c r="C559" s="3052"/>
      <c r="D559" s="3052"/>
      <c r="E559" s="3052"/>
      <c r="F559" s="3052"/>
      <c r="G559" s="3052"/>
      <c r="H559" s="3052"/>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3052"/>
      <c r="AD559" s="3052"/>
      <c r="AE559" s="3052"/>
      <c r="AF559" s="3052"/>
      <c r="AG559" s="3052"/>
      <c r="AH559" s="3052"/>
      <c r="AI559" s="3052"/>
      <c r="AJ559" s="3052"/>
      <c r="AK559" s="1027"/>
      <c r="AL559" s="1027"/>
      <c r="AM559" s="1027"/>
      <c r="AN559" s="1000"/>
    </row>
    <row r="560" spans="1:81" s="943" customFormat="1" ht="12.75" customHeight="1">
      <c r="A560" s="1027"/>
      <c r="B560" s="1028"/>
      <c r="C560" s="3052"/>
      <c r="D560" s="3052"/>
      <c r="E560" s="3052"/>
      <c r="F560" s="3052"/>
      <c r="G560" s="3052"/>
      <c r="H560" s="3052"/>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3052"/>
      <c r="AD560" s="3052"/>
      <c r="AE560" s="3052"/>
      <c r="AF560" s="3052"/>
      <c r="AG560" s="3052"/>
      <c r="AH560" s="3052"/>
      <c r="AI560" s="3052"/>
      <c r="AJ560" s="3052"/>
      <c r="AK560" s="1027"/>
      <c r="AL560" s="1027"/>
      <c r="AM560" s="1027"/>
      <c r="AN560" s="1000"/>
      <c r="AQ560" s="1135"/>
      <c r="AR560" s="1002"/>
    </row>
    <row r="561" spans="1:46" s="943" customFormat="1" ht="12.75" customHeight="1">
      <c r="A561" s="1027"/>
      <c r="B561" s="1118"/>
      <c r="C561" s="3052"/>
      <c r="D561" s="3052"/>
      <c r="E561" s="3052"/>
      <c r="F561" s="3052"/>
      <c r="G561" s="3052"/>
      <c r="H561" s="3052"/>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3052"/>
      <c r="AD561" s="3052"/>
      <c r="AE561" s="3052"/>
      <c r="AF561" s="3052"/>
      <c r="AG561" s="3052"/>
      <c r="AH561" s="3052"/>
      <c r="AI561" s="3052"/>
      <c r="AJ561" s="3052"/>
      <c r="AK561" s="1027"/>
      <c r="AL561" s="1027"/>
      <c r="AM561" s="1027"/>
      <c r="AN561" s="1000"/>
      <c r="AQ561" s="1135"/>
      <c r="AR561" s="1002"/>
    </row>
    <row r="562" spans="1:46" s="943" customFormat="1" ht="12.6" customHeight="1">
      <c r="A562" s="1027"/>
      <c r="B562" s="1118"/>
      <c r="C562" s="3052"/>
      <c r="D562" s="3052"/>
      <c r="E562" s="3052"/>
      <c r="F562" s="3052"/>
      <c r="G562" s="3052"/>
      <c r="H562" s="3052"/>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3052"/>
      <c r="AD562" s="3052"/>
      <c r="AE562" s="3052"/>
      <c r="AF562" s="3052"/>
      <c r="AG562" s="3052"/>
      <c r="AH562" s="3052"/>
      <c r="AI562" s="3052"/>
      <c r="AJ562" s="3052"/>
      <c r="AK562" s="1027"/>
      <c r="AL562" s="1027"/>
      <c r="AM562" s="1027"/>
      <c r="AN562" s="1000"/>
      <c r="AQ562" s="1135"/>
      <c r="AR562" s="1135"/>
    </row>
    <row r="563" spans="1:46" s="943" customFormat="1" ht="24.95" customHeight="1">
      <c r="A563" s="1027"/>
      <c r="B563" s="1118"/>
      <c r="C563" s="3052" t="s">
        <v>1738</v>
      </c>
      <c r="D563" s="3052"/>
      <c r="E563" s="3052"/>
      <c r="F563" s="3052"/>
      <c r="G563" s="3052"/>
      <c r="H563" s="3052"/>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3052"/>
      <c r="AD563" s="3052"/>
      <c r="AE563" s="3052"/>
      <c r="AF563" s="3052"/>
      <c r="AG563" s="3052"/>
      <c r="AH563" s="3052"/>
      <c r="AI563" s="3052"/>
      <c r="AJ563" s="3052"/>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52" t="s">
        <v>2389</v>
      </c>
      <c r="D565" s="3052"/>
      <c r="E565" s="3052"/>
      <c r="F565" s="3052"/>
      <c r="G565" s="3052"/>
      <c r="H565" s="3052"/>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3052"/>
      <c r="AD565" s="3052"/>
      <c r="AE565" s="3052"/>
      <c r="AF565" s="3052"/>
      <c r="AG565" s="3052"/>
      <c r="AH565" s="3052"/>
      <c r="AI565" s="3052"/>
      <c r="AJ565" s="3052"/>
      <c r="AK565" s="1027"/>
      <c r="AL565" s="1027"/>
      <c r="AM565" s="1027"/>
      <c r="AN565" s="1000"/>
      <c r="AQ565" s="1135"/>
      <c r="AR565" s="1135"/>
    </row>
    <row r="566" spans="1:46" s="943" customFormat="1" ht="30" customHeight="1">
      <c r="A566" s="1027"/>
      <c r="B566" s="1118"/>
      <c r="C566" s="3052"/>
      <c r="D566" s="3052"/>
      <c r="E566" s="3052"/>
      <c r="F566" s="3052"/>
      <c r="G566" s="3052"/>
      <c r="H566" s="3052"/>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3052"/>
      <c r="AD566" s="3052"/>
      <c r="AE566" s="3052"/>
      <c r="AF566" s="3052"/>
      <c r="AG566" s="3052"/>
      <c r="AH566" s="3052"/>
      <c r="AI566" s="3052"/>
      <c r="AJ566" s="3052"/>
      <c r="AK566" s="1027"/>
      <c r="AL566" s="1027"/>
      <c r="AM566" s="1027"/>
      <c r="AN566" s="1000"/>
      <c r="AQ566" s="1002"/>
      <c r="AR566" s="1135"/>
    </row>
    <row r="567" spans="1:46" s="943" customFormat="1" ht="12.75" customHeight="1">
      <c r="A567" s="1027"/>
      <c r="B567" s="1118"/>
      <c r="C567" s="3052"/>
      <c r="D567" s="3052"/>
      <c r="E567" s="3052"/>
      <c r="F567" s="3052"/>
      <c r="G567" s="3052"/>
      <c r="H567" s="3052"/>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3052"/>
      <c r="AD567" s="3052"/>
      <c r="AE567" s="3052"/>
      <c r="AF567" s="3052"/>
      <c r="AG567" s="3052"/>
      <c r="AH567" s="3052"/>
      <c r="AI567" s="3052"/>
      <c r="AJ567" s="3052"/>
      <c r="AK567" s="1027"/>
      <c r="AL567" s="1027"/>
      <c r="AM567" s="1027"/>
      <c r="AN567" s="1000"/>
      <c r="AQ567" s="1002"/>
      <c r="AR567" s="1135"/>
    </row>
    <row r="568" spans="1:46" s="943" customFormat="1" ht="12.75" customHeight="1">
      <c r="A568" s="1027"/>
      <c r="B568" s="1118"/>
      <c r="C568" s="3052" t="s">
        <v>1739</v>
      </c>
      <c r="D568" s="3052"/>
      <c r="E568" s="3052"/>
      <c r="F568" s="3052"/>
      <c r="G568" s="3052"/>
      <c r="H568" s="3052"/>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3052"/>
      <c r="AD568" s="3052"/>
      <c r="AE568" s="3052"/>
      <c r="AF568" s="3052"/>
      <c r="AG568" s="3052"/>
      <c r="AH568" s="3052"/>
      <c r="AI568" s="3052"/>
      <c r="AJ568" s="3052"/>
      <c r="AK568" s="1027"/>
      <c r="AL568" s="1027"/>
      <c r="AM568" s="1027"/>
      <c r="AN568" s="1000"/>
      <c r="AQ568" s="1135"/>
      <c r="AR568" s="1135"/>
    </row>
    <row r="569" spans="1:46" s="943" customFormat="1" ht="12.75" customHeight="1">
      <c r="A569" s="1027"/>
      <c r="B569" s="1118"/>
      <c r="C569" s="3052"/>
      <c r="D569" s="3052"/>
      <c r="E569" s="3052"/>
      <c r="F569" s="3052"/>
      <c r="G569" s="3052"/>
      <c r="H569" s="3052"/>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3052"/>
      <c r="AD569" s="3052"/>
      <c r="AE569" s="3052"/>
      <c r="AF569" s="3052"/>
      <c r="AG569" s="3052"/>
      <c r="AH569" s="3052"/>
      <c r="AI569" s="3052"/>
      <c r="AJ569" s="3052"/>
      <c r="AK569" s="1027"/>
      <c r="AL569" s="1027"/>
      <c r="AM569" s="1027"/>
      <c r="AN569" s="1000"/>
      <c r="AQ569" s="1135"/>
      <c r="AR569" s="1135"/>
    </row>
    <row r="570" spans="1:46" s="943" customFormat="1" ht="13.35" customHeight="1">
      <c r="A570" s="1027"/>
      <c r="B570" s="1118"/>
      <c r="C570" s="3052"/>
      <c r="D570" s="3052"/>
      <c r="E570" s="3052"/>
      <c r="F570" s="3052"/>
      <c r="G570" s="3052"/>
      <c r="H570" s="3052"/>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3052"/>
      <c r="AD570" s="3052"/>
      <c r="AE570" s="3052"/>
      <c r="AF570" s="3052"/>
      <c r="AG570" s="3052"/>
      <c r="AH570" s="3052"/>
      <c r="AI570" s="3052"/>
      <c r="AJ570" s="3052"/>
      <c r="AK570" s="1027"/>
      <c r="AL570" s="1027"/>
      <c r="AM570" s="1027"/>
      <c r="AN570" s="1000"/>
      <c r="AQ570" s="1135"/>
      <c r="AR570" s="1135"/>
    </row>
    <row r="571" spans="1:46" s="943" customFormat="1" ht="12.75" customHeight="1">
      <c r="A571" s="1027"/>
      <c r="B571" s="1118"/>
      <c r="C571" s="3052"/>
      <c r="D571" s="3052"/>
      <c r="E571" s="3052"/>
      <c r="F571" s="3052"/>
      <c r="G571" s="3052"/>
      <c r="H571" s="3052"/>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3052"/>
      <c r="AD571" s="3052"/>
      <c r="AE571" s="3052"/>
      <c r="AF571" s="3052"/>
      <c r="AG571" s="3052"/>
      <c r="AH571" s="3052"/>
      <c r="AI571" s="3052"/>
      <c r="AJ571" s="3052"/>
      <c r="AK571" s="1027"/>
      <c r="AL571" s="1027"/>
      <c r="AM571" s="1027"/>
      <c r="AN571" s="1000"/>
      <c r="AO571" s="1150"/>
      <c r="AP571" s="1150"/>
      <c r="AQ571" s="1135"/>
      <c r="AR571" s="1002"/>
    </row>
    <row r="572" spans="1:46" s="943" customFormat="1" ht="11.85" customHeight="1">
      <c r="A572" s="1027"/>
      <c r="B572" s="1118"/>
      <c r="C572" s="3052"/>
      <c r="D572" s="3052"/>
      <c r="E572" s="3052"/>
      <c r="F572" s="3052"/>
      <c r="G572" s="3052"/>
      <c r="H572" s="3052"/>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3052"/>
      <c r="AD572" s="3052"/>
      <c r="AE572" s="3052"/>
      <c r="AF572" s="3052"/>
      <c r="AG572" s="3052"/>
      <c r="AH572" s="3052"/>
      <c r="AI572" s="3052"/>
      <c r="AJ572" s="3052"/>
      <c r="AK572" s="1027"/>
      <c r="AL572" s="1027"/>
      <c r="AM572" s="1027"/>
      <c r="AN572" s="1000"/>
      <c r="AO572" s="1151" t="s">
        <v>117</v>
      </c>
      <c r="AP572" s="1152">
        <f>IF(C596="Yes",5,0)</f>
        <v>0</v>
      </c>
      <c r="AQ572" s="1002"/>
      <c r="AR572" s="1002"/>
      <c r="AS572" s="932" t="s">
        <v>1740</v>
      </c>
    </row>
    <row r="573" spans="1:46" s="943" customFormat="1" ht="12.75" customHeight="1">
      <c r="A573" s="1027"/>
      <c r="B573" s="1118"/>
      <c r="C573" s="3052"/>
      <c r="D573" s="3052"/>
      <c r="E573" s="3052"/>
      <c r="F573" s="3052"/>
      <c r="G573" s="3052"/>
      <c r="H573" s="3052"/>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3052"/>
      <c r="AD573" s="3052"/>
      <c r="AE573" s="3052"/>
      <c r="AF573" s="3052"/>
      <c r="AG573" s="3052"/>
      <c r="AH573" s="3052"/>
      <c r="AI573" s="3052"/>
      <c r="AJ573" s="3052"/>
      <c r="AK573" s="1027"/>
      <c r="AL573" s="1027"/>
      <c r="AM573" s="1027"/>
      <c r="AN573" s="1000"/>
      <c r="AO573" s="1151" t="s">
        <v>118</v>
      </c>
      <c r="AP573" s="1152">
        <f>IF(C604="Yes",5,0)</f>
        <v>0</v>
      </c>
      <c r="AQ573" s="1002"/>
      <c r="AR573" s="1002"/>
      <c r="AS573" s="3017">
        <f>IF(Application!D210="Non-Targeted",(SUM(AQ581+AQ590)),AS577)</f>
        <v>10</v>
      </c>
      <c r="AT573" s="3017"/>
    </row>
    <row r="574" spans="1:46" s="943" customFormat="1" ht="12.75" customHeight="1">
      <c r="A574" s="1027"/>
      <c r="B574" s="1118"/>
      <c r="C574" s="3052"/>
      <c r="D574" s="3052"/>
      <c r="E574" s="3052"/>
      <c r="F574" s="3052"/>
      <c r="G574" s="3052"/>
      <c r="H574" s="3052"/>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3052"/>
      <c r="AD574" s="3052"/>
      <c r="AE574" s="3052"/>
      <c r="AF574" s="3052"/>
      <c r="AG574" s="3052"/>
      <c r="AH574" s="3052"/>
      <c r="AI574" s="3052"/>
      <c r="AJ574" s="3052"/>
      <c r="AK574" s="1027"/>
      <c r="AL574" s="1027"/>
      <c r="AM574" s="1027"/>
      <c r="AN574" s="1000"/>
      <c r="AO574" s="1151" t="s">
        <v>124</v>
      </c>
      <c r="AP574" s="1152">
        <f>IF(C612="Yes",7,0)</f>
        <v>7</v>
      </c>
      <c r="AS574" s="932" t="s">
        <v>1741</v>
      </c>
    </row>
    <row r="575" spans="1:46" s="943" customFormat="1" ht="12.75" customHeight="1">
      <c r="A575" s="1027"/>
      <c r="B575" s="1118"/>
      <c r="C575" s="3052"/>
      <c r="D575" s="3052"/>
      <c r="E575" s="3052"/>
      <c r="F575" s="3052"/>
      <c r="G575" s="3052"/>
      <c r="H575" s="3052"/>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3052"/>
      <c r="AD575" s="3052"/>
      <c r="AE575" s="3052"/>
      <c r="AF575" s="3052"/>
      <c r="AG575" s="3052"/>
      <c r="AH575" s="3052"/>
      <c r="AI575" s="3052"/>
      <c r="AJ575" s="3052"/>
      <c r="AK575" s="1027"/>
      <c r="AL575" s="1027"/>
      <c r="AM575" s="1027"/>
      <c r="AN575" s="1000"/>
      <c r="AO575" s="1000"/>
      <c r="AP575" s="1152">
        <f>IF(C614="Yes",5,0)</f>
        <v>0</v>
      </c>
      <c r="AS575" s="3017">
        <f>IF(AND(AQ581&gt;0,AQ590&gt;0),(AQ581+AQ590)/2,0)</f>
        <v>0</v>
      </c>
      <c r="AT575" s="3017"/>
    </row>
    <row r="576" spans="1:46" s="943" customFormat="1" ht="12.75" customHeight="1">
      <c r="A576" s="1027"/>
      <c r="B576" s="1118"/>
      <c r="C576" s="3052"/>
      <c r="D576" s="3052"/>
      <c r="E576" s="3052"/>
      <c r="F576" s="3052"/>
      <c r="G576" s="3052"/>
      <c r="H576" s="3052"/>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3052"/>
      <c r="AD576" s="3052"/>
      <c r="AE576" s="3052"/>
      <c r="AF576" s="3052"/>
      <c r="AG576" s="3052"/>
      <c r="AH576" s="3052"/>
      <c r="AI576" s="3052"/>
      <c r="AJ576" s="3052"/>
      <c r="AK576" s="1027"/>
      <c r="AL576" s="1027"/>
      <c r="AM576" s="1027"/>
      <c r="AN576" s="1000"/>
      <c r="AO576" s="1151" t="s">
        <v>615</v>
      </c>
      <c r="AP576" s="1152">
        <f>IF(C622="Yes",5,0)</f>
        <v>0</v>
      </c>
      <c r="AQ576" s="1002"/>
      <c r="AR576" s="1002"/>
      <c r="AS576" s="932" t="s">
        <v>2412</v>
      </c>
    </row>
    <row r="577" spans="1:81" s="943" customFormat="1" ht="12.75" customHeight="1">
      <c r="A577" s="1027"/>
      <c r="B577" s="1118"/>
      <c r="C577" s="3159" t="s">
        <v>1742</v>
      </c>
      <c r="D577" s="3159"/>
      <c r="E577" s="3159"/>
      <c r="F577" s="3159"/>
      <c r="G577" s="3159"/>
      <c r="H577" s="3159"/>
      <c r="I577" s="3159"/>
      <c r="J577" s="3159"/>
      <c r="K577" s="3159"/>
      <c r="L577" s="3159"/>
      <c r="M577" s="3159"/>
      <c r="N577" s="3159"/>
      <c r="O577" s="3159"/>
      <c r="P577" s="3159"/>
      <c r="Q577" s="3159"/>
      <c r="R577" s="3159"/>
      <c r="S577" s="3159"/>
      <c r="T577" s="3159"/>
      <c r="U577" s="3159"/>
      <c r="V577" s="3159"/>
      <c r="W577" s="3159"/>
      <c r="X577" s="3159"/>
      <c r="Y577" s="3159"/>
      <c r="Z577" s="3159"/>
      <c r="AA577" s="3159"/>
      <c r="AB577" s="3159"/>
      <c r="AC577" s="3159"/>
      <c r="AD577" s="3159"/>
      <c r="AE577" s="3159"/>
      <c r="AF577" s="3159"/>
      <c r="AG577" s="3159"/>
      <c r="AH577" s="3159"/>
      <c r="AI577" s="3159"/>
      <c r="AJ577" s="3159"/>
      <c r="AK577" s="1027"/>
      <c r="AL577" s="1027"/>
      <c r="AM577" s="1027"/>
      <c r="AN577" s="1000"/>
      <c r="AO577" s="1000"/>
      <c r="AP577" s="1152">
        <f>IF(C624="Yes",3,0)</f>
        <v>3</v>
      </c>
      <c r="AS577" s="3017">
        <f>IF(AQ581=0,AQ590,AQ581)</f>
        <v>10</v>
      </c>
      <c r="AT577" s="3017"/>
    </row>
    <row r="578" spans="1:81" s="943" customFormat="1" ht="12.75" customHeight="1">
      <c r="A578" s="1027"/>
      <c r="B578" s="1118"/>
      <c r="C578" s="3159"/>
      <c r="D578" s="3159"/>
      <c r="E578" s="3159"/>
      <c r="F578" s="3159"/>
      <c r="G578" s="3159"/>
      <c r="H578" s="3159"/>
      <c r="I578" s="3159"/>
      <c r="J578" s="3159"/>
      <c r="K578" s="3159"/>
      <c r="L578" s="3159"/>
      <c r="M578" s="3159"/>
      <c r="N578" s="3159"/>
      <c r="O578" s="3159"/>
      <c r="P578" s="3159"/>
      <c r="Q578" s="3159"/>
      <c r="R578" s="3159"/>
      <c r="S578" s="3159"/>
      <c r="T578" s="3159"/>
      <c r="U578" s="3159"/>
      <c r="V578" s="3159"/>
      <c r="W578" s="3159"/>
      <c r="X578" s="3159"/>
      <c r="Y578" s="3159"/>
      <c r="Z578" s="3159"/>
      <c r="AA578" s="3159"/>
      <c r="AB578" s="3159"/>
      <c r="AC578" s="3159"/>
      <c r="AD578" s="3159"/>
      <c r="AE578" s="3159"/>
      <c r="AF578" s="3159"/>
      <c r="AG578" s="3159"/>
      <c r="AH578" s="3159"/>
      <c r="AI578" s="3159"/>
      <c r="AJ578" s="3159"/>
      <c r="AK578" s="1027"/>
      <c r="AL578" s="1027"/>
      <c r="AM578" s="1027"/>
      <c r="AN578" s="1000"/>
      <c r="AO578" s="1151" t="s">
        <v>820</v>
      </c>
      <c r="AP578" s="1152">
        <f>IF(C627="Yes",5,0)</f>
        <v>0</v>
      </c>
    </row>
    <row r="579" spans="1:81" s="943" customFormat="1" ht="12.75" customHeight="1">
      <c r="A579" s="1027"/>
      <c r="B579" s="1118"/>
      <c r="C579" s="3159"/>
      <c r="D579" s="3159"/>
      <c r="E579" s="3159"/>
      <c r="F579" s="3159"/>
      <c r="G579" s="3159"/>
      <c r="H579" s="3159"/>
      <c r="I579" s="3159"/>
      <c r="J579" s="3159"/>
      <c r="K579" s="3159"/>
      <c r="L579" s="3159"/>
      <c r="M579" s="3159"/>
      <c r="N579" s="3159"/>
      <c r="O579" s="3159"/>
      <c r="P579" s="3159"/>
      <c r="Q579" s="3159"/>
      <c r="R579" s="3159"/>
      <c r="S579" s="3159"/>
      <c r="T579" s="3159"/>
      <c r="U579" s="3159"/>
      <c r="V579" s="3159"/>
      <c r="W579" s="3159"/>
      <c r="X579" s="3159"/>
      <c r="Y579" s="3159"/>
      <c r="Z579" s="3159"/>
      <c r="AA579" s="3159"/>
      <c r="AB579" s="3159"/>
      <c r="AC579" s="3159"/>
      <c r="AD579" s="3159"/>
      <c r="AE579" s="3159"/>
      <c r="AF579" s="3159"/>
      <c r="AG579" s="3159"/>
      <c r="AH579" s="3159"/>
      <c r="AI579" s="3159"/>
      <c r="AJ579" s="3159"/>
      <c r="AK579" s="1027"/>
      <c r="AL579" s="1027"/>
      <c r="AM579" s="1027"/>
      <c r="AN579" s="1000"/>
      <c r="AO579" s="1151" t="s">
        <v>618</v>
      </c>
      <c r="AP579" s="1152">
        <f>IF(C636="Yes",5,0)</f>
        <v>0</v>
      </c>
    </row>
    <row r="580" spans="1:81" s="943" customFormat="1" ht="11.85" customHeight="1">
      <c r="A580" s="1027"/>
      <c r="B580" s="1118"/>
      <c r="C580" s="3159"/>
      <c r="D580" s="3159"/>
      <c r="E580" s="3159"/>
      <c r="F580" s="3159"/>
      <c r="G580" s="3159"/>
      <c r="H580" s="3159"/>
      <c r="I580" s="3159"/>
      <c r="J580" s="3159"/>
      <c r="K580" s="3159"/>
      <c r="L580" s="3159"/>
      <c r="M580" s="3159"/>
      <c r="N580" s="3159"/>
      <c r="O580" s="3159"/>
      <c r="P580" s="3159"/>
      <c r="Q580" s="3159"/>
      <c r="R580" s="3159"/>
      <c r="S580" s="3159"/>
      <c r="T580" s="3159"/>
      <c r="U580" s="3159"/>
      <c r="V580" s="3159"/>
      <c r="W580" s="3159"/>
      <c r="X580" s="3159"/>
      <c r="Y580" s="3159"/>
      <c r="Z580" s="3159"/>
      <c r="AA580" s="3159"/>
      <c r="AB580" s="3159"/>
      <c r="AC580" s="3159"/>
      <c r="AD580" s="3159"/>
      <c r="AE580" s="3159"/>
      <c r="AF580" s="3159"/>
      <c r="AG580" s="3159"/>
      <c r="AH580" s="3159"/>
      <c r="AI580" s="3159"/>
      <c r="AJ580" s="3159"/>
      <c r="AK580" s="1027"/>
      <c r="AL580" s="1027"/>
      <c r="AM580" s="1027"/>
      <c r="AN580" s="1000"/>
      <c r="AO580" s="1153"/>
      <c r="AP580" s="1154">
        <f>IF(C638="Yes",3,0)</f>
        <v>0</v>
      </c>
    </row>
    <row r="581" spans="1:81" s="943" customFormat="1" ht="12.6" customHeight="1">
      <c r="A581" s="1027"/>
      <c r="B581" s="1118"/>
      <c r="C581" s="3159"/>
      <c r="D581" s="3159"/>
      <c r="E581" s="3159"/>
      <c r="F581" s="3159"/>
      <c r="G581" s="3159"/>
      <c r="H581" s="3159"/>
      <c r="I581" s="3159"/>
      <c r="J581" s="3159"/>
      <c r="K581" s="3159"/>
      <c r="L581" s="3159"/>
      <c r="M581" s="3159"/>
      <c r="N581" s="3159"/>
      <c r="O581" s="3159"/>
      <c r="P581" s="3159"/>
      <c r="Q581" s="3159"/>
      <c r="R581" s="3159"/>
      <c r="S581" s="3159"/>
      <c r="T581" s="3159"/>
      <c r="U581" s="3159"/>
      <c r="V581" s="3159"/>
      <c r="W581" s="3159"/>
      <c r="X581" s="3159"/>
      <c r="Y581" s="3159"/>
      <c r="Z581" s="3159"/>
      <c r="AA581" s="3159"/>
      <c r="AB581" s="3159"/>
      <c r="AC581" s="3159"/>
      <c r="AD581" s="3159"/>
      <c r="AE581" s="3159"/>
      <c r="AF581" s="3159"/>
      <c r="AG581" s="3159"/>
      <c r="AH581" s="3159"/>
      <c r="AI581" s="3159"/>
      <c r="AJ581" s="3159"/>
      <c r="AK581" s="1027"/>
      <c r="AL581" s="1027"/>
      <c r="AM581" s="1027"/>
      <c r="AN581" s="1000"/>
      <c r="AO581" s="1155" t="s">
        <v>233</v>
      </c>
      <c r="AP581" s="1156">
        <f>SUM(AP572:AP580)</f>
        <v>10</v>
      </c>
      <c r="AQ581" s="3055">
        <f>IF(AP581&gt;0,AP581,0)</f>
        <v>10</v>
      </c>
      <c r="AR581" s="3055"/>
    </row>
    <row r="582" spans="1:81" s="943" customFormat="1" ht="12.75" customHeight="1">
      <c r="A582" s="1027"/>
      <c r="B582" s="1118"/>
      <c r="C582" s="3159"/>
      <c r="D582" s="3159"/>
      <c r="E582" s="3159"/>
      <c r="F582" s="3159"/>
      <c r="G582" s="3159"/>
      <c r="H582" s="3159"/>
      <c r="I582" s="3159"/>
      <c r="J582" s="3159"/>
      <c r="K582" s="3159"/>
      <c r="L582" s="3159"/>
      <c r="M582" s="3159"/>
      <c r="N582" s="3159"/>
      <c r="O582" s="3159"/>
      <c r="P582" s="3159"/>
      <c r="Q582" s="3159"/>
      <c r="R582" s="3159"/>
      <c r="S582" s="3159"/>
      <c r="T582" s="3159"/>
      <c r="U582" s="3159"/>
      <c r="V582" s="3159"/>
      <c r="W582" s="3159"/>
      <c r="X582" s="3159"/>
      <c r="Y582" s="3159"/>
      <c r="Z582" s="3159"/>
      <c r="AA582" s="3159"/>
      <c r="AB582" s="3159"/>
      <c r="AC582" s="3159"/>
      <c r="AD582" s="3159"/>
      <c r="AE582" s="3159"/>
      <c r="AF582" s="3159"/>
      <c r="AG582" s="3159"/>
      <c r="AH582" s="3159"/>
      <c r="AI582" s="3159"/>
      <c r="AJ582" s="315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52" t="s">
        <v>1743</v>
      </c>
      <c r="D584" s="3052"/>
      <c r="E584" s="3052"/>
      <c r="F584" s="3052"/>
      <c r="G584" s="3052"/>
      <c r="H584" s="3052"/>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3052"/>
      <c r="AD584" s="3052"/>
      <c r="AE584" s="3052"/>
      <c r="AF584" s="3052"/>
      <c r="AG584" s="3052"/>
      <c r="AH584" s="3052"/>
      <c r="AI584" s="3052"/>
      <c r="AJ584" s="3052"/>
      <c r="AK584" s="1027"/>
      <c r="AL584" s="1027"/>
      <c r="AM584" s="1027"/>
      <c r="AN584" s="1000"/>
      <c r="AO584" s="1151" t="s">
        <v>487</v>
      </c>
      <c r="AP584" s="1152">
        <f>IF(C657="Yes",5,0)</f>
        <v>0</v>
      </c>
    </row>
    <row r="585" spans="1:81" s="943" customFormat="1" ht="12.75" customHeight="1">
      <c r="A585" s="1027"/>
      <c r="B585" s="1118"/>
      <c r="C585" s="3052"/>
      <c r="D585" s="3052"/>
      <c r="E585" s="3052"/>
      <c r="F585" s="3052"/>
      <c r="G585" s="3052"/>
      <c r="H585" s="3052"/>
      <c r="I585" s="3052"/>
      <c r="J585" s="3052"/>
      <c r="K585" s="3052"/>
      <c r="L585" s="3052"/>
      <c r="M585" s="3052"/>
      <c r="N585" s="3052"/>
      <c r="O585" s="3052"/>
      <c r="P585" s="3052"/>
      <c r="Q585" s="3052"/>
      <c r="R585" s="3052"/>
      <c r="S585" s="3052"/>
      <c r="T585" s="3052"/>
      <c r="U585" s="3052"/>
      <c r="V585" s="3052"/>
      <c r="W585" s="3052"/>
      <c r="X585" s="3052"/>
      <c r="Y585" s="3052"/>
      <c r="Z585" s="3052"/>
      <c r="AA585" s="3052"/>
      <c r="AB585" s="3052"/>
      <c r="AC585" s="3052"/>
      <c r="AD585" s="3052"/>
      <c r="AE585" s="3052"/>
      <c r="AF585" s="3052"/>
      <c r="AG585" s="3052"/>
      <c r="AH585" s="3052"/>
      <c r="AI585" s="3052"/>
      <c r="AJ585" s="3052"/>
      <c r="AK585" s="1027"/>
      <c r="AL585" s="1027"/>
      <c r="AM585" s="1027"/>
      <c r="AN585" s="1000"/>
      <c r="AO585" s="1151" t="s">
        <v>493</v>
      </c>
      <c r="AP585" s="1152">
        <f>IF(C664="Yes",5,0)</f>
        <v>0</v>
      </c>
    </row>
    <row r="586" spans="1:81" s="943" customFormat="1" ht="68.099999999999994" customHeight="1">
      <c r="A586" s="1027"/>
      <c r="B586" s="1118"/>
      <c r="C586" s="3052"/>
      <c r="D586" s="3052"/>
      <c r="E586" s="3052"/>
      <c r="F586" s="3052"/>
      <c r="G586" s="3052"/>
      <c r="H586" s="3052"/>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3052"/>
      <c r="AD586" s="3052"/>
      <c r="AE586" s="3052"/>
      <c r="AF586" s="3052"/>
      <c r="AG586" s="3052"/>
      <c r="AH586" s="3052"/>
      <c r="AI586" s="3052"/>
      <c r="AJ586" s="3052"/>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53">
        <f>'Service Amenities Budget'!J10</f>
        <v>393</v>
      </c>
      <c r="V588" s="3053"/>
      <c r="W588" s="305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54">
        <f>'Service Amenities Budget'!J9</f>
        <v>0</v>
      </c>
      <c r="V589" s="3054"/>
      <c r="W589" s="305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5">
        <f>IF(AP590&gt;0,AP590,0)</f>
        <v>0</v>
      </c>
      <c r="AR590" s="3055"/>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47" t="s">
        <v>1748</v>
      </c>
      <c r="G592" s="3047"/>
      <c r="H592" s="3047"/>
      <c r="I592" s="3047"/>
      <c r="J592" s="3047"/>
      <c r="K592" s="3047"/>
      <c r="L592" s="3047"/>
      <c r="M592" s="3047"/>
      <c r="N592" s="3047"/>
      <c r="O592" s="3047"/>
      <c r="P592" s="3047"/>
      <c r="Q592" s="3047"/>
      <c r="R592" s="3047"/>
      <c r="S592" s="3047"/>
      <c r="T592" s="3047"/>
      <c r="U592" s="3047"/>
      <c r="V592" s="3047"/>
      <c r="W592" s="3047"/>
      <c r="X592" s="3047"/>
      <c r="Y592" s="3047"/>
      <c r="Z592" s="3047"/>
      <c r="AA592" s="3047"/>
      <c r="AB592" s="3047"/>
      <c r="AC592" s="3047"/>
      <c r="AD592" s="3047"/>
      <c r="AE592" s="3047"/>
      <c r="AF592" s="304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8"/>
      <c r="G593" s="3048"/>
      <c r="H593" s="3048"/>
      <c r="I593" s="3048"/>
      <c r="J593" s="3048"/>
      <c r="K593" s="3048"/>
      <c r="L593" s="3048"/>
      <c r="M593" s="3048"/>
      <c r="N593" s="3048"/>
      <c r="O593" s="3048"/>
      <c r="P593" s="3048"/>
      <c r="Q593" s="3048"/>
      <c r="R593" s="3048"/>
      <c r="S593" s="3048"/>
      <c r="T593" s="3048"/>
      <c r="U593" s="3048"/>
      <c r="V593" s="3048"/>
      <c r="W593" s="3048"/>
      <c r="X593" s="3048"/>
      <c r="Y593" s="3048"/>
      <c r="Z593" s="3048"/>
      <c r="AA593" s="3048"/>
      <c r="AB593" s="3048"/>
      <c r="AC593" s="3048"/>
      <c r="AD593" s="3048"/>
      <c r="AE593" s="3048"/>
      <c r="AF593" s="304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8"/>
      <c r="G594" s="3048"/>
      <c r="H594" s="3048"/>
      <c r="I594" s="3048"/>
      <c r="J594" s="3048"/>
      <c r="K594" s="3048"/>
      <c r="L594" s="3048"/>
      <c r="M594" s="3048"/>
      <c r="N594" s="3048"/>
      <c r="O594" s="3048"/>
      <c r="P594" s="3048"/>
      <c r="Q594" s="3048"/>
      <c r="R594" s="3048"/>
      <c r="S594" s="3048"/>
      <c r="T594" s="3048"/>
      <c r="U594" s="3048"/>
      <c r="V594" s="3048"/>
      <c r="W594" s="3048"/>
      <c r="X594" s="3048"/>
      <c r="Y594" s="3048"/>
      <c r="Z594" s="3048"/>
      <c r="AA594" s="3048"/>
      <c r="AB594" s="3048"/>
      <c r="AC594" s="3048"/>
      <c r="AD594" s="3048"/>
      <c r="AE594" s="3048"/>
      <c r="AF594" s="304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8"/>
      <c r="G595" s="3048"/>
      <c r="H595" s="3048"/>
      <c r="I595" s="3048"/>
      <c r="J595" s="3048"/>
      <c r="K595" s="3048"/>
      <c r="L595" s="3048"/>
      <c r="M595" s="3048"/>
      <c r="N595" s="3048"/>
      <c r="O595" s="3048"/>
      <c r="P595" s="3048"/>
      <c r="Q595" s="3048"/>
      <c r="R595" s="3048"/>
      <c r="S595" s="3048"/>
      <c r="T595" s="3048"/>
      <c r="U595" s="3048"/>
      <c r="V595" s="3048"/>
      <c r="W595" s="3048"/>
      <c r="X595" s="3048"/>
      <c r="Y595" s="3048"/>
      <c r="Z595" s="3048"/>
      <c r="AA595" s="3048"/>
      <c r="AB595" s="3048"/>
      <c r="AC595" s="3048"/>
      <c r="AD595" s="3048"/>
      <c r="AE595" s="3048"/>
      <c r="AF595" s="304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6" t="s">
        <v>625</v>
      </c>
      <c r="D596" s="3057"/>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8" t="s">
        <v>1750</v>
      </c>
      <c r="AG596" s="3058"/>
      <c r="AH596" s="3058"/>
      <c r="AI596" s="3058"/>
      <c r="AJ596" s="3058"/>
      <c r="AK596" s="3058"/>
      <c r="AL596" s="305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47" t="s">
        <v>1751</v>
      </c>
      <c r="G599" s="3047"/>
      <c r="H599" s="3047"/>
      <c r="I599" s="3047"/>
      <c r="J599" s="3047"/>
      <c r="K599" s="3047"/>
      <c r="L599" s="3047"/>
      <c r="M599" s="3047"/>
      <c r="N599" s="3047"/>
      <c r="O599" s="3047"/>
      <c r="P599" s="3047"/>
      <c r="Q599" s="3047"/>
      <c r="R599" s="3047"/>
      <c r="S599" s="3047"/>
      <c r="T599" s="3047"/>
      <c r="U599" s="3047"/>
      <c r="V599" s="3047"/>
      <c r="W599" s="3047"/>
      <c r="X599" s="3047"/>
      <c r="Y599" s="3047"/>
      <c r="Z599" s="3047"/>
      <c r="AA599" s="3047"/>
      <c r="AB599" s="3047"/>
      <c r="AC599" s="3047"/>
      <c r="AD599" s="3047"/>
      <c r="AE599" s="3047"/>
      <c r="AF599" s="304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8"/>
      <c r="G600" s="3048"/>
      <c r="H600" s="3048"/>
      <c r="I600" s="3048"/>
      <c r="J600" s="3048"/>
      <c r="K600" s="3048"/>
      <c r="L600" s="3048"/>
      <c r="M600" s="3048"/>
      <c r="N600" s="3048"/>
      <c r="O600" s="3048"/>
      <c r="P600" s="3048"/>
      <c r="Q600" s="3048"/>
      <c r="R600" s="3048"/>
      <c r="S600" s="3048"/>
      <c r="T600" s="3048"/>
      <c r="U600" s="3048"/>
      <c r="V600" s="3048"/>
      <c r="W600" s="3048"/>
      <c r="X600" s="3048"/>
      <c r="Y600" s="3048"/>
      <c r="Z600" s="3048"/>
      <c r="AA600" s="3048"/>
      <c r="AB600" s="3048"/>
      <c r="AC600" s="3048"/>
      <c r="AD600" s="3048"/>
      <c r="AE600" s="3048"/>
      <c r="AF600" s="304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8"/>
      <c r="G601" s="3048"/>
      <c r="H601" s="3048"/>
      <c r="I601" s="3048"/>
      <c r="J601" s="3048"/>
      <c r="K601" s="3048"/>
      <c r="L601" s="3048"/>
      <c r="M601" s="3048"/>
      <c r="N601" s="3048"/>
      <c r="O601" s="3048"/>
      <c r="P601" s="3048"/>
      <c r="Q601" s="3048"/>
      <c r="R601" s="3048"/>
      <c r="S601" s="3048"/>
      <c r="T601" s="3048"/>
      <c r="U601" s="3048"/>
      <c r="V601" s="3048"/>
      <c r="W601" s="3048"/>
      <c r="X601" s="3048"/>
      <c r="Y601" s="3048"/>
      <c r="Z601" s="3048"/>
      <c r="AA601" s="3048"/>
      <c r="AB601" s="3048"/>
      <c r="AC601" s="3048"/>
      <c r="AD601" s="3048"/>
      <c r="AE601" s="3048"/>
      <c r="AF601" s="304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8"/>
      <c r="G602" s="3048"/>
      <c r="H602" s="3048"/>
      <c r="I602" s="3048"/>
      <c r="J602" s="3048"/>
      <c r="K602" s="3048"/>
      <c r="L602" s="3048"/>
      <c r="M602" s="3048"/>
      <c r="N602" s="3048"/>
      <c r="O602" s="3048"/>
      <c r="P602" s="3048"/>
      <c r="Q602" s="3048"/>
      <c r="R602" s="3048"/>
      <c r="S602" s="3048"/>
      <c r="T602" s="3048"/>
      <c r="U602" s="3048"/>
      <c r="V602" s="3048"/>
      <c r="W602" s="3048"/>
      <c r="X602" s="3048"/>
      <c r="Y602" s="3048"/>
      <c r="Z602" s="3048"/>
      <c r="AA602" s="3048"/>
      <c r="AB602" s="3048"/>
      <c r="AC602" s="3048"/>
      <c r="AD602" s="3048"/>
      <c r="AE602" s="3048"/>
      <c r="AF602" s="304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8"/>
      <c r="G603" s="3048"/>
      <c r="H603" s="3048"/>
      <c r="I603" s="3048"/>
      <c r="J603" s="3048"/>
      <c r="K603" s="3048"/>
      <c r="L603" s="3048"/>
      <c r="M603" s="3048"/>
      <c r="N603" s="3048"/>
      <c r="O603" s="3048"/>
      <c r="P603" s="3048"/>
      <c r="Q603" s="3048"/>
      <c r="R603" s="3048"/>
      <c r="S603" s="3048"/>
      <c r="T603" s="3048"/>
      <c r="U603" s="3048"/>
      <c r="V603" s="3048"/>
      <c r="W603" s="3048"/>
      <c r="X603" s="3048"/>
      <c r="Y603" s="3048"/>
      <c r="Z603" s="3048"/>
      <c r="AA603" s="3048"/>
      <c r="AB603" s="3048"/>
      <c r="AC603" s="3048"/>
      <c r="AD603" s="3048"/>
      <c r="AE603" s="3048"/>
      <c r="AF603" s="304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6" t="s">
        <v>625</v>
      </c>
      <c r="D604" s="3057"/>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8" t="s">
        <v>1750</v>
      </c>
      <c r="AG604" s="3058"/>
      <c r="AH604" s="3058"/>
      <c r="AI604" s="3058"/>
      <c r="AJ604" s="3058"/>
      <c r="AK604" s="3058"/>
      <c r="AL604" s="305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47" t="s">
        <v>1753</v>
      </c>
      <c r="G607" s="3047"/>
      <c r="H607" s="3047"/>
      <c r="I607" s="3047"/>
      <c r="J607" s="3047"/>
      <c r="K607" s="3047"/>
      <c r="L607" s="3047"/>
      <c r="M607" s="3047"/>
      <c r="N607" s="3047"/>
      <c r="O607" s="3047"/>
      <c r="P607" s="3047"/>
      <c r="Q607" s="3047"/>
      <c r="R607" s="3047"/>
      <c r="S607" s="3047"/>
      <c r="T607" s="3047"/>
      <c r="U607" s="3047"/>
      <c r="V607" s="3047"/>
      <c r="W607" s="3047"/>
      <c r="X607" s="3047"/>
      <c r="Y607" s="3047"/>
      <c r="Z607" s="3047"/>
      <c r="AA607" s="3047"/>
      <c r="AB607" s="3047"/>
      <c r="AC607" s="3047"/>
      <c r="AD607" s="3047"/>
      <c r="AE607" s="3047"/>
      <c r="AF607" s="304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8"/>
      <c r="G608" s="3048"/>
      <c r="H608" s="3048"/>
      <c r="I608" s="3048"/>
      <c r="J608" s="3048"/>
      <c r="K608" s="3048"/>
      <c r="L608" s="3048"/>
      <c r="M608" s="3048"/>
      <c r="N608" s="3048"/>
      <c r="O608" s="3048"/>
      <c r="P608" s="3048"/>
      <c r="Q608" s="3048"/>
      <c r="R608" s="3048"/>
      <c r="S608" s="3048"/>
      <c r="T608" s="3048"/>
      <c r="U608" s="3048"/>
      <c r="V608" s="3048"/>
      <c r="W608" s="3048"/>
      <c r="X608" s="3048"/>
      <c r="Y608" s="3048"/>
      <c r="Z608" s="3048"/>
      <c r="AA608" s="3048"/>
      <c r="AB608" s="3048"/>
      <c r="AC608" s="3048"/>
      <c r="AD608" s="3048"/>
      <c r="AE608" s="3048"/>
      <c r="AF608" s="304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8"/>
      <c r="G609" s="3048"/>
      <c r="H609" s="3048"/>
      <c r="I609" s="3048"/>
      <c r="J609" s="3048"/>
      <c r="K609" s="3048"/>
      <c r="L609" s="3048"/>
      <c r="M609" s="3048"/>
      <c r="N609" s="3048"/>
      <c r="O609" s="3048"/>
      <c r="P609" s="3048"/>
      <c r="Q609" s="3048"/>
      <c r="R609" s="3048"/>
      <c r="S609" s="3048"/>
      <c r="T609" s="3048"/>
      <c r="U609" s="3048"/>
      <c r="V609" s="3048"/>
      <c r="W609" s="3048"/>
      <c r="X609" s="3048"/>
      <c r="Y609" s="3048"/>
      <c r="Z609" s="3048"/>
      <c r="AA609" s="3048"/>
      <c r="AB609" s="3048"/>
      <c r="AC609" s="3048"/>
      <c r="AD609" s="3048"/>
      <c r="AE609" s="3048"/>
      <c r="AF609" s="304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8"/>
      <c r="G610" s="3048"/>
      <c r="H610" s="3048"/>
      <c r="I610" s="3048"/>
      <c r="J610" s="3048"/>
      <c r="K610" s="3048"/>
      <c r="L610" s="3048"/>
      <c r="M610" s="3048"/>
      <c r="N610" s="3048"/>
      <c r="O610" s="3048"/>
      <c r="P610" s="3048"/>
      <c r="Q610" s="3048"/>
      <c r="R610" s="3048"/>
      <c r="S610" s="3048"/>
      <c r="T610" s="3048"/>
      <c r="U610" s="3048"/>
      <c r="V610" s="3048"/>
      <c r="W610" s="3048"/>
      <c r="X610" s="3048"/>
      <c r="Y610" s="3048"/>
      <c r="Z610" s="3048"/>
      <c r="AA610" s="3048"/>
      <c r="AB610" s="3048"/>
      <c r="AC610" s="3048"/>
      <c r="AD610" s="3048"/>
      <c r="AE610" s="3048"/>
      <c r="AF610" s="304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8"/>
      <c r="G611" s="3048"/>
      <c r="H611" s="3048"/>
      <c r="I611" s="3048"/>
      <c r="J611" s="3048"/>
      <c r="K611" s="3048"/>
      <c r="L611" s="3048"/>
      <c r="M611" s="3048"/>
      <c r="N611" s="3048"/>
      <c r="O611" s="3048"/>
      <c r="P611" s="3048"/>
      <c r="Q611" s="3048"/>
      <c r="R611" s="3048"/>
      <c r="S611" s="3048"/>
      <c r="T611" s="3048"/>
      <c r="U611" s="3048"/>
      <c r="V611" s="3048"/>
      <c r="W611" s="3048"/>
      <c r="X611" s="3048"/>
      <c r="Y611" s="3048"/>
      <c r="Z611" s="3048"/>
      <c r="AA611" s="3048"/>
      <c r="AB611" s="3048"/>
      <c r="AC611" s="3048"/>
      <c r="AD611" s="3048"/>
      <c r="AE611" s="3048"/>
      <c r="AF611" s="304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6" t="s">
        <v>577</v>
      </c>
      <c r="D612" s="3057"/>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8" t="s">
        <v>1755</v>
      </c>
      <c r="AG612" s="3058"/>
      <c r="AH612" s="3058"/>
      <c r="AI612" s="3058"/>
      <c r="AJ612" s="3058"/>
      <c r="AK612" s="3058"/>
      <c r="AL612" s="305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6" t="s">
        <v>625</v>
      </c>
      <c r="D614" s="3057"/>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8" t="s">
        <v>1750</v>
      </c>
      <c r="AG614" s="3058"/>
      <c r="AH614" s="3058"/>
      <c r="AI614" s="3058"/>
      <c r="AJ614" s="3058"/>
      <c r="AK614" s="3058"/>
      <c r="AL614" s="305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47" t="s">
        <v>1759</v>
      </c>
      <c r="G618" s="3047"/>
      <c r="H618" s="3047"/>
      <c r="I618" s="3047"/>
      <c r="J618" s="3047"/>
      <c r="K618" s="3047"/>
      <c r="L618" s="3047"/>
      <c r="M618" s="3047"/>
      <c r="N618" s="3047"/>
      <c r="O618" s="3047"/>
      <c r="P618" s="3047"/>
      <c r="Q618" s="3047"/>
      <c r="R618" s="3047"/>
      <c r="S618" s="3047"/>
      <c r="T618" s="3047"/>
      <c r="U618" s="3047"/>
      <c r="V618" s="3047"/>
      <c r="W618" s="3047"/>
      <c r="X618" s="3047"/>
      <c r="Y618" s="3047"/>
      <c r="Z618" s="3047"/>
      <c r="AA618" s="3047"/>
      <c r="AB618" s="3047"/>
      <c r="AC618" s="3047"/>
      <c r="AD618" s="3047"/>
      <c r="AE618" s="3047"/>
      <c r="AF618" s="304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8"/>
      <c r="G619" s="3048"/>
      <c r="H619" s="3048"/>
      <c r="I619" s="3048"/>
      <c r="J619" s="3048"/>
      <c r="K619" s="3048"/>
      <c r="L619" s="3048"/>
      <c r="M619" s="3048"/>
      <c r="N619" s="3048"/>
      <c r="O619" s="3048"/>
      <c r="P619" s="3048"/>
      <c r="Q619" s="3048"/>
      <c r="R619" s="3048"/>
      <c r="S619" s="3048"/>
      <c r="T619" s="3048"/>
      <c r="U619" s="3048"/>
      <c r="V619" s="3048"/>
      <c r="W619" s="3048"/>
      <c r="X619" s="3048"/>
      <c r="Y619" s="3048"/>
      <c r="Z619" s="3048"/>
      <c r="AA619" s="3048"/>
      <c r="AB619" s="3048"/>
      <c r="AC619" s="3048"/>
      <c r="AD619" s="3048"/>
      <c r="AE619" s="3048"/>
      <c r="AF619" s="304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8"/>
      <c r="G620" s="3048"/>
      <c r="H620" s="3048"/>
      <c r="I620" s="3048"/>
      <c r="J620" s="3048"/>
      <c r="K620" s="3048"/>
      <c r="L620" s="3048"/>
      <c r="M620" s="3048"/>
      <c r="N620" s="3048"/>
      <c r="O620" s="3048"/>
      <c r="P620" s="3048"/>
      <c r="Q620" s="3048"/>
      <c r="R620" s="3048"/>
      <c r="S620" s="3048"/>
      <c r="T620" s="3048"/>
      <c r="U620" s="3048"/>
      <c r="V620" s="3048"/>
      <c r="W620" s="3048"/>
      <c r="X620" s="3048"/>
      <c r="Y620" s="3048"/>
      <c r="Z620" s="3048"/>
      <c r="AA620" s="3048"/>
      <c r="AB620" s="3048"/>
      <c r="AC620" s="3048"/>
      <c r="AD620" s="3048"/>
      <c r="AE620" s="3048"/>
      <c r="AF620" s="304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8"/>
      <c r="G621" s="3048"/>
      <c r="H621" s="3048"/>
      <c r="I621" s="3048"/>
      <c r="J621" s="3048"/>
      <c r="K621" s="3048"/>
      <c r="L621" s="3048"/>
      <c r="M621" s="3048"/>
      <c r="N621" s="3048"/>
      <c r="O621" s="3048"/>
      <c r="P621" s="3048"/>
      <c r="Q621" s="3048"/>
      <c r="R621" s="3048"/>
      <c r="S621" s="3048"/>
      <c r="T621" s="3048"/>
      <c r="U621" s="3048"/>
      <c r="V621" s="3048"/>
      <c r="W621" s="3048"/>
      <c r="X621" s="3048"/>
      <c r="Y621" s="3048"/>
      <c r="Z621" s="3048"/>
      <c r="AA621" s="3048"/>
      <c r="AB621" s="3048"/>
      <c r="AC621" s="3048"/>
      <c r="AD621" s="3048"/>
      <c r="AE621" s="3048"/>
      <c r="AF621" s="304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6" t="s">
        <v>625</v>
      </c>
      <c r="D622" s="3057"/>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8" t="s">
        <v>1750</v>
      </c>
      <c r="AG622" s="3058"/>
      <c r="AH622" s="3058"/>
      <c r="AI622" s="3058"/>
      <c r="AJ622" s="3058"/>
      <c r="AK622" s="3058"/>
      <c r="AL622" s="305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6" t="s">
        <v>577</v>
      </c>
      <c r="D624" s="3057"/>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8" t="s">
        <v>1762</v>
      </c>
      <c r="AG624" s="3058"/>
      <c r="AH624" s="3058"/>
      <c r="AI624" s="3058"/>
      <c r="AJ624" s="3058"/>
      <c r="AK624" s="3058"/>
      <c r="AL624" s="305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6" t="s">
        <v>625</v>
      </c>
      <c r="D627" s="3057"/>
      <c r="E627" s="1174" t="s">
        <v>1763</v>
      </c>
      <c r="F627" s="3047" t="s">
        <v>1764</v>
      </c>
      <c r="G627" s="3047"/>
      <c r="H627" s="3047"/>
      <c r="I627" s="3047"/>
      <c r="J627" s="3047"/>
      <c r="K627" s="3047"/>
      <c r="L627" s="3047"/>
      <c r="M627" s="3047"/>
      <c r="N627" s="3047"/>
      <c r="O627" s="3047"/>
      <c r="P627" s="3047"/>
      <c r="Q627" s="3047"/>
      <c r="R627" s="3047"/>
      <c r="S627" s="3047"/>
      <c r="T627" s="3047"/>
      <c r="U627" s="3047"/>
      <c r="V627" s="3047"/>
      <c r="W627" s="3047"/>
      <c r="X627" s="3047"/>
      <c r="Y627" s="3047"/>
      <c r="Z627" s="3047"/>
      <c r="AA627" s="3047"/>
      <c r="AB627" s="3047"/>
      <c r="AC627" s="3047"/>
      <c r="AD627" s="3047"/>
      <c r="AE627" s="304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8"/>
      <c r="G628" s="3048"/>
      <c r="H628" s="3048"/>
      <c r="I628" s="3048"/>
      <c r="J628" s="3048"/>
      <c r="K628" s="3048"/>
      <c r="L628" s="3048"/>
      <c r="M628" s="3048"/>
      <c r="N628" s="3048"/>
      <c r="O628" s="3048"/>
      <c r="P628" s="3048"/>
      <c r="Q628" s="3048"/>
      <c r="R628" s="3048"/>
      <c r="S628" s="3048"/>
      <c r="T628" s="3048"/>
      <c r="U628" s="3048"/>
      <c r="V628" s="3048"/>
      <c r="W628" s="3048"/>
      <c r="X628" s="3048"/>
      <c r="Y628" s="3048"/>
      <c r="Z628" s="3048"/>
      <c r="AA628" s="3048"/>
      <c r="AB628" s="3048"/>
      <c r="AC628" s="3048"/>
      <c r="AD628" s="3048"/>
      <c r="AE628" s="3048"/>
      <c r="AF628" s="3155" t="s">
        <v>1750</v>
      </c>
      <c r="AG628" s="3155"/>
      <c r="AH628" s="3155"/>
      <c r="AI628" s="3155"/>
      <c r="AJ628" s="3155"/>
      <c r="AK628" s="3155"/>
      <c r="AL628" s="3156"/>
      <c r="AM628" s="1134"/>
      <c r="AN628" s="1000"/>
      <c r="BS628" s="1134"/>
      <c r="BT628" s="1134"/>
      <c r="BY628" s="1134"/>
      <c r="BZ628" s="1134"/>
      <c r="CA628" s="1134"/>
      <c r="CB628" s="1134"/>
      <c r="CC628" s="1134"/>
    </row>
    <row r="629" spans="1:81" s="943" customFormat="1" ht="12.75" customHeight="1">
      <c r="A629" s="927"/>
      <c r="B629" s="51"/>
      <c r="C629" s="1192"/>
      <c r="D629" s="112"/>
      <c r="E629" s="1146"/>
      <c r="F629" s="3048"/>
      <c r="G629" s="3048"/>
      <c r="H629" s="3048"/>
      <c r="I629" s="3048"/>
      <c r="J629" s="3048"/>
      <c r="K629" s="3048"/>
      <c r="L629" s="3048"/>
      <c r="M629" s="3048"/>
      <c r="N629" s="3048"/>
      <c r="O629" s="3048"/>
      <c r="P629" s="3048"/>
      <c r="Q629" s="3048"/>
      <c r="R629" s="3048"/>
      <c r="S629" s="3048"/>
      <c r="T629" s="3048"/>
      <c r="U629" s="3048"/>
      <c r="V629" s="3048"/>
      <c r="W629" s="3048"/>
      <c r="X629" s="3048"/>
      <c r="Y629" s="3048"/>
      <c r="Z629" s="3048"/>
      <c r="AA629" s="3048"/>
      <c r="AB629" s="3048"/>
      <c r="AC629" s="3048"/>
      <c r="AD629" s="3048"/>
      <c r="AE629" s="304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0"/>
      <c r="G630" s="3150"/>
      <c r="H630" s="3150"/>
      <c r="I630" s="3150"/>
      <c r="J630" s="3150"/>
      <c r="K630" s="3150"/>
      <c r="L630" s="3150"/>
      <c r="M630" s="3150"/>
      <c r="N630" s="3150"/>
      <c r="O630" s="3150"/>
      <c r="P630" s="3150"/>
      <c r="Q630" s="3150"/>
      <c r="R630" s="3150"/>
      <c r="S630" s="3150"/>
      <c r="T630" s="3150"/>
      <c r="U630" s="3150"/>
      <c r="V630" s="3150"/>
      <c r="W630" s="3150"/>
      <c r="X630" s="3150"/>
      <c r="Y630" s="3150"/>
      <c r="Z630" s="3150"/>
      <c r="AA630" s="3150"/>
      <c r="AB630" s="3150"/>
      <c r="AC630" s="3150"/>
      <c r="AD630" s="3150"/>
      <c r="AE630" s="315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53" t="s">
        <v>1766</v>
      </c>
      <c r="G632" s="3153"/>
      <c r="H632" s="3153"/>
      <c r="I632" s="3153"/>
      <c r="J632" s="3153"/>
      <c r="K632" s="3153"/>
      <c r="L632" s="3153"/>
      <c r="M632" s="3153"/>
      <c r="N632" s="3153"/>
      <c r="O632" s="3153"/>
      <c r="P632" s="3153"/>
      <c r="Q632" s="3153"/>
      <c r="R632" s="3153"/>
      <c r="S632" s="3153"/>
      <c r="T632" s="3153"/>
      <c r="U632" s="3153"/>
      <c r="V632" s="3153"/>
      <c r="W632" s="3153"/>
      <c r="X632" s="3153"/>
      <c r="Y632" s="3153"/>
      <c r="Z632" s="3153"/>
      <c r="AA632" s="3153"/>
      <c r="AB632" s="3153"/>
      <c r="AC632" s="3153"/>
      <c r="AD632" s="3153"/>
      <c r="AE632" s="3153"/>
      <c r="AF632" s="1211"/>
      <c r="AG632" s="1211"/>
      <c r="AH632" s="1211"/>
      <c r="AI632" s="1211"/>
      <c r="AJ632" s="1211"/>
      <c r="AK632" s="1211"/>
      <c r="AL632" s="1212"/>
      <c r="AM632" s="1134"/>
    </row>
    <row r="633" spans="1:81">
      <c r="A633" s="927"/>
      <c r="C633" s="1192"/>
      <c r="D633" s="112"/>
      <c r="E633" s="1146"/>
      <c r="F633" s="3154"/>
      <c r="G633" s="3154"/>
      <c r="H633" s="3154"/>
      <c r="I633" s="3154"/>
      <c r="J633" s="3154"/>
      <c r="K633" s="3154"/>
      <c r="L633" s="3154"/>
      <c r="M633" s="3154"/>
      <c r="N633" s="3154"/>
      <c r="O633" s="3154"/>
      <c r="P633" s="3154"/>
      <c r="Q633" s="3154"/>
      <c r="R633" s="3154"/>
      <c r="S633" s="3154"/>
      <c r="T633" s="3154"/>
      <c r="U633" s="3154"/>
      <c r="V633" s="3154"/>
      <c r="W633" s="3154"/>
      <c r="X633" s="3154"/>
      <c r="Y633" s="3154"/>
      <c r="Z633" s="3154"/>
      <c r="AA633" s="3154"/>
      <c r="AB633" s="3154"/>
      <c r="AC633" s="3154"/>
      <c r="AD633" s="3154"/>
      <c r="AE633" s="3154"/>
      <c r="AF633" s="1213"/>
      <c r="AG633" s="991"/>
      <c r="AH633" s="1025"/>
      <c r="AI633" s="1025"/>
      <c r="AJ633" s="1025"/>
      <c r="AK633" s="1025"/>
      <c r="AL633" s="1193"/>
      <c r="AM633" s="1134"/>
    </row>
    <row r="634" spans="1:81" s="943" customFormat="1" ht="12.75" customHeight="1">
      <c r="A634" s="927"/>
      <c r="B634" s="51"/>
      <c r="C634" s="1192"/>
      <c r="D634" s="112"/>
      <c r="E634" s="1146"/>
      <c r="F634" s="3154"/>
      <c r="G634" s="3154"/>
      <c r="H634" s="3154"/>
      <c r="I634" s="3154"/>
      <c r="J634" s="3154"/>
      <c r="K634" s="3154"/>
      <c r="L634" s="3154"/>
      <c r="M634" s="3154"/>
      <c r="N634" s="3154"/>
      <c r="O634" s="3154"/>
      <c r="P634" s="3154"/>
      <c r="Q634" s="3154"/>
      <c r="R634" s="3154"/>
      <c r="S634" s="3154"/>
      <c r="T634" s="3154"/>
      <c r="U634" s="3154"/>
      <c r="V634" s="3154"/>
      <c r="W634" s="3154"/>
      <c r="X634" s="3154"/>
      <c r="Y634" s="3154"/>
      <c r="Z634" s="3154"/>
      <c r="AA634" s="3154"/>
      <c r="AB634" s="3154"/>
      <c r="AC634" s="3154"/>
      <c r="AD634" s="3154"/>
      <c r="AE634" s="3154"/>
      <c r="AF634" s="1025"/>
      <c r="AG634" s="1025"/>
      <c r="AH634" s="1025"/>
      <c r="AI634" s="1025"/>
      <c r="AJ634" s="1025"/>
      <c r="AK634" s="1025"/>
      <c r="AL634" s="1193"/>
      <c r="AM634" s="1134"/>
      <c r="AN634" s="1000"/>
    </row>
    <row r="635" spans="1:81" s="943" customFormat="1" ht="12.75" customHeight="1">
      <c r="A635" s="927"/>
      <c r="B635" s="51"/>
      <c r="C635" s="1201"/>
      <c r="D635" s="1025"/>
      <c r="E635" s="1025"/>
      <c r="F635" s="3154"/>
      <c r="G635" s="3154"/>
      <c r="H635" s="3154"/>
      <c r="I635" s="3154"/>
      <c r="J635" s="3154"/>
      <c r="K635" s="3154"/>
      <c r="L635" s="3154"/>
      <c r="M635" s="3154"/>
      <c r="N635" s="3154"/>
      <c r="O635" s="3154"/>
      <c r="P635" s="3154"/>
      <c r="Q635" s="3154"/>
      <c r="R635" s="3154"/>
      <c r="S635" s="3154"/>
      <c r="T635" s="3154"/>
      <c r="U635" s="3154"/>
      <c r="V635" s="3154"/>
      <c r="W635" s="3154"/>
      <c r="X635" s="3154"/>
      <c r="Y635" s="3154"/>
      <c r="Z635" s="3154"/>
      <c r="AA635" s="3154"/>
      <c r="AB635" s="3154"/>
      <c r="AC635" s="3154"/>
      <c r="AD635" s="3154"/>
      <c r="AE635" s="3154"/>
      <c r="AF635" s="1025"/>
      <c r="AG635" s="1025"/>
      <c r="AH635" s="1025"/>
      <c r="AI635" s="1025"/>
      <c r="AJ635" s="1025"/>
      <c r="AK635" s="1025"/>
      <c r="AL635" s="1193"/>
      <c r="AM635" s="1134"/>
      <c r="AN635" s="1000"/>
    </row>
    <row r="636" spans="1:81" s="943" customFormat="1" ht="12.75" customHeight="1">
      <c r="A636" s="927"/>
      <c r="B636" s="51"/>
      <c r="C636" s="3056" t="s">
        <v>625</v>
      </c>
      <c r="D636" s="3057"/>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5" t="s">
        <v>1750</v>
      </c>
      <c r="AG636" s="3155"/>
      <c r="AH636" s="3155"/>
      <c r="AI636" s="3155"/>
      <c r="AJ636" s="3155"/>
      <c r="AK636" s="3155"/>
      <c r="AL636" s="315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6" t="s">
        <v>625</v>
      </c>
      <c r="D638" s="3057"/>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5" t="s">
        <v>1762</v>
      </c>
      <c r="AG638" s="3155"/>
      <c r="AH638" s="3155"/>
      <c r="AI638" s="3155"/>
      <c r="AJ638" s="3155"/>
      <c r="AK638" s="3155"/>
      <c r="AL638" s="315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47" t="s">
        <v>1771</v>
      </c>
      <c r="G642" s="3047"/>
      <c r="H642" s="3047"/>
      <c r="I642" s="3047"/>
      <c r="J642" s="3047"/>
      <c r="K642" s="3047"/>
      <c r="L642" s="3047"/>
      <c r="M642" s="3047"/>
      <c r="N642" s="3047"/>
      <c r="O642" s="3047"/>
      <c r="P642" s="3047"/>
      <c r="Q642" s="3047"/>
      <c r="R642" s="3047"/>
      <c r="S642" s="3047"/>
      <c r="T642" s="3047"/>
      <c r="U642" s="3047"/>
      <c r="V642" s="3047"/>
      <c r="W642" s="3047"/>
      <c r="X642" s="3047"/>
      <c r="Y642" s="3047"/>
      <c r="Z642" s="3047"/>
      <c r="AA642" s="3047"/>
      <c r="AB642" s="3047"/>
      <c r="AC642" s="3047"/>
      <c r="AD642" s="3047"/>
      <c r="AE642" s="304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8"/>
      <c r="G643" s="3048"/>
      <c r="H643" s="3048"/>
      <c r="I643" s="3048"/>
      <c r="J643" s="3048"/>
      <c r="K643" s="3048"/>
      <c r="L643" s="3048"/>
      <c r="M643" s="3048"/>
      <c r="N643" s="3048"/>
      <c r="O643" s="3048"/>
      <c r="P643" s="3048"/>
      <c r="Q643" s="3048"/>
      <c r="R643" s="3048"/>
      <c r="S643" s="3048"/>
      <c r="T643" s="3048"/>
      <c r="U643" s="3048"/>
      <c r="V643" s="3048"/>
      <c r="W643" s="3048"/>
      <c r="X643" s="3048"/>
      <c r="Y643" s="3048"/>
      <c r="Z643" s="3048"/>
      <c r="AA643" s="3048"/>
      <c r="AB643" s="3048"/>
      <c r="AC643" s="3048"/>
      <c r="AD643" s="3048"/>
      <c r="AE643" s="3048"/>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48"/>
      <c r="G644" s="3048"/>
      <c r="H644" s="3048"/>
      <c r="I644" s="3048"/>
      <c r="J644" s="3048"/>
      <c r="K644" s="3048"/>
      <c r="L644" s="3048"/>
      <c r="M644" s="3048"/>
      <c r="N644" s="3048"/>
      <c r="O644" s="3048"/>
      <c r="P644" s="3048"/>
      <c r="Q644" s="3048"/>
      <c r="R644" s="3048"/>
      <c r="S644" s="3048"/>
      <c r="T644" s="3048"/>
      <c r="U644" s="3048"/>
      <c r="V644" s="3048"/>
      <c r="W644" s="3048"/>
      <c r="X644" s="3048"/>
      <c r="Y644" s="3048"/>
      <c r="Z644" s="3048"/>
      <c r="AA644" s="3048"/>
      <c r="AB644" s="3048"/>
      <c r="AC644" s="3048"/>
      <c r="AD644" s="3048"/>
      <c r="AE644" s="3048"/>
      <c r="AF644" s="1025"/>
      <c r="AG644" s="1025"/>
      <c r="AH644" s="1025"/>
      <c r="AI644" s="1025"/>
      <c r="AJ644" s="1025"/>
      <c r="AK644" s="1025"/>
      <c r="AL644" s="1193"/>
      <c r="AM644" s="1134"/>
      <c r="AN644" s="1000"/>
      <c r="AO644" s="1025"/>
      <c r="AP644" s="1025"/>
    </row>
    <row r="645" spans="1:60" s="943" customFormat="1" ht="12.75" customHeight="1">
      <c r="A645" s="927"/>
      <c r="B645" s="51"/>
      <c r="C645" s="3056" t="s">
        <v>625</v>
      </c>
      <c r="D645" s="3057"/>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5" t="s">
        <v>1750</v>
      </c>
      <c r="AG645" s="3155"/>
      <c r="AH645" s="3155"/>
      <c r="AI645" s="3155"/>
      <c r="AJ645" s="3155"/>
      <c r="AK645" s="3155"/>
      <c r="AL645" s="315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047" t="s">
        <v>1774</v>
      </c>
      <c r="G648" s="3047"/>
      <c r="H648" s="3047"/>
      <c r="I648" s="3047"/>
      <c r="J648" s="3047"/>
      <c r="K648" s="3047"/>
      <c r="L648" s="3047"/>
      <c r="M648" s="3047"/>
      <c r="N648" s="3047"/>
      <c r="O648" s="3047"/>
      <c r="P648" s="3047"/>
      <c r="Q648" s="3047"/>
      <c r="R648" s="3047"/>
      <c r="S648" s="3047"/>
      <c r="T648" s="3047"/>
      <c r="U648" s="3047"/>
      <c r="V648" s="3047"/>
      <c r="W648" s="3047"/>
      <c r="X648" s="3047"/>
      <c r="Y648" s="3047"/>
      <c r="Z648" s="3047"/>
      <c r="AA648" s="3047"/>
      <c r="AB648" s="3047"/>
      <c r="AC648" s="3047"/>
      <c r="AD648" s="3047"/>
      <c r="AE648" s="304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8"/>
      <c r="G649" s="3048"/>
      <c r="H649" s="3048"/>
      <c r="I649" s="3048"/>
      <c r="J649" s="3048"/>
      <c r="K649" s="3048"/>
      <c r="L649" s="3048"/>
      <c r="M649" s="3048"/>
      <c r="N649" s="3048"/>
      <c r="O649" s="3048"/>
      <c r="P649" s="3048"/>
      <c r="Q649" s="3048"/>
      <c r="R649" s="3048"/>
      <c r="S649" s="3048"/>
      <c r="T649" s="3048"/>
      <c r="U649" s="3048"/>
      <c r="V649" s="3048"/>
      <c r="W649" s="3048"/>
      <c r="X649" s="3048"/>
      <c r="Y649" s="3048"/>
      <c r="Z649" s="3048"/>
      <c r="AA649" s="3048"/>
      <c r="AB649" s="3048"/>
      <c r="AC649" s="3048"/>
      <c r="AD649" s="3048"/>
      <c r="AE649" s="304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8"/>
      <c r="G650" s="3048"/>
      <c r="H650" s="3048"/>
      <c r="I650" s="3048"/>
      <c r="J650" s="3048"/>
      <c r="K650" s="3048"/>
      <c r="L650" s="3048"/>
      <c r="M650" s="3048"/>
      <c r="N650" s="3048"/>
      <c r="O650" s="3048"/>
      <c r="P650" s="3048"/>
      <c r="Q650" s="3048"/>
      <c r="R650" s="3048"/>
      <c r="S650" s="3048"/>
      <c r="T650" s="3048"/>
      <c r="U650" s="3048"/>
      <c r="V650" s="3048"/>
      <c r="W650" s="3048"/>
      <c r="X650" s="3048"/>
      <c r="Y650" s="3048"/>
      <c r="Z650" s="3048"/>
      <c r="AA650" s="3048"/>
      <c r="AB650" s="3048"/>
      <c r="AC650" s="3048"/>
      <c r="AD650" s="3048"/>
      <c r="AE650" s="304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8"/>
      <c r="G651" s="3048"/>
      <c r="H651" s="3048"/>
      <c r="I651" s="3048"/>
      <c r="J651" s="3048"/>
      <c r="K651" s="3048"/>
      <c r="L651" s="3048"/>
      <c r="M651" s="3048"/>
      <c r="N651" s="3048"/>
      <c r="O651" s="3048"/>
      <c r="P651" s="3048"/>
      <c r="Q651" s="3048"/>
      <c r="R651" s="3048"/>
      <c r="S651" s="3048"/>
      <c r="T651" s="3048"/>
      <c r="U651" s="3048"/>
      <c r="V651" s="3048"/>
      <c r="W651" s="3048"/>
      <c r="X651" s="3048"/>
      <c r="Y651" s="3048"/>
      <c r="Z651" s="3048"/>
      <c r="AA651" s="3048"/>
      <c r="AB651" s="3048"/>
      <c r="AC651" s="3048"/>
      <c r="AD651" s="3048"/>
      <c r="AE651" s="304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8"/>
      <c r="G652" s="3048"/>
      <c r="H652" s="3048"/>
      <c r="I652" s="3048"/>
      <c r="J652" s="3048"/>
      <c r="K652" s="3048"/>
      <c r="L652" s="3048"/>
      <c r="M652" s="3048"/>
      <c r="N652" s="3048"/>
      <c r="O652" s="3048"/>
      <c r="P652" s="3048"/>
      <c r="Q652" s="3048"/>
      <c r="R652" s="3048"/>
      <c r="S652" s="3048"/>
      <c r="T652" s="3048"/>
      <c r="U652" s="3048"/>
      <c r="V652" s="3048"/>
      <c r="W652" s="3048"/>
      <c r="X652" s="3048"/>
      <c r="Y652" s="3048"/>
      <c r="Z652" s="3048"/>
      <c r="AA652" s="3048"/>
      <c r="AB652" s="3048"/>
      <c r="AC652" s="3048"/>
      <c r="AD652" s="3048"/>
      <c r="AE652" s="304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8"/>
      <c r="G653" s="3048"/>
      <c r="H653" s="3048"/>
      <c r="I653" s="3048"/>
      <c r="J653" s="3048"/>
      <c r="K653" s="3048"/>
      <c r="L653" s="3048"/>
      <c r="M653" s="3048"/>
      <c r="N653" s="3048"/>
      <c r="O653" s="3048"/>
      <c r="P653" s="3048"/>
      <c r="Q653" s="3048"/>
      <c r="R653" s="3048"/>
      <c r="S653" s="3048"/>
      <c r="T653" s="3048"/>
      <c r="U653" s="3048"/>
      <c r="V653" s="3048"/>
      <c r="W653" s="3048"/>
      <c r="X653" s="3048"/>
      <c r="Y653" s="3048"/>
      <c r="Z653" s="3048"/>
      <c r="AA653" s="3048"/>
      <c r="AB653" s="3048"/>
      <c r="AC653" s="3048"/>
      <c r="AD653" s="3048"/>
      <c r="AE653" s="3048"/>
      <c r="AF653" s="1224"/>
      <c r="AG653" s="1224"/>
      <c r="AH653" s="1224"/>
      <c r="AI653" s="1224"/>
      <c r="AJ653" s="1224"/>
      <c r="AK653" s="1224"/>
      <c r="AL653" s="1225"/>
      <c r="AM653" s="1134"/>
      <c r="AN653" s="1000"/>
    </row>
    <row r="654" spans="1:60" s="943" customFormat="1" ht="12.75" customHeight="1">
      <c r="A654" s="927"/>
      <c r="B654" s="51"/>
      <c r="C654" s="1226"/>
      <c r="D654" s="1191"/>
      <c r="E654" s="1178"/>
      <c r="F654" s="3048"/>
      <c r="G654" s="3048"/>
      <c r="H654" s="3048"/>
      <c r="I654" s="3048"/>
      <c r="J654" s="3048"/>
      <c r="K654" s="3048"/>
      <c r="L654" s="3048"/>
      <c r="M654" s="3048"/>
      <c r="N654" s="3048"/>
      <c r="O654" s="3048"/>
      <c r="P654" s="3048"/>
      <c r="Q654" s="3048"/>
      <c r="R654" s="3048"/>
      <c r="S654" s="3048"/>
      <c r="T654" s="3048"/>
      <c r="U654" s="3048"/>
      <c r="V654" s="3048"/>
      <c r="W654" s="3048"/>
      <c r="X654" s="3048"/>
      <c r="Y654" s="3048"/>
      <c r="Z654" s="3048"/>
      <c r="AA654" s="3048"/>
      <c r="AB654" s="3048"/>
      <c r="AC654" s="3048"/>
      <c r="AD654" s="3048"/>
      <c r="AE654" s="3048"/>
      <c r="AF654" s="1224"/>
      <c r="AG654" s="1224"/>
      <c r="AH654" s="1224"/>
      <c r="AI654" s="1224"/>
      <c r="AJ654" s="1224"/>
      <c r="AK654" s="1224"/>
      <c r="AL654" s="1225"/>
      <c r="AM654" s="1134"/>
      <c r="AN654" s="1000"/>
    </row>
    <row r="655" spans="1:60" s="943" customFormat="1" ht="12.75" customHeight="1">
      <c r="A655" s="927"/>
      <c r="B655" s="51"/>
      <c r="C655" s="1226"/>
      <c r="D655" s="1191"/>
      <c r="E655" s="1178"/>
      <c r="F655" s="3048"/>
      <c r="G655" s="3048"/>
      <c r="H655" s="3048"/>
      <c r="I655" s="3048"/>
      <c r="J655" s="3048"/>
      <c r="K655" s="3048"/>
      <c r="L655" s="3048"/>
      <c r="M655" s="3048"/>
      <c r="N655" s="3048"/>
      <c r="O655" s="3048"/>
      <c r="P655" s="3048"/>
      <c r="Q655" s="3048"/>
      <c r="R655" s="3048"/>
      <c r="S655" s="3048"/>
      <c r="T655" s="3048"/>
      <c r="U655" s="3048"/>
      <c r="V655" s="3048"/>
      <c r="W655" s="3048"/>
      <c r="X655" s="3048"/>
      <c r="Y655" s="3048"/>
      <c r="Z655" s="3048"/>
      <c r="AA655" s="3048"/>
      <c r="AB655" s="3048"/>
      <c r="AC655" s="3048"/>
      <c r="AD655" s="3048"/>
      <c r="AE655" s="3048"/>
      <c r="AF655" s="1224"/>
      <c r="AG655" s="1224"/>
      <c r="AH655" s="1224"/>
      <c r="AI655" s="1224"/>
      <c r="AJ655" s="1224"/>
      <c r="AK655" s="1224"/>
      <c r="AL655" s="1225"/>
      <c r="AM655" s="1134"/>
      <c r="AN655" s="1000"/>
    </row>
    <row r="656" spans="1:60" s="943" customFormat="1" ht="17.25" customHeight="1">
      <c r="A656" s="927"/>
      <c r="B656" s="51"/>
      <c r="C656" s="1226"/>
      <c r="D656" s="1191"/>
      <c r="E656" s="1178"/>
      <c r="F656" s="3048"/>
      <c r="G656" s="3048"/>
      <c r="H656" s="3048"/>
      <c r="I656" s="3048"/>
      <c r="J656" s="3048"/>
      <c r="K656" s="3048"/>
      <c r="L656" s="3048"/>
      <c r="M656" s="3048"/>
      <c r="N656" s="3048"/>
      <c r="O656" s="3048"/>
      <c r="P656" s="3048"/>
      <c r="Q656" s="3048"/>
      <c r="R656" s="3048"/>
      <c r="S656" s="3048"/>
      <c r="T656" s="3048"/>
      <c r="U656" s="3048"/>
      <c r="V656" s="3048"/>
      <c r="W656" s="3048"/>
      <c r="X656" s="3048"/>
      <c r="Y656" s="3048"/>
      <c r="Z656" s="3048"/>
      <c r="AA656" s="3048"/>
      <c r="AB656" s="3048"/>
      <c r="AC656" s="3048"/>
      <c r="AD656" s="3048"/>
      <c r="AE656" s="3048"/>
      <c r="AF656" s="1025"/>
      <c r="AG656" s="1025"/>
      <c r="AH656" s="1025"/>
      <c r="AI656" s="1025"/>
      <c r="AJ656" s="1025"/>
      <c r="AK656" s="1025"/>
      <c r="AL656" s="1193"/>
      <c r="AM656" s="1134"/>
      <c r="AN656" s="1000"/>
    </row>
    <row r="657" spans="1:54" s="943" customFormat="1" ht="12.75" customHeight="1">
      <c r="A657" s="927"/>
      <c r="B657" s="51"/>
      <c r="C657" s="3056" t="s">
        <v>625</v>
      </c>
      <c r="D657" s="3057"/>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5" t="s">
        <v>1750</v>
      </c>
      <c r="AG657" s="3155"/>
      <c r="AH657" s="3155"/>
      <c r="AI657" s="3155"/>
      <c r="AJ657" s="3155"/>
      <c r="AK657" s="3155"/>
      <c r="AL657" s="315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47" t="s">
        <v>1777</v>
      </c>
      <c r="G660" s="3047"/>
      <c r="H660" s="3047"/>
      <c r="I660" s="3047"/>
      <c r="J660" s="3047"/>
      <c r="K660" s="3047"/>
      <c r="L660" s="3047"/>
      <c r="M660" s="3047"/>
      <c r="N660" s="3047"/>
      <c r="O660" s="3047"/>
      <c r="P660" s="3047"/>
      <c r="Q660" s="3047"/>
      <c r="R660" s="3047"/>
      <c r="S660" s="3047"/>
      <c r="T660" s="3047"/>
      <c r="U660" s="3047"/>
      <c r="V660" s="3047"/>
      <c r="W660" s="3047"/>
      <c r="X660" s="3047"/>
      <c r="Y660" s="3047"/>
      <c r="Z660" s="3047"/>
      <c r="AA660" s="3047"/>
      <c r="AB660" s="3047"/>
      <c r="AC660" s="3047"/>
      <c r="AD660" s="3047"/>
      <c r="AE660" s="3047"/>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8"/>
      <c r="G661" s="3048"/>
      <c r="H661" s="3048"/>
      <c r="I661" s="3048"/>
      <c r="J661" s="3048"/>
      <c r="K661" s="3048"/>
      <c r="L661" s="3048"/>
      <c r="M661" s="3048"/>
      <c r="N661" s="3048"/>
      <c r="O661" s="3048"/>
      <c r="P661" s="3048"/>
      <c r="Q661" s="3048"/>
      <c r="R661" s="3048"/>
      <c r="S661" s="3048"/>
      <c r="T661" s="3048"/>
      <c r="U661" s="3048"/>
      <c r="V661" s="3048"/>
      <c r="W661" s="3048"/>
      <c r="X661" s="3048"/>
      <c r="Y661" s="3048"/>
      <c r="Z661" s="3048"/>
      <c r="AA661" s="3048"/>
      <c r="AB661" s="3048"/>
      <c r="AC661" s="3048"/>
      <c r="AD661" s="3048"/>
      <c r="AE661" s="3048"/>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48"/>
      <c r="G662" s="3048"/>
      <c r="H662" s="3048"/>
      <c r="I662" s="3048"/>
      <c r="J662" s="3048"/>
      <c r="K662" s="3048"/>
      <c r="L662" s="3048"/>
      <c r="M662" s="3048"/>
      <c r="N662" s="3048"/>
      <c r="O662" s="3048"/>
      <c r="P662" s="3048"/>
      <c r="Q662" s="3048"/>
      <c r="R662" s="3048"/>
      <c r="S662" s="3048"/>
      <c r="T662" s="3048"/>
      <c r="U662" s="3048"/>
      <c r="V662" s="3048"/>
      <c r="W662" s="3048"/>
      <c r="X662" s="3048"/>
      <c r="Y662" s="3048"/>
      <c r="Z662" s="3048"/>
      <c r="AA662" s="3048"/>
      <c r="AB662" s="3048"/>
      <c r="AC662" s="3048"/>
      <c r="AD662" s="3048"/>
      <c r="AE662" s="3048"/>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48"/>
      <c r="G663" s="3048"/>
      <c r="H663" s="3048"/>
      <c r="I663" s="3048"/>
      <c r="J663" s="3048"/>
      <c r="K663" s="3048"/>
      <c r="L663" s="3048"/>
      <c r="M663" s="3048"/>
      <c r="N663" s="3048"/>
      <c r="O663" s="3048"/>
      <c r="P663" s="3048"/>
      <c r="Q663" s="3048"/>
      <c r="R663" s="3048"/>
      <c r="S663" s="3048"/>
      <c r="T663" s="3048"/>
      <c r="U663" s="3048"/>
      <c r="V663" s="3048"/>
      <c r="W663" s="3048"/>
      <c r="X663" s="3048"/>
      <c r="Y663" s="3048"/>
      <c r="Z663" s="3048"/>
      <c r="AA663" s="3048"/>
      <c r="AB663" s="3048"/>
      <c r="AC663" s="3048"/>
      <c r="AD663" s="3048"/>
      <c r="AE663" s="3048"/>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56" t="s">
        <v>625</v>
      </c>
      <c r="D664" s="3057"/>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5" t="s">
        <v>1750</v>
      </c>
      <c r="AG664" s="3155"/>
      <c r="AH664" s="3155"/>
      <c r="AI664" s="3155"/>
      <c r="AJ664" s="3155"/>
      <c r="AK664" s="3155"/>
      <c r="AL664" s="3156"/>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57" t="s">
        <v>625</v>
      </c>
      <c r="D668" s="3158"/>
      <c r="E668" s="1174" t="s">
        <v>1786</v>
      </c>
      <c r="F668" s="3047" t="s">
        <v>1787</v>
      </c>
      <c r="G668" s="3047"/>
      <c r="H668" s="3047"/>
      <c r="I668" s="3047"/>
      <c r="J668" s="3047"/>
      <c r="K668" s="3047"/>
      <c r="L668" s="3047"/>
      <c r="M668" s="3047"/>
      <c r="N668" s="3047"/>
      <c r="O668" s="3047"/>
      <c r="P668" s="3047"/>
      <c r="Q668" s="3047"/>
      <c r="R668" s="3047"/>
      <c r="S668" s="3047"/>
      <c r="T668" s="3047"/>
      <c r="U668" s="3047"/>
      <c r="V668" s="3047"/>
      <c r="W668" s="3047"/>
      <c r="X668" s="3047"/>
      <c r="Y668" s="3047"/>
      <c r="Z668" s="3047"/>
      <c r="AA668" s="3047"/>
      <c r="AB668" s="3047"/>
      <c r="AC668" s="3047"/>
      <c r="AD668" s="3047"/>
      <c r="AE668" s="3047"/>
      <c r="AF668" s="3151" t="s">
        <v>1750</v>
      </c>
      <c r="AG668" s="3151"/>
      <c r="AH668" s="3151"/>
      <c r="AI668" s="3151"/>
      <c r="AJ668" s="3151"/>
      <c r="AK668" s="3151"/>
      <c r="AL668" s="3152"/>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8"/>
      <c r="G669" s="3048"/>
      <c r="H669" s="3048"/>
      <c r="I669" s="3048"/>
      <c r="J669" s="3048"/>
      <c r="K669" s="3048"/>
      <c r="L669" s="3048"/>
      <c r="M669" s="3048"/>
      <c r="N669" s="3048"/>
      <c r="O669" s="3048"/>
      <c r="P669" s="3048"/>
      <c r="Q669" s="3048"/>
      <c r="R669" s="3048"/>
      <c r="S669" s="3048"/>
      <c r="T669" s="3048"/>
      <c r="U669" s="3048"/>
      <c r="V669" s="3048"/>
      <c r="W669" s="3048"/>
      <c r="X669" s="3048"/>
      <c r="Y669" s="3048"/>
      <c r="Z669" s="3048"/>
      <c r="AA669" s="3048"/>
      <c r="AB669" s="3048"/>
      <c r="AC669" s="3048"/>
      <c r="AD669" s="3048"/>
      <c r="AE669" s="3048"/>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50"/>
      <c r="G670" s="3150"/>
      <c r="H670" s="3150"/>
      <c r="I670" s="3150"/>
      <c r="J670" s="3150"/>
      <c r="K670" s="3150"/>
      <c r="L670" s="3150"/>
      <c r="M670" s="3150"/>
      <c r="N670" s="3150"/>
      <c r="O670" s="3150"/>
      <c r="P670" s="3150"/>
      <c r="Q670" s="3150"/>
      <c r="R670" s="3150"/>
      <c r="S670" s="3150"/>
      <c r="T670" s="3150"/>
      <c r="U670" s="3150"/>
      <c r="V670" s="3150"/>
      <c r="W670" s="3150"/>
      <c r="X670" s="3150"/>
      <c r="Y670" s="3150"/>
      <c r="Z670" s="3150"/>
      <c r="AA670" s="3150"/>
      <c r="AB670" s="3150"/>
      <c r="AC670" s="3150"/>
      <c r="AD670" s="3150"/>
      <c r="AE670" s="3150"/>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56" t="s">
        <v>625</v>
      </c>
      <c r="D672" s="3057"/>
      <c r="E672" s="1174" t="s">
        <v>1792</v>
      </c>
      <c r="F672" s="3047" t="s">
        <v>1793</v>
      </c>
      <c r="G672" s="3047"/>
      <c r="H672" s="3047"/>
      <c r="I672" s="3047"/>
      <c r="J672" s="3047"/>
      <c r="K672" s="3047"/>
      <c r="L672" s="3047"/>
      <c r="M672" s="3047"/>
      <c r="N672" s="3047"/>
      <c r="O672" s="3047"/>
      <c r="P672" s="3047"/>
      <c r="Q672" s="3047"/>
      <c r="R672" s="3047"/>
      <c r="S672" s="3047"/>
      <c r="T672" s="3047"/>
      <c r="U672" s="3047"/>
      <c r="V672" s="3047"/>
      <c r="W672" s="3047"/>
      <c r="X672" s="3047"/>
      <c r="Y672" s="3047"/>
      <c r="Z672" s="3047"/>
      <c r="AA672" s="3047"/>
      <c r="AB672" s="3047"/>
      <c r="AC672" s="3047"/>
      <c r="AD672" s="3047"/>
      <c r="AE672" s="3047"/>
      <c r="AF672" s="3151" t="s">
        <v>1750</v>
      </c>
      <c r="AG672" s="3151"/>
      <c r="AH672" s="3151"/>
      <c r="AI672" s="3151"/>
      <c r="AJ672" s="3151"/>
      <c r="AK672" s="3151"/>
      <c r="AL672" s="3152"/>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48"/>
      <c r="G673" s="3048"/>
      <c r="H673" s="3048"/>
      <c r="I673" s="3048"/>
      <c r="J673" s="3048"/>
      <c r="K673" s="3048"/>
      <c r="L673" s="3048"/>
      <c r="M673" s="3048"/>
      <c r="N673" s="3048"/>
      <c r="O673" s="3048"/>
      <c r="P673" s="3048"/>
      <c r="Q673" s="3048"/>
      <c r="R673" s="3048"/>
      <c r="S673" s="3048"/>
      <c r="T673" s="3048"/>
      <c r="U673" s="3048"/>
      <c r="V673" s="3048"/>
      <c r="W673" s="3048"/>
      <c r="X673" s="3048"/>
      <c r="Y673" s="3048"/>
      <c r="Z673" s="3048"/>
      <c r="AA673" s="3048"/>
      <c r="AB673" s="3048"/>
      <c r="AC673" s="3048"/>
      <c r="AD673" s="3048"/>
      <c r="AE673" s="304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8"/>
      <c r="G674" s="3048"/>
      <c r="H674" s="3048"/>
      <c r="I674" s="3048"/>
      <c r="J674" s="3048"/>
      <c r="K674" s="3048"/>
      <c r="L674" s="3048"/>
      <c r="M674" s="3048"/>
      <c r="N674" s="3048"/>
      <c r="O674" s="3048"/>
      <c r="P674" s="3048"/>
      <c r="Q674" s="3048"/>
      <c r="R674" s="3048"/>
      <c r="S674" s="3048"/>
      <c r="T674" s="3048"/>
      <c r="U674" s="3048"/>
      <c r="V674" s="3048"/>
      <c r="W674" s="3048"/>
      <c r="X674" s="3048"/>
      <c r="Y674" s="3048"/>
      <c r="Z674" s="3048"/>
      <c r="AA674" s="3048"/>
      <c r="AB674" s="3048"/>
      <c r="AC674" s="3048"/>
      <c r="AD674" s="3048"/>
      <c r="AE674" s="3048"/>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50"/>
      <c r="G675" s="3150"/>
      <c r="H675" s="3150"/>
      <c r="I675" s="3150"/>
      <c r="J675" s="3150"/>
      <c r="K675" s="3150"/>
      <c r="L675" s="3150"/>
      <c r="M675" s="3150"/>
      <c r="N675" s="3150"/>
      <c r="O675" s="3150"/>
      <c r="P675" s="3150"/>
      <c r="Q675" s="3150"/>
      <c r="R675" s="3150"/>
      <c r="S675" s="3150"/>
      <c r="T675" s="3150"/>
      <c r="U675" s="3150"/>
      <c r="V675" s="3150"/>
      <c r="W675" s="3150"/>
      <c r="X675" s="3150"/>
      <c r="Y675" s="3150"/>
      <c r="Z675" s="3150"/>
      <c r="AA675" s="3150"/>
      <c r="AB675" s="3150"/>
      <c r="AC675" s="3150"/>
      <c r="AD675" s="3150"/>
      <c r="AE675" s="315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53" t="s">
        <v>1796</v>
      </c>
      <c r="G677" s="3153"/>
      <c r="H677" s="3153"/>
      <c r="I677" s="3153"/>
      <c r="J677" s="3153"/>
      <c r="K677" s="3153"/>
      <c r="L677" s="3153"/>
      <c r="M677" s="3153"/>
      <c r="N677" s="3153"/>
      <c r="O677" s="3153"/>
      <c r="P677" s="3153"/>
      <c r="Q677" s="3153"/>
      <c r="R677" s="3153"/>
      <c r="S677" s="3153"/>
      <c r="T677" s="3153"/>
      <c r="U677" s="3153"/>
      <c r="V677" s="3153"/>
      <c r="W677" s="3153"/>
      <c r="X677" s="3153"/>
      <c r="Y677" s="3153"/>
      <c r="Z677" s="3153"/>
      <c r="AA677" s="3153"/>
      <c r="AB677" s="3153"/>
      <c r="AC677" s="3153"/>
      <c r="AD677" s="3153"/>
      <c r="AE677" s="3153"/>
      <c r="AF677" s="3153"/>
      <c r="AG677" s="1208"/>
      <c r="AH677" s="1173"/>
      <c r="AI677" s="1173"/>
      <c r="AJ677" s="1173"/>
      <c r="AK677" s="1173"/>
      <c r="AL677" s="1209"/>
      <c r="AM677" s="1134"/>
      <c r="AN677" s="1000"/>
    </row>
    <row r="678" spans="1:54" s="943" customFormat="1" ht="12.75" customHeight="1">
      <c r="A678" s="927"/>
      <c r="B678" s="51"/>
      <c r="C678" s="1192"/>
      <c r="D678" s="112"/>
      <c r="E678" s="1146"/>
      <c r="F678" s="3154"/>
      <c r="G678" s="3154"/>
      <c r="H678" s="3154"/>
      <c r="I678" s="3154"/>
      <c r="J678" s="3154"/>
      <c r="K678" s="3154"/>
      <c r="L678" s="3154"/>
      <c r="M678" s="3154"/>
      <c r="N678" s="3154"/>
      <c r="O678" s="3154"/>
      <c r="P678" s="3154"/>
      <c r="Q678" s="3154"/>
      <c r="R678" s="3154"/>
      <c r="S678" s="3154"/>
      <c r="T678" s="3154"/>
      <c r="U678" s="3154"/>
      <c r="V678" s="3154"/>
      <c r="W678" s="3154"/>
      <c r="X678" s="3154"/>
      <c r="Y678" s="3154"/>
      <c r="Z678" s="3154"/>
      <c r="AA678" s="3154"/>
      <c r="AB678" s="3154"/>
      <c r="AC678" s="3154"/>
      <c r="AD678" s="3154"/>
      <c r="AE678" s="3154"/>
      <c r="AF678" s="3154"/>
      <c r="AG678" s="1025"/>
      <c r="AH678" s="1025"/>
      <c r="AI678" s="1025"/>
      <c r="AJ678" s="1025"/>
      <c r="AK678" s="1025"/>
      <c r="AL678" s="1193"/>
      <c r="AM678" s="1134"/>
      <c r="AN678" s="1000"/>
    </row>
    <row r="679" spans="1:54" s="943" customFormat="1" ht="12.75" customHeight="1">
      <c r="A679" s="927"/>
      <c r="B679" s="51"/>
      <c r="C679" s="1201"/>
      <c r="D679" s="1025"/>
      <c r="E679" s="1025"/>
      <c r="F679" s="3154"/>
      <c r="G679" s="3154"/>
      <c r="H679" s="3154"/>
      <c r="I679" s="3154"/>
      <c r="J679" s="3154"/>
      <c r="K679" s="3154"/>
      <c r="L679" s="3154"/>
      <c r="M679" s="3154"/>
      <c r="N679" s="3154"/>
      <c r="O679" s="3154"/>
      <c r="P679" s="3154"/>
      <c r="Q679" s="3154"/>
      <c r="R679" s="3154"/>
      <c r="S679" s="3154"/>
      <c r="T679" s="3154"/>
      <c r="U679" s="3154"/>
      <c r="V679" s="3154"/>
      <c r="W679" s="3154"/>
      <c r="X679" s="3154"/>
      <c r="Y679" s="3154"/>
      <c r="Z679" s="3154"/>
      <c r="AA679" s="3154"/>
      <c r="AB679" s="3154"/>
      <c r="AC679" s="3154"/>
      <c r="AD679" s="3154"/>
      <c r="AE679" s="3154"/>
      <c r="AF679" s="3154"/>
      <c r="AG679" s="1025"/>
      <c r="AH679" s="1025"/>
      <c r="AI679" s="1025"/>
      <c r="AJ679" s="1025"/>
      <c r="AK679" s="1025"/>
      <c r="AL679" s="1193"/>
      <c r="AM679" s="1134"/>
      <c r="AN679" s="1000"/>
    </row>
    <row r="680" spans="1:54" s="943" customFormat="1" ht="12.75" customHeight="1">
      <c r="A680" s="927"/>
      <c r="B680" s="51"/>
      <c r="C680" s="1201"/>
      <c r="D680" s="1025"/>
      <c r="E680" s="1025"/>
      <c r="F680" s="3154"/>
      <c r="G680" s="3154"/>
      <c r="H680" s="3154"/>
      <c r="I680" s="3154"/>
      <c r="J680" s="3154"/>
      <c r="K680" s="3154"/>
      <c r="L680" s="3154"/>
      <c r="M680" s="3154"/>
      <c r="N680" s="3154"/>
      <c r="O680" s="3154"/>
      <c r="P680" s="3154"/>
      <c r="Q680" s="3154"/>
      <c r="R680" s="3154"/>
      <c r="S680" s="3154"/>
      <c r="T680" s="3154"/>
      <c r="U680" s="3154"/>
      <c r="V680" s="3154"/>
      <c r="W680" s="3154"/>
      <c r="X680" s="3154"/>
      <c r="Y680" s="3154"/>
      <c r="Z680" s="3154"/>
      <c r="AA680" s="3154"/>
      <c r="AB680" s="3154"/>
      <c r="AC680" s="3154"/>
      <c r="AD680" s="3154"/>
      <c r="AE680" s="3154"/>
      <c r="AF680" s="3154"/>
      <c r="AG680" s="1025"/>
      <c r="AH680" s="1025"/>
      <c r="AI680" s="1025"/>
      <c r="AJ680" s="1025"/>
      <c r="AK680" s="1025"/>
      <c r="AL680" s="1193"/>
      <c r="AM680" s="1134"/>
      <c r="AN680" s="1000"/>
    </row>
    <row r="681" spans="1:54" s="943" customFormat="1" ht="12.75" customHeight="1">
      <c r="A681" s="927"/>
      <c r="B681" s="51"/>
      <c r="C681" s="3056" t="s">
        <v>625</v>
      </c>
      <c r="D681" s="3057"/>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8" t="s">
        <v>1750</v>
      </c>
      <c r="AG681" s="3058"/>
      <c r="AH681" s="3058"/>
      <c r="AI681" s="3058"/>
      <c r="AJ681" s="3058"/>
      <c r="AK681" s="3058"/>
      <c r="AL681" s="305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43">
        <f>IF(Application!D213="N/A",AS573,AS575)</f>
        <v>10</v>
      </c>
      <c r="AL684" s="3044"/>
      <c r="AM684" s="304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6" t="s">
        <v>1800</v>
      </c>
      <c r="AF687" s="3046"/>
      <c r="AG687" s="3046"/>
      <c r="AH687" s="3046"/>
      <c r="AI687" s="3046"/>
      <c r="AJ687" s="3046"/>
      <c r="AK687" s="3046"/>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32" t="s">
        <v>625</v>
      </c>
      <c r="D693" s="3133"/>
      <c r="E693" s="1248" t="s">
        <v>539</v>
      </c>
      <c r="F693" s="3141" t="s">
        <v>1806</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7" t="s">
        <v>625</v>
      </c>
      <c r="G695" s="3147"/>
      <c r="H695" s="3147"/>
      <c r="I695" s="3147"/>
      <c r="J695" s="3147"/>
      <c r="K695" s="3147"/>
      <c r="L695" s="3147"/>
      <c r="M695" s="3147"/>
      <c r="N695" s="3147"/>
      <c r="O695" s="3147"/>
      <c r="P695" s="3147"/>
      <c r="Q695" s="3147"/>
      <c r="R695" s="3147"/>
      <c r="S695" s="3147"/>
      <c r="T695" s="3147"/>
      <c r="U695" s="3147"/>
      <c r="V695" s="3147"/>
      <c r="W695" s="3147"/>
      <c r="X695" s="3147"/>
      <c r="Y695" s="3147"/>
      <c r="Z695" s="3147"/>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8" t="s">
        <v>577</v>
      </c>
      <c r="D697" s="3149"/>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51" t="s">
        <v>625</v>
      </c>
      <c r="W700" s="3051"/>
      <c r="X700" s="3051"/>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51" t="s">
        <v>625</v>
      </c>
      <c r="W702" s="3051"/>
      <c r="X702" s="3051"/>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51" t="s">
        <v>625</v>
      </c>
      <c r="W707" s="3051"/>
      <c r="X707" s="3051"/>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35"/>
      <c r="E710" s="3135"/>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51" t="s">
        <v>625</v>
      </c>
      <c r="W711" s="3051"/>
      <c r="X711" s="3051"/>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51" t="s">
        <v>625</v>
      </c>
      <c r="W713" s="3051"/>
      <c r="X713" s="3051"/>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2" t="s">
        <v>625</v>
      </c>
      <c r="D716" s="3133"/>
      <c r="E716" s="1248" t="s">
        <v>539</v>
      </c>
      <c r="F716" s="3141" t="s">
        <v>1806</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3" t="s">
        <v>625</v>
      </c>
      <c r="G718" s="3143"/>
      <c r="H718" s="3143"/>
      <c r="I718" s="3143"/>
      <c r="J718" s="3143"/>
      <c r="K718" s="3143"/>
      <c r="L718" s="3143"/>
      <c r="M718" s="3143"/>
      <c r="N718" s="3143"/>
      <c r="O718" s="3143"/>
      <c r="P718" s="3143"/>
      <c r="Q718" s="3143"/>
      <c r="R718" s="3143"/>
      <c r="S718" s="3143"/>
      <c r="T718" s="3143"/>
      <c r="U718" s="3143"/>
      <c r="V718" s="3143"/>
      <c r="W718" s="3143"/>
      <c r="X718" s="3143"/>
      <c r="Y718" s="3143"/>
      <c r="Z718" s="3143"/>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2" t="s">
        <v>625</v>
      </c>
      <c r="D720" s="3133"/>
      <c r="E720" s="1248" t="s">
        <v>797</v>
      </c>
      <c r="F720" s="3144" t="s">
        <v>1828</v>
      </c>
      <c r="G720" s="3144"/>
      <c r="H720" s="3144"/>
      <c r="I720" s="3144"/>
      <c r="J720" s="3144"/>
      <c r="K720" s="3144"/>
      <c r="L720" s="3144"/>
      <c r="M720" s="3144"/>
      <c r="N720" s="3144"/>
      <c r="O720" s="3144"/>
      <c r="P720" s="3144"/>
      <c r="Q720" s="3144"/>
      <c r="R720" s="3144"/>
      <c r="S720" s="3144"/>
      <c r="T720" s="3144"/>
      <c r="U720" s="3144"/>
      <c r="V720" s="3144"/>
      <c r="W720" s="3144"/>
      <c r="X720" s="3144"/>
      <c r="Y720" s="3144"/>
      <c r="Z720" s="3144"/>
      <c r="AA720" s="3144"/>
      <c r="AB720" s="3144"/>
      <c r="AC720" s="3144"/>
      <c r="AD720" s="3144"/>
      <c r="AE720" s="314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5"/>
      <c r="G721" s="3145"/>
      <c r="H721" s="3145"/>
      <c r="I721" s="3145"/>
      <c r="J721" s="3145"/>
      <c r="K721" s="3145"/>
      <c r="L721" s="3145"/>
      <c r="M721" s="3145"/>
      <c r="N721" s="3145"/>
      <c r="O721" s="3145"/>
      <c r="P721" s="3145"/>
      <c r="Q721" s="3145"/>
      <c r="R721" s="3145"/>
      <c r="S721" s="3145"/>
      <c r="T721" s="3145"/>
      <c r="U721" s="3145"/>
      <c r="V721" s="3145"/>
      <c r="W721" s="3145"/>
      <c r="X721" s="3145"/>
      <c r="Y721" s="3145"/>
      <c r="Z721" s="3145"/>
      <c r="AA721" s="3145"/>
      <c r="AB721" s="3145"/>
      <c r="AC721" s="3145"/>
      <c r="AD721" s="3145"/>
      <c r="AE721" s="314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6" t="s">
        <v>625</v>
      </c>
      <c r="G723" s="3146"/>
      <c r="H723" s="314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2" t="s">
        <v>625</v>
      </c>
      <c r="D725" s="3133"/>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34"/>
      <c r="D727" s="3135"/>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36" t="s">
        <v>625</v>
      </c>
      <c r="H728" s="3136"/>
      <c r="I728" s="3136"/>
      <c r="J728" s="3136"/>
      <c r="K728" s="3136"/>
      <c r="L728" s="3136"/>
      <c r="M728" s="3136"/>
      <c r="N728" s="3136"/>
      <c r="O728" s="3136"/>
      <c r="P728" s="3136"/>
      <c r="Q728" s="3136"/>
      <c r="R728" s="3136"/>
      <c r="S728" s="3136"/>
      <c r="T728" s="3136"/>
      <c r="U728" s="3136"/>
      <c r="V728" s="3136"/>
      <c r="W728" s="3136"/>
      <c r="X728" s="3136"/>
      <c r="Y728" s="3136"/>
      <c r="Z728" s="3136"/>
      <c r="AA728" s="3136"/>
      <c r="AB728" s="3136"/>
      <c r="AC728" s="3136"/>
      <c r="AD728" s="3136"/>
      <c r="AE728" s="3136"/>
      <c r="AF728" s="313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7" t="s">
        <v>625</v>
      </c>
      <c r="D730" s="3138"/>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7" t="s">
        <v>625</v>
      </c>
      <c r="D734" s="3138"/>
      <c r="E734" s="1025"/>
      <c r="F734" s="1290" t="s">
        <v>1836</v>
      </c>
      <c r="G734" s="3139" t="s">
        <v>1837</v>
      </c>
      <c r="H734" s="3139"/>
      <c r="I734" s="3139"/>
      <c r="J734" s="3139"/>
      <c r="K734" s="3139"/>
      <c r="L734" s="3139"/>
      <c r="M734" s="3139"/>
      <c r="N734" s="3139"/>
      <c r="O734" s="3139"/>
      <c r="P734" s="3139"/>
      <c r="Q734" s="3139"/>
      <c r="R734" s="3139"/>
      <c r="S734" s="3139"/>
      <c r="T734" s="3139"/>
      <c r="U734" s="3139"/>
      <c r="V734" s="3139"/>
      <c r="W734" s="3139"/>
      <c r="X734" s="3139"/>
      <c r="Y734" s="3139"/>
      <c r="Z734" s="3139"/>
      <c r="AA734" s="3139"/>
      <c r="AB734" s="3139"/>
      <c r="AC734" s="3139"/>
      <c r="AD734" s="3139"/>
      <c r="AE734" s="3139"/>
      <c r="AF734" s="3139"/>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40"/>
      <c r="H735" s="3140"/>
      <c r="I735" s="3140"/>
      <c r="J735" s="3140"/>
      <c r="K735" s="3140"/>
      <c r="L735" s="3140"/>
      <c r="M735" s="3140"/>
      <c r="N735" s="3140"/>
      <c r="O735" s="3140"/>
      <c r="P735" s="3140"/>
      <c r="Q735" s="3140"/>
      <c r="R735" s="3140"/>
      <c r="S735" s="3140"/>
      <c r="T735" s="3140"/>
      <c r="U735" s="3140"/>
      <c r="V735" s="3140"/>
      <c r="W735" s="3140"/>
      <c r="X735" s="3140"/>
      <c r="Y735" s="3140"/>
      <c r="Z735" s="3140"/>
      <c r="AA735" s="3140"/>
      <c r="AB735" s="3140"/>
      <c r="AC735" s="3140"/>
      <c r="AD735" s="3140"/>
      <c r="AE735" s="3140"/>
      <c r="AF735" s="314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21" t="s">
        <v>625</v>
      </c>
      <c r="D738" s="3122"/>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23" t="s">
        <v>625</v>
      </c>
      <c r="G739" s="3123"/>
      <c r="H739" s="3123"/>
      <c r="I739" s="3123"/>
      <c r="J739" s="3123"/>
      <c r="K739" s="3123"/>
      <c r="L739" s="3123"/>
      <c r="M739" s="3123"/>
      <c r="N739" s="3123"/>
      <c r="O739" s="3123"/>
      <c r="P739" s="3123"/>
      <c r="Q739" s="3123"/>
      <c r="R739" s="3123"/>
      <c r="S739" s="3123"/>
      <c r="T739" s="3123"/>
      <c r="U739" s="3123"/>
      <c r="V739" s="3123"/>
      <c r="W739" s="3123"/>
      <c r="X739" s="3123"/>
      <c r="Y739" s="3123"/>
      <c r="Z739" s="3123"/>
      <c r="AA739" s="3123"/>
      <c r="AB739" s="3123"/>
      <c r="AC739" s="3123"/>
      <c r="AD739" s="3123"/>
      <c r="AE739" s="3123"/>
      <c r="AF739" s="312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4"/>
      <c r="G740" s="3124"/>
      <c r="H740" s="3124"/>
      <c r="I740" s="3124"/>
      <c r="J740" s="3124"/>
      <c r="K740" s="3124"/>
      <c r="L740" s="3124"/>
      <c r="M740" s="3124"/>
      <c r="N740" s="3124"/>
      <c r="O740" s="3124"/>
      <c r="P740" s="3124"/>
      <c r="Q740" s="3124"/>
      <c r="R740" s="3124"/>
      <c r="S740" s="3124"/>
      <c r="T740" s="3124"/>
      <c r="U740" s="3124"/>
      <c r="V740" s="3124"/>
      <c r="W740" s="3124"/>
      <c r="X740" s="3124"/>
      <c r="Y740" s="3124"/>
      <c r="Z740" s="3124"/>
      <c r="AA740" s="3124"/>
      <c r="AB740" s="3124"/>
      <c r="AC740" s="3124"/>
      <c r="AD740" s="3124"/>
      <c r="AE740" s="3124"/>
      <c r="AF740" s="312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43">
        <f>SUM(AG694:AG739)</f>
        <v>0</v>
      </c>
      <c r="AL750" s="3044"/>
      <c r="AM750" s="304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5" t="s">
        <v>1851</v>
      </c>
      <c r="AF753" s="3125"/>
      <c r="AG753" s="3125"/>
      <c r="AH753" s="3125"/>
      <c r="AI753" s="3125"/>
      <c r="AJ753" s="3125"/>
      <c r="AK753" s="3125"/>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7" t="s">
        <v>625</v>
      </c>
      <c r="D756" s="3057"/>
      <c r="E756" s="944"/>
      <c r="F756" s="3126" t="s">
        <v>1852</v>
      </c>
      <c r="G756" s="3127"/>
      <c r="H756" s="3127"/>
      <c r="I756" s="3127"/>
      <c r="J756" s="3127"/>
      <c r="K756" s="3127"/>
      <c r="L756" s="3127"/>
      <c r="M756" s="3127"/>
      <c r="N756" s="3127"/>
      <c r="O756" s="3127"/>
      <c r="P756" s="3127"/>
      <c r="Q756" s="3127"/>
      <c r="R756" s="3127"/>
      <c r="S756" s="3127"/>
      <c r="T756" s="3127"/>
      <c r="U756" s="3127"/>
      <c r="V756" s="3127"/>
      <c r="W756" s="3127"/>
      <c r="X756" s="3127"/>
      <c r="Y756" s="3127"/>
      <c r="Z756" s="3127"/>
      <c r="AA756" s="3127"/>
      <c r="AB756" s="3127"/>
      <c r="AC756" s="3127"/>
      <c r="AD756" s="3127"/>
      <c r="AE756" s="3127"/>
      <c r="AF756" s="3127"/>
      <c r="AG756" s="3127"/>
      <c r="AH756" s="3127"/>
      <c r="AI756" s="3127"/>
      <c r="AJ756" s="3127"/>
      <c r="AK756" s="3127"/>
      <c r="AL756" s="3128"/>
      <c r="AM756" s="1005"/>
      <c r="AN756" s="1000"/>
    </row>
    <row r="757" spans="1:49" s="943" customFormat="1" ht="12.75" customHeight="1">
      <c r="A757" s="1012"/>
      <c r="B757" s="1012"/>
      <c r="C757" s="944"/>
      <c r="D757" s="944"/>
      <c r="E757" s="944"/>
      <c r="F757" s="3129"/>
      <c r="G757" s="3130"/>
      <c r="H757" s="3130"/>
      <c r="I757" s="3130"/>
      <c r="J757" s="3130"/>
      <c r="K757" s="3130"/>
      <c r="L757" s="3130"/>
      <c r="M757" s="3130"/>
      <c r="N757" s="3130"/>
      <c r="O757" s="3130"/>
      <c r="P757" s="3130"/>
      <c r="Q757" s="3130"/>
      <c r="R757" s="3130"/>
      <c r="S757" s="3130"/>
      <c r="T757" s="3130"/>
      <c r="U757" s="3130"/>
      <c r="V757" s="3130"/>
      <c r="W757" s="3130"/>
      <c r="X757" s="3130"/>
      <c r="Y757" s="3130"/>
      <c r="Z757" s="3130"/>
      <c r="AA757" s="3130"/>
      <c r="AB757" s="3130"/>
      <c r="AC757" s="3130"/>
      <c r="AD757" s="3130"/>
      <c r="AE757" s="3130"/>
      <c r="AF757" s="3130"/>
      <c r="AG757" s="3130"/>
      <c r="AH757" s="3130"/>
      <c r="AI757" s="3130"/>
      <c r="AJ757" s="3130"/>
      <c r="AK757" s="3130"/>
      <c r="AL757" s="313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7" t="s">
        <v>577</v>
      </c>
      <c r="D759" s="3057"/>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5" t="s">
        <v>1854</v>
      </c>
      <c r="G760" s="3036"/>
      <c r="H760" s="3036"/>
      <c r="I760" s="3036"/>
      <c r="J760" s="3036"/>
      <c r="K760" s="3036"/>
      <c r="L760" s="3036"/>
      <c r="M760" s="3036"/>
      <c r="N760" s="3036"/>
      <c r="O760" s="3036"/>
      <c r="P760" s="3036"/>
      <c r="Q760" s="3036"/>
      <c r="R760" s="3036"/>
      <c r="S760" s="3036"/>
      <c r="T760" s="3036"/>
      <c r="U760" s="3036"/>
      <c r="V760" s="3036"/>
      <c r="W760" s="3036"/>
      <c r="X760" s="3036"/>
      <c r="Y760" s="3036"/>
      <c r="Z760" s="3036"/>
      <c r="AA760" s="3036"/>
      <c r="AB760" s="3036"/>
      <c r="AC760" s="3036"/>
      <c r="AD760" s="3036"/>
      <c r="AE760" s="3036"/>
      <c r="AF760" s="3036"/>
      <c r="AG760" s="3036"/>
      <c r="AH760" s="3036"/>
      <c r="AI760" s="3036"/>
      <c r="AJ760" s="3036"/>
      <c r="AK760" s="3036"/>
      <c r="AL760" s="3037"/>
      <c r="AM760" s="1005"/>
      <c r="AN760" s="1000"/>
      <c r="AS760" s="1483"/>
      <c r="AT760" s="1483"/>
      <c r="AU760" s="1483"/>
      <c r="AV760" s="1483"/>
      <c r="AW760" s="1483"/>
    </row>
    <row r="761" spans="1:49" s="943" customFormat="1" ht="12.75" customHeight="1">
      <c r="A761" s="1026"/>
      <c r="B761" s="1305"/>
      <c r="C761" s="1305"/>
      <c r="D761" s="1305"/>
      <c r="E761" s="1305"/>
      <c r="F761" s="3035"/>
      <c r="G761" s="3036"/>
      <c r="H761" s="3036"/>
      <c r="I761" s="3036"/>
      <c r="J761" s="3036"/>
      <c r="K761" s="3036"/>
      <c r="L761" s="3036"/>
      <c r="M761" s="3036"/>
      <c r="N761" s="3036"/>
      <c r="O761" s="3036"/>
      <c r="P761" s="3036"/>
      <c r="Q761" s="3036"/>
      <c r="R761" s="3036"/>
      <c r="S761" s="3036"/>
      <c r="T761" s="3036"/>
      <c r="U761" s="3036"/>
      <c r="V761" s="3036"/>
      <c r="W761" s="3036"/>
      <c r="X761" s="3036"/>
      <c r="Y761" s="3036"/>
      <c r="Z761" s="3036"/>
      <c r="AA761" s="3036"/>
      <c r="AB761" s="3036"/>
      <c r="AC761" s="3036"/>
      <c r="AD761" s="3036"/>
      <c r="AE761" s="3036"/>
      <c r="AF761" s="3036"/>
      <c r="AG761" s="3036"/>
      <c r="AH761" s="3036"/>
      <c r="AI761" s="3036"/>
      <c r="AJ761" s="3036"/>
      <c r="AK761" s="3036"/>
      <c r="AL761" s="3037"/>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5" t="s">
        <v>1856</v>
      </c>
      <c r="G763" s="3036"/>
      <c r="H763" s="3036"/>
      <c r="I763" s="3036"/>
      <c r="J763" s="3036"/>
      <c r="K763" s="3036"/>
      <c r="L763" s="3036"/>
      <c r="M763" s="3036"/>
      <c r="N763" s="3036"/>
      <c r="O763" s="3036"/>
      <c r="P763" s="3036"/>
      <c r="Q763" s="3036"/>
      <c r="R763" s="3036"/>
      <c r="S763" s="3036"/>
      <c r="T763" s="3036"/>
      <c r="U763" s="3036"/>
      <c r="V763" s="3036"/>
      <c r="W763" s="3036"/>
      <c r="X763" s="3036"/>
      <c r="Y763" s="3036"/>
      <c r="Z763" s="3036"/>
      <c r="AA763" s="3036"/>
      <c r="AB763" s="3036"/>
      <c r="AC763" s="3036"/>
      <c r="AD763" s="3036"/>
      <c r="AE763" s="3036"/>
      <c r="AF763" s="3036"/>
      <c r="AG763" s="3036"/>
      <c r="AH763" s="3036"/>
      <c r="AI763" s="3036"/>
      <c r="AJ763" s="3036"/>
      <c r="AK763" s="3036"/>
      <c r="AL763" s="1314"/>
      <c r="AM763" s="1005"/>
      <c r="AN763" s="1000"/>
      <c r="AT763" s="1089"/>
      <c r="AU763" s="1089"/>
      <c r="AV763" s="1089"/>
    </row>
    <row r="764" spans="1:49" s="943" customFormat="1" ht="12.75" customHeight="1">
      <c r="A764" s="1026"/>
      <c r="B764" s="1305"/>
      <c r="C764" s="1305"/>
      <c r="D764" s="1305"/>
      <c r="E764" s="1305"/>
      <c r="F764" s="3038"/>
      <c r="G764" s="3039"/>
      <c r="H764" s="3039"/>
      <c r="I764" s="3039"/>
      <c r="J764" s="3039"/>
      <c r="K764" s="3039"/>
      <c r="L764" s="3039"/>
      <c r="M764" s="3039"/>
      <c r="N764" s="3039"/>
      <c r="O764" s="3039"/>
      <c r="P764" s="3039"/>
      <c r="Q764" s="3039"/>
      <c r="R764" s="3039"/>
      <c r="S764" s="3039"/>
      <c r="T764" s="3039"/>
      <c r="U764" s="3039"/>
      <c r="V764" s="3039"/>
      <c r="W764" s="3039"/>
      <c r="X764" s="3039"/>
      <c r="Y764" s="3039"/>
      <c r="Z764" s="3039"/>
      <c r="AA764" s="3039"/>
      <c r="AB764" s="3039"/>
      <c r="AC764" s="3039"/>
      <c r="AD764" s="3039"/>
      <c r="AE764" s="3039"/>
      <c r="AF764" s="3039"/>
      <c r="AG764" s="3039"/>
      <c r="AH764" s="3039"/>
      <c r="AI764" s="3039"/>
      <c r="AJ764" s="3039"/>
      <c r="AK764" s="303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9">
        <f>Application!AJ975</f>
        <v>70653440</v>
      </c>
      <c r="AQ765" s="3029"/>
      <c r="AR765" s="3029"/>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40">
        <f>'Sources and Uses Budget'!S107+'Sources and Uses Budget'!T107</f>
        <v>73809303</v>
      </c>
      <c r="AG766" s="3040"/>
      <c r="AH766" s="3040"/>
      <c r="AI766" s="3040"/>
      <c r="AJ766" s="3040"/>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41">
        <f>AP774</f>
        <v>106074396.8</v>
      </c>
      <c r="AG767" s="3041"/>
      <c r="AH767" s="3041"/>
      <c r="AI767" s="3041"/>
      <c r="AJ767" s="3041"/>
      <c r="AK767" s="1005"/>
      <c r="AL767" s="1005"/>
      <c r="AM767" s="1005"/>
      <c r="AN767" s="1000"/>
      <c r="AP767" s="3029">
        <f>Application!AJ1024</f>
        <v>7065344</v>
      </c>
      <c r="AQ767" s="3029"/>
      <c r="AR767" s="302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42">
        <f>ROUNDDOWN(IF(C759="YES",((1-(AF766/AF767))*2),(1-(AF766/AF767))),2)</f>
        <v>0.6</v>
      </c>
      <c r="AG768" s="3042"/>
      <c r="AH768" s="3042"/>
      <c r="AI768" s="3042"/>
      <c r="AJ768" s="3042"/>
      <c r="AK768" s="1005"/>
      <c r="AL768" s="1005"/>
      <c r="AM768" s="1005"/>
      <c r="AN768" s="1000"/>
      <c r="AP768" s="3030">
        <f>Application!AJ1028</f>
        <v>14130688</v>
      </c>
      <c r="AQ768" s="3030"/>
      <c r="AR768" s="303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9">
        <f>IF(((AP767+AP768)/AP765)&gt;0.8,0.8,((AP767+AP768)/AP765))</f>
        <v>0.3</v>
      </c>
      <c r="AQ769" s="3049"/>
      <c r="AR769" s="3049"/>
    </row>
    <row r="770" spans="1:44" s="943" customFormat="1" ht="12.75" customHeight="1">
      <c r="A770" s="1048"/>
      <c r="B770" s="3101" t="s">
        <v>1859</v>
      </c>
      <c r="C770" s="3102"/>
      <c r="D770" s="3102"/>
      <c r="E770" s="3102"/>
      <c r="F770" s="3102"/>
      <c r="G770" s="3102"/>
      <c r="H770" s="3102"/>
      <c r="I770" s="3102"/>
      <c r="J770" s="3102"/>
      <c r="K770" s="3102"/>
      <c r="L770" s="3102"/>
      <c r="M770" s="3102"/>
      <c r="N770" s="3102"/>
      <c r="O770" s="3102"/>
      <c r="P770" s="3102"/>
      <c r="Q770" s="3102"/>
      <c r="R770" s="3102"/>
      <c r="S770" s="3102"/>
      <c r="T770" s="3102"/>
      <c r="U770" s="3102"/>
      <c r="V770" s="3102"/>
      <c r="W770" s="3102"/>
      <c r="X770" s="3102"/>
      <c r="Y770" s="3102"/>
      <c r="Z770" s="3102"/>
      <c r="AA770" s="3102"/>
      <c r="AB770" s="3102"/>
      <c r="AC770" s="3102"/>
      <c r="AD770" s="3102"/>
      <c r="AE770" s="3102"/>
      <c r="AF770" s="3102"/>
      <c r="AG770" s="3102"/>
      <c r="AH770" s="3102"/>
      <c r="AI770" s="3102"/>
      <c r="AJ770" s="3103"/>
      <c r="AK770" s="1005"/>
      <c r="AL770" s="1005"/>
      <c r="AM770" s="1005"/>
      <c r="AN770" s="1000"/>
    </row>
    <row r="771" spans="1:44" s="943" customFormat="1" ht="12.75" customHeight="1">
      <c r="A771" s="1048"/>
      <c r="B771" s="3104"/>
      <c r="C771" s="3105"/>
      <c r="D771" s="3105"/>
      <c r="E771" s="3105"/>
      <c r="F771" s="3105"/>
      <c r="G771" s="3105"/>
      <c r="H771" s="3105"/>
      <c r="I771" s="3105"/>
      <c r="J771" s="3105"/>
      <c r="K771" s="3105"/>
      <c r="L771" s="3105"/>
      <c r="M771" s="3105"/>
      <c r="N771" s="3105"/>
      <c r="O771" s="3105"/>
      <c r="P771" s="3105"/>
      <c r="Q771" s="3105"/>
      <c r="R771" s="3105"/>
      <c r="S771" s="3105"/>
      <c r="T771" s="3105"/>
      <c r="U771" s="3105"/>
      <c r="V771" s="3105"/>
      <c r="W771" s="3105"/>
      <c r="X771" s="3105"/>
      <c r="Y771" s="3105"/>
      <c r="Z771" s="3105"/>
      <c r="AA771" s="3105"/>
      <c r="AB771" s="3105"/>
      <c r="AC771" s="3105"/>
      <c r="AD771" s="3105"/>
      <c r="AE771" s="3105"/>
      <c r="AF771" s="3105"/>
      <c r="AG771" s="3105"/>
      <c r="AH771" s="3105"/>
      <c r="AI771" s="3105"/>
      <c r="AJ771" s="3106"/>
      <c r="AK771" s="1005"/>
      <c r="AL771" s="1005"/>
      <c r="AM771" s="1005"/>
      <c r="AN771" s="1000"/>
      <c r="AP771" s="3029">
        <f>AP772-AP767-AP768</f>
        <v>84878364.799999997</v>
      </c>
      <c r="AQ771" s="3050"/>
      <c r="AR771" s="3050"/>
    </row>
    <row r="772" spans="1:44" s="943" customFormat="1" ht="12.75" customHeight="1">
      <c r="A772" s="1048"/>
      <c r="B772" s="3107"/>
      <c r="C772" s="3108"/>
      <c r="D772" s="3108"/>
      <c r="E772" s="3108"/>
      <c r="F772" s="3108"/>
      <c r="G772" s="3108"/>
      <c r="H772" s="3108"/>
      <c r="I772" s="3108"/>
      <c r="J772" s="3108"/>
      <c r="K772" s="3108"/>
      <c r="L772" s="3108"/>
      <c r="M772" s="3108"/>
      <c r="N772" s="3108"/>
      <c r="O772" s="3108"/>
      <c r="P772" s="3108"/>
      <c r="Q772" s="3108"/>
      <c r="R772" s="3108"/>
      <c r="S772" s="3108"/>
      <c r="T772" s="3108"/>
      <c r="U772" s="3108"/>
      <c r="V772" s="3108"/>
      <c r="W772" s="3108"/>
      <c r="X772" s="3108"/>
      <c r="Y772" s="3108"/>
      <c r="Z772" s="3108"/>
      <c r="AA772" s="3108"/>
      <c r="AB772" s="3108"/>
      <c r="AC772" s="3108"/>
      <c r="AD772" s="3108"/>
      <c r="AE772" s="3108"/>
      <c r="AF772" s="3108"/>
      <c r="AG772" s="3108"/>
      <c r="AH772" s="3108"/>
      <c r="AI772" s="3108"/>
      <c r="AJ772" s="3109"/>
      <c r="AK772" s="1005"/>
      <c r="AL772" s="1005"/>
      <c r="AM772" s="1005"/>
      <c r="AN772" s="1000"/>
      <c r="AP772" s="3029">
        <f>Application!AJ1032</f>
        <v>106074396.8</v>
      </c>
      <c r="AQ772" s="3029"/>
      <c r="AR772" s="302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10">
        <f>IF(AF768=0,0,IF((AF768*100)&gt;12,12,(AF768*100)))</f>
        <v>12</v>
      </c>
      <c r="AL774" s="3110"/>
      <c r="AM774" s="3111"/>
      <c r="AN774" s="1000"/>
      <c r="AP774" s="3018">
        <f>AP771+(AP765*AP769)</f>
        <v>106074396.8</v>
      </c>
      <c r="AQ774" s="3019"/>
      <c r="AR774" s="302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12" t="s">
        <v>1861</v>
      </c>
      <c r="B777" s="3113"/>
      <c r="C777" s="3113"/>
      <c r="D777" s="3113"/>
      <c r="E777" s="3113"/>
      <c r="F777" s="3113"/>
      <c r="G777" s="3113"/>
      <c r="H777" s="3113"/>
      <c r="I777" s="3113"/>
      <c r="J777" s="3113"/>
      <c r="K777" s="3113"/>
      <c r="L777" s="3113"/>
      <c r="M777" s="3113"/>
      <c r="N777" s="3113"/>
      <c r="O777" s="3113"/>
      <c r="P777" s="3113"/>
      <c r="Q777" s="3113"/>
      <c r="R777" s="3113"/>
      <c r="S777" s="3113"/>
      <c r="T777" s="3113"/>
      <c r="U777" s="3113"/>
      <c r="V777" s="3113"/>
      <c r="W777" s="3113"/>
      <c r="X777" s="3113"/>
      <c r="Y777" s="3113"/>
      <c r="Z777" s="3113"/>
      <c r="AA777" s="3113"/>
      <c r="AB777" s="3113"/>
      <c r="AC777" s="3113"/>
      <c r="AD777" s="3113"/>
      <c r="AE777" s="3113"/>
      <c r="AF777" s="3113"/>
      <c r="AG777" s="3113"/>
      <c r="AH777" s="3113"/>
      <c r="AI777" s="3113"/>
      <c r="AJ777" s="3113"/>
      <c r="AK777" s="3113"/>
      <c r="AL777" s="3113"/>
      <c r="AM777" s="3113"/>
    </row>
    <row r="778" spans="1:44">
      <c r="A778" s="3114"/>
      <c r="B778" s="3114"/>
      <c r="C778" s="3114"/>
      <c r="D778" s="3114"/>
      <c r="E778" s="3114"/>
      <c r="F778" s="3114"/>
      <c r="G778" s="3114"/>
      <c r="H778" s="3114"/>
      <c r="I778" s="3114"/>
      <c r="J778" s="3114"/>
      <c r="K778" s="3114"/>
      <c r="L778" s="3114"/>
      <c r="M778" s="3114"/>
      <c r="N778" s="3114"/>
      <c r="O778" s="3114"/>
      <c r="P778" s="3114"/>
      <c r="Q778" s="3114"/>
      <c r="R778" s="3114"/>
      <c r="S778" s="3114"/>
      <c r="T778" s="3114"/>
      <c r="U778" s="3114"/>
      <c r="V778" s="3114"/>
      <c r="W778" s="3114"/>
      <c r="X778" s="3114"/>
      <c r="Y778" s="3114"/>
      <c r="Z778" s="3114"/>
      <c r="AA778" s="3114"/>
      <c r="AB778" s="3114"/>
      <c r="AC778" s="3114"/>
      <c r="AD778" s="3114"/>
      <c r="AE778" s="3114"/>
      <c r="AF778" s="3114"/>
      <c r="AG778" s="3114"/>
      <c r="AH778" s="3114"/>
      <c r="AI778" s="3114"/>
      <c r="AJ778" s="3114"/>
      <c r="AK778" s="3114"/>
      <c r="AL778" s="3114"/>
      <c r="AM778" s="311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6"/>
      <c r="B780" s="3046"/>
      <c r="C780" s="3046"/>
      <c r="D780" s="3046"/>
      <c r="E780" s="3046"/>
      <c r="F780" s="3046"/>
      <c r="G780" s="3046"/>
      <c r="H780" s="3046"/>
      <c r="I780" s="3046"/>
      <c r="J780" s="3046"/>
      <c r="K780" s="3046"/>
      <c r="L780" s="3046"/>
      <c r="M780" s="3046"/>
      <c r="N780" s="3046"/>
      <c r="O780" s="3046"/>
      <c r="P780" s="3046"/>
      <c r="Q780" s="3046"/>
      <c r="R780" s="3046"/>
      <c r="S780" s="3046"/>
      <c r="T780" s="3046"/>
      <c r="U780" s="3046"/>
      <c r="V780" s="3046"/>
      <c r="W780" s="3046"/>
      <c r="X780" s="3046"/>
      <c r="Y780" s="3046"/>
      <c r="Z780" s="3046"/>
      <c r="AA780" s="3046"/>
      <c r="AB780" s="3046"/>
      <c r="AC780" s="3046"/>
      <c r="AD780" s="3046"/>
      <c r="AE780" s="3046"/>
      <c r="AF780" s="3046"/>
      <c r="AG780" s="3046"/>
      <c r="AH780" s="3046"/>
      <c r="AI780" s="3046"/>
      <c r="AJ780" s="3046"/>
      <c r="AK780" s="3046"/>
      <c r="AL780" s="3046"/>
      <c r="AM780" s="3046"/>
      <c r="AO780" s="1227"/>
      <c r="AP780" s="1320"/>
      <c r="AQ780" s="1319"/>
    </row>
    <row r="781" spans="1:44">
      <c r="A781" s="3046"/>
      <c r="B781" s="3046"/>
      <c r="C781" s="3046"/>
      <c r="D781" s="3046"/>
      <c r="E781" s="3046"/>
      <c r="F781" s="3046"/>
      <c r="G781" s="3046"/>
      <c r="H781" s="3046"/>
      <c r="I781" s="3046"/>
      <c r="J781" s="3046"/>
      <c r="K781" s="3046"/>
      <c r="L781" s="3046"/>
      <c r="M781" s="3046"/>
      <c r="N781" s="3046"/>
      <c r="O781" s="3046"/>
      <c r="P781" s="3046"/>
      <c r="Q781" s="3046"/>
      <c r="R781" s="3046"/>
      <c r="S781" s="3046"/>
      <c r="T781" s="3046"/>
      <c r="U781" s="3046"/>
      <c r="V781" s="3046"/>
      <c r="W781" s="3046"/>
      <c r="X781" s="3046"/>
      <c r="Y781" s="3046"/>
      <c r="Z781" s="3046"/>
      <c r="AA781" s="3046"/>
      <c r="AB781" s="3046"/>
      <c r="AC781" s="3046"/>
      <c r="AD781" s="3046"/>
      <c r="AE781" s="3046"/>
      <c r="AF781" s="3046"/>
      <c r="AG781" s="3046"/>
      <c r="AH781" s="3046"/>
      <c r="AI781" s="3046"/>
      <c r="AJ781" s="3046"/>
      <c r="AK781" s="3046"/>
      <c r="AL781" s="3046"/>
      <c r="AM781" s="304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5" t="s">
        <v>1862</v>
      </c>
      <c r="U782" s="3116"/>
      <c r="V782" s="3116"/>
      <c r="W782" s="3116"/>
      <c r="X782" s="3116"/>
      <c r="Y782" s="3117"/>
      <c r="Z782" s="3115" t="s">
        <v>1863</v>
      </c>
      <c r="AA782" s="3116"/>
      <c r="AB782" s="3116"/>
      <c r="AC782" s="3116"/>
      <c r="AD782" s="3116"/>
      <c r="AE782" s="3117"/>
      <c r="AF782" s="3115" t="s">
        <v>1864</v>
      </c>
      <c r="AG782" s="3116"/>
      <c r="AH782" s="3116"/>
      <c r="AI782" s="3116"/>
      <c r="AJ782" s="3116"/>
      <c r="AK782" s="3117"/>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8"/>
      <c r="U783" s="3119"/>
      <c r="V783" s="3119"/>
      <c r="W783" s="3119"/>
      <c r="X783" s="3119"/>
      <c r="Y783" s="3120"/>
      <c r="Z783" s="3118"/>
      <c r="AA783" s="3119"/>
      <c r="AB783" s="3119"/>
      <c r="AC783" s="3119"/>
      <c r="AD783" s="3119"/>
      <c r="AE783" s="3120"/>
      <c r="AF783" s="3118"/>
      <c r="AG783" s="3119"/>
      <c r="AH783" s="3119"/>
      <c r="AI783" s="3119"/>
      <c r="AJ783" s="3119"/>
      <c r="AK783" s="3120"/>
      <c r="AL783" s="1322"/>
      <c r="AM783" s="1216"/>
      <c r="AO783" s="1320"/>
      <c r="AP783" s="1319"/>
      <c r="AQ783" s="1319"/>
    </row>
    <row r="784" spans="1:44">
      <c r="A784" s="1323" t="s">
        <v>797</v>
      </c>
      <c r="B784" s="3069" t="s">
        <v>1562</v>
      </c>
      <c r="C784" s="3069"/>
      <c r="D784" s="3069"/>
      <c r="E784" s="3069"/>
      <c r="F784" s="3069"/>
      <c r="G784" s="3069"/>
      <c r="H784" s="3069"/>
      <c r="I784" s="3069"/>
      <c r="J784" s="3069"/>
      <c r="K784" s="3069"/>
      <c r="L784" s="3069"/>
      <c r="M784" s="3069"/>
      <c r="N784" s="3069"/>
      <c r="O784" s="3069"/>
      <c r="P784" s="3069"/>
      <c r="Q784" s="3069"/>
      <c r="R784" s="3069"/>
      <c r="S784" s="3070"/>
      <c r="T784" s="3100">
        <f>AK51</f>
        <v>0</v>
      </c>
      <c r="U784" s="3073"/>
      <c r="V784" s="3073"/>
      <c r="W784" s="3073"/>
      <c r="X784" s="3073"/>
      <c r="Y784" s="3074"/>
      <c r="Z784" s="3072">
        <v>20</v>
      </c>
      <c r="AA784" s="3073"/>
      <c r="AB784" s="3073"/>
      <c r="AC784" s="3073"/>
      <c r="AD784" s="3073"/>
      <c r="AE784" s="3074"/>
      <c r="AF784" s="3075">
        <f>IF(T784&gt;Z784,Z784,T784)</f>
        <v>0</v>
      </c>
      <c r="AG784" s="3075"/>
      <c r="AH784" s="3075"/>
      <c r="AI784" s="3075"/>
      <c r="AJ784" s="3075"/>
      <c r="AK784" s="3075"/>
      <c r="AL784" s="1322"/>
      <c r="AM784" s="1216"/>
      <c r="AO784" s="1319"/>
      <c r="AP784" s="1319"/>
      <c r="AQ784" s="1319"/>
    </row>
    <row r="785" spans="1:81">
      <c r="A785" s="1323" t="s">
        <v>1830</v>
      </c>
      <c r="B785" s="3069" t="s">
        <v>1583</v>
      </c>
      <c r="C785" s="3069"/>
      <c r="D785" s="3069"/>
      <c r="E785" s="3069"/>
      <c r="F785" s="3069"/>
      <c r="G785" s="3069"/>
      <c r="H785" s="3069"/>
      <c r="I785" s="3069"/>
      <c r="J785" s="3069"/>
      <c r="K785" s="3069"/>
      <c r="L785" s="3069"/>
      <c r="M785" s="3069"/>
      <c r="N785" s="3069"/>
      <c r="O785" s="3069"/>
      <c r="P785" s="3069"/>
      <c r="Q785" s="3069"/>
      <c r="R785" s="3069"/>
      <c r="S785" s="3070"/>
      <c r="T785" s="3100">
        <f>AK72</f>
        <v>10</v>
      </c>
      <c r="U785" s="3073"/>
      <c r="V785" s="3073"/>
      <c r="W785" s="3073"/>
      <c r="X785" s="3073"/>
      <c r="Y785" s="3074"/>
      <c r="Z785" s="3072">
        <v>10</v>
      </c>
      <c r="AA785" s="3073"/>
      <c r="AB785" s="3073"/>
      <c r="AC785" s="3073"/>
      <c r="AD785" s="3073"/>
      <c r="AE785" s="3074"/>
      <c r="AF785" s="3075">
        <f>IF(T785&gt;Z785,Z785,T785)</f>
        <v>10</v>
      </c>
      <c r="AG785" s="3075"/>
      <c r="AH785" s="3075"/>
      <c r="AI785" s="3075"/>
      <c r="AJ785" s="3075"/>
      <c r="AK785" s="3075"/>
      <c r="AL785" s="1322"/>
      <c r="AM785" s="1216"/>
      <c r="AO785" s="1319"/>
      <c r="AP785" s="1319"/>
      <c r="AQ785" s="1319"/>
    </row>
    <row r="786" spans="1:81">
      <c r="A786" s="1323" t="s">
        <v>1839</v>
      </c>
      <c r="B786" s="3069" t="s">
        <v>1593</v>
      </c>
      <c r="C786" s="3069"/>
      <c r="D786" s="3069"/>
      <c r="E786" s="3069"/>
      <c r="F786" s="3069"/>
      <c r="G786" s="3069"/>
      <c r="H786" s="3069"/>
      <c r="I786" s="3069"/>
      <c r="J786" s="3069"/>
      <c r="K786" s="3069"/>
      <c r="L786" s="3069"/>
      <c r="M786" s="3069"/>
      <c r="N786" s="3069"/>
      <c r="O786" s="3069"/>
      <c r="P786" s="3069"/>
      <c r="Q786" s="3069"/>
      <c r="R786" s="3069"/>
      <c r="S786" s="3070"/>
      <c r="T786" s="3100">
        <f ca="1">AK97</f>
        <v>20</v>
      </c>
      <c r="U786" s="3073"/>
      <c r="V786" s="3073"/>
      <c r="W786" s="3073"/>
      <c r="X786" s="3073"/>
      <c r="Y786" s="3074"/>
      <c r="Z786" s="3072">
        <v>20</v>
      </c>
      <c r="AA786" s="3073"/>
      <c r="AB786" s="3073"/>
      <c r="AC786" s="3073"/>
      <c r="AD786" s="3073"/>
      <c r="AE786" s="3074"/>
      <c r="AF786" s="3075">
        <f ca="1">IF(T786&gt;Z786,Z786,T786)</f>
        <v>20</v>
      </c>
      <c r="AG786" s="3075"/>
      <c r="AH786" s="3075"/>
      <c r="AI786" s="3075"/>
      <c r="AJ786" s="3075"/>
      <c r="AK786" s="3075"/>
      <c r="AL786" s="1322"/>
      <c r="AM786" s="1216"/>
      <c r="AO786" s="1319"/>
      <c r="AP786" s="1319"/>
      <c r="AQ786" s="1319"/>
    </row>
    <row r="787" spans="1:81">
      <c r="A787" s="1323" t="s">
        <v>1865</v>
      </c>
      <c r="B787" s="3069" t="s">
        <v>1603</v>
      </c>
      <c r="C787" s="3069"/>
      <c r="D787" s="3069"/>
      <c r="E787" s="3069"/>
      <c r="F787" s="3069"/>
      <c r="G787" s="3069"/>
      <c r="H787" s="3069"/>
      <c r="I787" s="3069"/>
      <c r="J787" s="3069"/>
      <c r="K787" s="3069"/>
      <c r="L787" s="3069"/>
      <c r="M787" s="3069"/>
      <c r="N787" s="3069"/>
      <c r="O787" s="3069"/>
      <c r="P787" s="3069"/>
      <c r="Q787" s="3069"/>
      <c r="R787" s="3069"/>
      <c r="S787" s="3070"/>
      <c r="T787" s="3100">
        <f>AK131</f>
        <v>10</v>
      </c>
      <c r="U787" s="3073"/>
      <c r="V787" s="3073"/>
      <c r="W787" s="3073"/>
      <c r="X787" s="3073"/>
      <c r="Y787" s="3074"/>
      <c r="Z787" s="3072">
        <v>10</v>
      </c>
      <c r="AA787" s="3073"/>
      <c r="AB787" s="3073"/>
      <c r="AC787" s="3073"/>
      <c r="AD787" s="3073"/>
      <c r="AE787" s="3074"/>
      <c r="AF787" s="3075">
        <f>IF(T787&gt;Z787,Z787,T787)</f>
        <v>10</v>
      </c>
      <c r="AG787" s="3075"/>
      <c r="AH787" s="3075"/>
      <c r="AI787" s="3075"/>
      <c r="AJ787" s="3075"/>
      <c r="AK787" s="3075"/>
      <c r="AL787" s="1322"/>
      <c r="AM787" s="1216"/>
      <c r="AO787" s="1319"/>
      <c r="AP787" s="1319"/>
      <c r="AQ787" s="1319"/>
    </row>
    <row r="788" spans="1:81">
      <c r="A788" s="1325" t="s">
        <v>1866</v>
      </c>
      <c r="B788" s="3069" t="s">
        <v>1867</v>
      </c>
      <c r="C788" s="3069"/>
      <c r="D788" s="3069"/>
      <c r="E788" s="3069"/>
      <c r="F788" s="3069"/>
      <c r="G788" s="3069"/>
      <c r="H788" s="3069"/>
      <c r="I788" s="3069"/>
      <c r="J788" s="3069"/>
      <c r="K788" s="3069"/>
      <c r="L788" s="3069"/>
      <c r="M788" s="3069"/>
      <c r="N788" s="3069"/>
      <c r="O788" s="3069"/>
      <c r="P788" s="3069"/>
      <c r="Q788" s="3069"/>
      <c r="R788" s="3069"/>
      <c r="S788" s="3070"/>
      <c r="T788" s="3071">
        <f>SUM(T789:Y790)</f>
        <v>10</v>
      </c>
      <c r="U788" s="3071"/>
      <c r="V788" s="3071"/>
      <c r="W788" s="3071"/>
      <c r="X788" s="3071"/>
      <c r="Y788" s="3071"/>
      <c r="Z788" s="3075">
        <v>10</v>
      </c>
      <c r="AA788" s="3075"/>
      <c r="AB788" s="3075"/>
      <c r="AC788" s="3075"/>
      <c r="AD788" s="3075"/>
      <c r="AE788" s="3075"/>
      <c r="AF788" s="3075">
        <f>IF(T788&gt;Z788,Z788,T788)</f>
        <v>10</v>
      </c>
      <c r="AG788" s="3075"/>
      <c r="AH788" s="3075"/>
      <c r="AI788" s="3075"/>
      <c r="AJ788" s="3075"/>
      <c r="AK788" s="3075"/>
      <c r="AL788" s="1322"/>
      <c r="AM788" s="1216"/>
    </row>
    <row r="789" spans="1:81">
      <c r="A789" s="926"/>
      <c r="B789" s="1009"/>
      <c r="C789" s="3076" t="s">
        <v>1868</v>
      </c>
      <c r="D789" s="3076"/>
      <c r="E789" s="3076"/>
      <c r="F789" s="3076"/>
      <c r="G789" s="3076"/>
      <c r="H789" s="3076"/>
      <c r="I789" s="3076"/>
      <c r="J789" s="3076"/>
      <c r="K789" s="3076"/>
      <c r="L789" s="3076"/>
      <c r="M789" s="3076"/>
      <c r="N789" s="3076"/>
      <c r="O789" s="3076"/>
      <c r="P789" s="3076"/>
      <c r="Q789" s="3076"/>
      <c r="R789" s="3076"/>
      <c r="S789" s="3077"/>
      <c r="T789" s="3078">
        <f>AJ149</f>
        <v>7</v>
      </c>
      <c r="U789" s="3078"/>
      <c r="V789" s="3078"/>
      <c r="W789" s="3078"/>
      <c r="X789" s="3078"/>
      <c r="Y789" s="3078"/>
      <c r="Z789" s="3079">
        <v>7</v>
      </c>
      <c r="AA789" s="3079"/>
      <c r="AB789" s="3079"/>
      <c r="AC789" s="3079"/>
      <c r="AD789" s="3079"/>
      <c r="AE789" s="3079"/>
      <c r="AF789" s="3080"/>
      <c r="AG789" s="3080"/>
      <c r="AH789" s="3080"/>
      <c r="AI789" s="3080"/>
      <c r="AJ789" s="3080"/>
      <c r="AK789" s="3080"/>
      <c r="AL789" s="1322"/>
      <c r="AM789" s="1216"/>
    </row>
    <row r="790" spans="1:81">
      <c r="A790" s="1326"/>
      <c r="B790" s="1009"/>
      <c r="C790" s="3076" t="s">
        <v>1869</v>
      </c>
      <c r="D790" s="3076"/>
      <c r="E790" s="3076"/>
      <c r="F790" s="3076"/>
      <c r="G790" s="3076"/>
      <c r="H790" s="3076"/>
      <c r="I790" s="3076"/>
      <c r="J790" s="3076"/>
      <c r="K790" s="3076"/>
      <c r="L790" s="3076"/>
      <c r="M790" s="3076"/>
      <c r="N790" s="3076"/>
      <c r="O790" s="3076"/>
      <c r="P790" s="3076"/>
      <c r="Q790" s="3076"/>
      <c r="R790" s="3076"/>
      <c r="S790" s="3077"/>
      <c r="T790" s="3078">
        <f>AJ163</f>
        <v>3</v>
      </c>
      <c r="U790" s="3078"/>
      <c r="V790" s="3078"/>
      <c r="W790" s="3078"/>
      <c r="X790" s="3078"/>
      <c r="Y790" s="3078"/>
      <c r="Z790" s="3079">
        <v>3</v>
      </c>
      <c r="AA790" s="3079"/>
      <c r="AB790" s="3079"/>
      <c r="AC790" s="3079"/>
      <c r="AD790" s="3079"/>
      <c r="AE790" s="3079"/>
      <c r="AF790" s="3080"/>
      <c r="AG790" s="3080"/>
      <c r="AH790" s="3080"/>
      <c r="AI790" s="3080"/>
      <c r="AJ790" s="3080"/>
      <c r="AK790" s="3080"/>
      <c r="AL790" s="1322"/>
      <c r="AM790" s="1216"/>
      <c r="AO790" s="943"/>
    </row>
    <row r="791" spans="1:81">
      <c r="A791" s="1325" t="s">
        <v>1631</v>
      </c>
      <c r="B791" s="3069" t="s">
        <v>1870</v>
      </c>
      <c r="C791" s="3069"/>
      <c r="D791" s="3069"/>
      <c r="E791" s="3069"/>
      <c r="F791" s="3069"/>
      <c r="G791" s="3069"/>
      <c r="H791" s="3069"/>
      <c r="I791" s="3069"/>
      <c r="J791" s="3069"/>
      <c r="K791" s="3069"/>
      <c r="L791" s="3069"/>
      <c r="M791" s="3069"/>
      <c r="N791" s="3069"/>
      <c r="O791" s="3069"/>
      <c r="P791" s="3069"/>
      <c r="Q791" s="3069"/>
      <c r="R791" s="3069"/>
      <c r="S791" s="3070"/>
      <c r="T791" s="3071">
        <f>AK174</f>
        <v>10</v>
      </c>
      <c r="U791" s="3071"/>
      <c r="V791" s="3071"/>
      <c r="W791" s="3071"/>
      <c r="X791" s="3071"/>
      <c r="Y791" s="3071"/>
      <c r="Z791" s="3075">
        <v>10</v>
      </c>
      <c r="AA791" s="3075"/>
      <c r="AB791" s="3075"/>
      <c r="AC791" s="3075"/>
      <c r="AD791" s="3075"/>
      <c r="AE791" s="3075"/>
      <c r="AF791" s="3075">
        <f>IF(T791&gt;Z791,Z791,T791)</f>
        <v>10</v>
      </c>
      <c r="AG791" s="3075"/>
      <c r="AH791" s="3075"/>
      <c r="AI791" s="3075"/>
      <c r="AJ791" s="3075"/>
      <c r="AK791" s="3075"/>
      <c r="AL791" s="1322"/>
      <c r="AM791" s="1216"/>
    </row>
    <row r="792" spans="1:81">
      <c r="A792" s="1323" t="s">
        <v>1640</v>
      </c>
      <c r="B792" s="3069" t="s">
        <v>1641</v>
      </c>
      <c r="C792" s="3069"/>
      <c r="D792" s="3069"/>
      <c r="E792" s="3069"/>
      <c r="F792" s="3069"/>
      <c r="G792" s="3069"/>
      <c r="H792" s="3069"/>
      <c r="I792" s="3069"/>
      <c r="J792" s="3069"/>
      <c r="K792" s="3069"/>
      <c r="L792" s="3069"/>
      <c r="M792" s="3069"/>
      <c r="N792" s="3069"/>
      <c r="O792" s="3069"/>
      <c r="P792" s="3069"/>
      <c r="Q792" s="3069"/>
      <c r="R792" s="3069"/>
      <c r="S792" s="3070"/>
      <c r="T792" s="3071">
        <f>AK256</f>
        <v>8</v>
      </c>
      <c r="U792" s="3071"/>
      <c r="V792" s="3071"/>
      <c r="W792" s="3071"/>
      <c r="X792" s="3071"/>
      <c r="Y792" s="3071"/>
      <c r="Z792" s="3072">
        <v>8</v>
      </c>
      <c r="AA792" s="3073"/>
      <c r="AB792" s="3073"/>
      <c r="AC792" s="3073"/>
      <c r="AD792" s="3073"/>
      <c r="AE792" s="3074"/>
      <c r="AF792" s="3075">
        <f>IF(T792&gt;Z792,Z792,T792)</f>
        <v>8</v>
      </c>
      <c r="AG792" s="3075"/>
      <c r="AH792" s="3075"/>
      <c r="AI792" s="3075"/>
      <c r="AJ792" s="3075"/>
      <c r="AK792" s="3075"/>
      <c r="AL792" s="1322"/>
      <c r="AM792" s="1216"/>
    </row>
    <row r="793" spans="1:81" s="925" customFormat="1" hidden="1">
      <c r="A793" s="1325" t="s">
        <v>623</v>
      </c>
      <c r="B793" s="3069" t="s">
        <v>1871</v>
      </c>
      <c r="C793" s="3069"/>
      <c r="D793" s="3069"/>
      <c r="E793" s="3069"/>
      <c r="F793" s="3069"/>
      <c r="G793" s="3069"/>
      <c r="H793" s="3069"/>
      <c r="I793" s="3069"/>
      <c r="J793" s="3069"/>
      <c r="K793" s="3069"/>
      <c r="L793" s="3069"/>
      <c r="M793" s="3069"/>
      <c r="N793" s="3069"/>
      <c r="O793" s="3069"/>
      <c r="P793" s="3069"/>
      <c r="Q793" s="3069"/>
      <c r="R793" s="3069"/>
      <c r="S793" s="3070"/>
      <c r="T793" s="3071">
        <f>IF(AK750&gt;5,5,AK750)</f>
        <v>0</v>
      </c>
      <c r="U793" s="3071"/>
      <c r="V793" s="3071"/>
      <c r="W793" s="3071"/>
      <c r="X793" s="3071"/>
      <c r="Y793" s="3071"/>
      <c r="Z793" s="3075">
        <v>5</v>
      </c>
      <c r="AA793" s="3075"/>
      <c r="AB793" s="3075"/>
      <c r="AC793" s="3075"/>
      <c r="AD793" s="3075"/>
      <c r="AE793" s="3075"/>
      <c r="AF793" s="3075">
        <f>IF(T793&gt;Z793,5,T793)</f>
        <v>0</v>
      </c>
      <c r="AG793" s="3075"/>
      <c r="AH793" s="3075"/>
      <c r="AI793" s="3075"/>
      <c r="AJ793" s="3075"/>
      <c r="AK793" s="307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9" t="s">
        <v>1872</v>
      </c>
      <c r="C794" s="3069"/>
      <c r="D794" s="3069"/>
      <c r="E794" s="3069"/>
      <c r="F794" s="3069"/>
      <c r="G794" s="3069"/>
      <c r="H794" s="3069"/>
      <c r="I794" s="3069"/>
      <c r="J794" s="3069"/>
      <c r="K794" s="3069"/>
      <c r="L794" s="3069"/>
      <c r="M794" s="3069"/>
      <c r="N794" s="3069"/>
      <c r="O794" s="3069"/>
      <c r="P794" s="3069"/>
      <c r="Q794" s="3069"/>
      <c r="R794" s="3069"/>
      <c r="S794" s="3070"/>
      <c r="T794" s="3071">
        <f>AK267</f>
        <v>10</v>
      </c>
      <c r="U794" s="3071"/>
      <c r="V794" s="3071"/>
      <c r="W794" s="3071"/>
      <c r="X794" s="3071"/>
      <c r="Y794" s="3071"/>
      <c r="Z794" s="3075">
        <v>10</v>
      </c>
      <c r="AA794" s="3075"/>
      <c r="AB794" s="3075"/>
      <c r="AC794" s="3075"/>
      <c r="AD794" s="3075"/>
      <c r="AE794" s="3075"/>
      <c r="AF794" s="3081">
        <f>IF(T794&gt;Z794,Z794,T794)</f>
        <v>10</v>
      </c>
      <c r="AG794" s="3082"/>
      <c r="AH794" s="3082"/>
      <c r="AI794" s="3082"/>
      <c r="AJ794" s="3082"/>
      <c r="AK794" s="308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9" t="s">
        <v>1651</v>
      </c>
      <c r="C795" s="3069"/>
      <c r="D795" s="3069"/>
      <c r="E795" s="3069"/>
      <c r="F795" s="3069"/>
      <c r="G795" s="3069"/>
      <c r="H795" s="3069"/>
      <c r="I795" s="3069"/>
      <c r="J795" s="3069"/>
      <c r="K795" s="3069"/>
      <c r="L795" s="3069"/>
      <c r="M795" s="3069"/>
      <c r="N795" s="3069"/>
      <c r="O795" s="3069"/>
      <c r="P795" s="3069"/>
      <c r="Q795" s="3069"/>
      <c r="R795" s="3069"/>
      <c r="S795" s="3070"/>
      <c r="T795" s="3071">
        <f>AK553</f>
        <v>20</v>
      </c>
      <c r="U795" s="3071"/>
      <c r="V795" s="3071"/>
      <c r="W795" s="3071"/>
      <c r="X795" s="3071"/>
      <c r="Y795" s="3071"/>
      <c r="Z795" s="3081">
        <v>20</v>
      </c>
      <c r="AA795" s="3082"/>
      <c r="AB795" s="3082"/>
      <c r="AC795" s="3082"/>
      <c r="AD795" s="3082"/>
      <c r="AE795" s="3083"/>
      <c r="AF795" s="3081">
        <f>IF(T795&gt;Z795,Z795,T795)</f>
        <v>20</v>
      </c>
      <c r="AG795" s="3084"/>
      <c r="AH795" s="3084"/>
      <c r="AI795" s="3084"/>
      <c r="AJ795" s="3084"/>
      <c r="AK795" s="308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8">
        <f>AK320</f>
        <v>20</v>
      </c>
      <c r="U796" s="3078"/>
      <c r="V796" s="3078"/>
      <c r="W796" s="3078"/>
      <c r="X796" s="3078"/>
      <c r="Y796" s="3078"/>
      <c r="Z796" s="3043">
        <v>20</v>
      </c>
      <c r="AA796" s="3044"/>
      <c r="AB796" s="3044"/>
      <c r="AC796" s="3044"/>
      <c r="AD796" s="3044"/>
      <c r="AE796" s="3045"/>
      <c r="AF796" s="3080"/>
      <c r="AG796" s="3080"/>
      <c r="AH796" s="3080"/>
      <c r="AI796" s="3080"/>
      <c r="AJ796" s="3080"/>
      <c r="AK796" s="308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8">
        <f>AK551</f>
        <v>0</v>
      </c>
      <c r="U797" s="3078"/>
      <c r="V797" s="3078"/>
      <c r="W797" s="3078"/>
      <c r="X797" s="3078"/>
      <c r="Y797" s="3078"/>
      <c r="Z797" s="3043">
        <v>10</v>
      </c>
      <c r="AA797" s="3044"/>
      <c r="AB797" s="3044"/>
      <c r="AC797" s="3044"/>
      <c r="AD797" s="3044"/>
      <c r="AE797" s="3045"/>
      <c r="AF797" s="3080"/>
      <c r="AG797" s="3080"/>
      <c r="AH797" s="3080"/>
      <c r="AI797" s="3080"/>
      <c r="AJ797" s="3080"/>
      <c r="AK797" s="308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9" t="s">
        <v>907</v>
      </c>
      <c r="C798" s="3069"/>
      <c r="D798" s="3069"/>
      <c r="E798" s="3069"/>
      <c r="F798" s="3069"/>
      <c r="G798" s="3069"/>
      <c r="H798" s="3069"/>
      <c r="I798" s="3069"/>
      <c r="J798" s="3069"/>
      <c r="K798" s="3069"/>
      <c r="L798" s="3069"/>
      <c r="M798" s="3069"/>
      <c r="N798" s="3069"/>
      <c r="O798" s="3069"/>
      <c r="P798" s="3069"/>
      <c r="Q798" s="3069"/>
      <c r="R798" s="3069"/>
      <c r="S798" s="3070"/>
      <c r="T798" s="3071">
        <f>AK684</f>
        <v>10</v>
      </c>
      <c r="U798" s="3071"/>
      <c r="V798" s="3071"/>
      <c r="W798" s="3071"/>
      <c r="X798" s="3071"/>
      <c r="Y798" s="3071"/>
      <c r="Z798" s="3081">
        <v>10</v>
      </c>
      <c r="AA798" s="3082"/>
      <c r="AB798" s="3082"/>
      <c r="AC798" s="3082"/>
      <c r="AD798" s="3082"/>
      <c r="AE798" s="3083"/>
      <c r="AF798" s="3075">
        <f>IF(T798&gt;Z798,Z798,T798)</f>
        <v>10</v>
      </c>
      <c r="AG798" s="3075"/>
      <c r="AH798" s="3075"/>
      <c r="AI798" s="3075"/>
      <c r="AJ798" s="3075"/>
      <c r="AK798" s="307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9" t="s">
        <v>1850</v>
      </c>
      <c r="C799" s="3069"/>
      <c r="D799" s="3069"/>
      <c r="E799" s="3069"/>
      <c r="F799" s="3069"/>
      <c r="G799" s="3069"/>
      <c r="H799" s="3069"/>
      <c r="I799" s="3069"/>
      <c r="J799" s="3069"/>
      <c r="K799" s="3069"/>
      <c r="L799" s="3069"/>
      <c r="M799" s="3069"/>
      <c r="N799" s="3069"/>
      <c r="O799" s="3069"/>
      <c r="P799" s="3069"/>
      <c r="Q799" s="3069"/>
      <c r="R799" s="3069"/>
      <c r="S799" s="3070"/>
      <c r="T799" s="3071">
        <f>AK774</f>
        <v>12</v>
      </c>
      <c r="U799" s="3071"/>
      <c r="V799" s="3071"/>
      <c r="W799" s="3071"/>
      <c r="X799" s="3071"/>
      <c r="Y799" s="3071"/>
      <c r="Z799" s="3081">
        <v>12</v>
      </c>
      <c r="AA799" s="3082"/>
      <c r="AB799" s="3082"/>
      <c r="AC799" s="3082"/>
      <c r="AD799" s="3082"/>
      <c r="AE799" s="3083"/>
      <c r="AF799" s="3075">
        <f>IF(T799&gt;Z799,Z799,T799)</f>
        <v>12</v>
      </c>
      <c r="AG799" s="3075"/>
      <c r="AH799" s="3075"/>
      <c r="AI799" s="3075"/>
      <c r="AJ799" s="3075"/>
      <c r="AK799" s="307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6" t="s">
        <v>1875</v>
      </c>
      <c r="B800" s="3069"/>
      <c r="C800" s="3069"/>
      <c r="D800" s="3069"/>
      <c r="E800" s="3069"/>
      <c r="F800" s="3069"/>
      <c r="G800" s="3069"/>
      <c r="H800" s="3069"/>
      <c r="I800" s="3069"/>
      <c r="J800" s="3069"/>
      <c r="K800" s="3069"/>
      <c r="L800" s="3069"/>
      <c r="M800" s="3069"/>
      <c r="N800" s="3069"/>
      <c r="O800" s="3069"/>
      <c r="P800" s="3069"/>
      <c r="Q800" s="3069"/>
      <c r="R800" s="3069"/>
      <c r="S800" s="3070"/>
      <c r="T800" s="3087"/>
      <c r="U800" s="3087"/>
      <c r="V800" s="3087"/>
      <c r="W800" s="3087"/>
      <c r="X800" s="3087"/>
      <c r="Y800" s="3087"/>
      <c r="Z800" s="3079" t="s">
        <v>1876</v>
      </c>
      <c r="AA800" s="3079"/>
      <c r="AB800" s="3079"/>
      <c r="AC800" s="3079"/>
      <c r="AD800" s="3079"/>
      <c r="AE800" s="3079"/>
      <c r="AF800" s="3081">
        <f>IF(T800&gt;0,T800,0)</f>
        <v>0</v>
      </c>
      <c r="AG800" s="3082"/>
      <c r="AH800" s="3082"/>
      <c r="AI800" s="3082"/>
      <c r="AJ800" s="3082"/>
      <c r="AK800" s="308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88" t="s">
        <v>1877</v>
      </c>
      <c r="B801" s="3089"/>
      <c r="C801" s="3089"/>
      <c r="D801" s="3089"/>
      <c r="E801" s="3089"/>
      <c r="F801" s="3089"/>
      <c r="G801" s="3089"/>
      <c r="H801" s="3089"/>
      <c r="I801" s="3089"/>
      <c r="J801" s="3089"/>
      <c r="K801" s="3089"/>
      <c r="L801" s="3089"/>
      <c r="M801" s="3089"/>
      <c r="N801" s="3089"/>
      <c r="O801" s="3089"/>
      <c r="P801" s="3089"/>
      <c r="Q801" s="3089"/>
      <c r="R801" s="3089"/>
      <c r="S801" s="3089"/>
      <c r="T801" s="3089"/>
      <c r="U801" s="3089"/>
      <c r="V801" s="3089"/>
      <c r="W801" s="3089"/>
      <c r="X801" s="3089"/>
      <c r="Y801" s="3089"/>
      <c r="Z801" s="3089"/>
      <c r="AA801" s="3089"/>
      <c r="AB801" s="3089"/>
      <c r="AC801" s="3089"/>
      <c r="AD801" s="3089"/>
      <c r="AE801" s="3090"/>
      <c r="AF801" s="3094">
        <f ca="1">SUM(AF784:AK799)-AF800</f>
        <v>120</v>
      </c>
      <c r="AG801" s="3095"/>
      <c r="AH801" s="3095"/>
      <c r="AI801" s="3095"/>
      <c r="AJ801" s="3095"/>
      <c r="AK801" s="309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91"/>
      <c r="B802" s="3092"/>
      <c r="C802" s="3092"/>
      <c r="D802" s="3092"/>
      <c r="E802" s="3092"/>
      <c r="F802" s="3092"/>
      <c r="G802" s="3092"/>
      <c r="H802" s="3092"/>
      <c r="I802" s="3092"/>
      <c r="J802" s="3092"/>
      <c r="K802" s="3092"/>
      <c r="L802" s="3092"/>
      <c r="M802" s="3092"/>
      <c r="N802" s="3092"/>
      <c r="O802" s="3092"/>
      <c r="P802" s="3092"/>
      <c r="Q802" s="3092"/>
      <c r="R802" s="3092"/>
      <c r="S802" s="3092"/>
      <c r="T802" s="3092"/>
      <c r="U802" s="3092"/>
      <c r="V802" s="3092"/>
      <c r="W802" s="3092"/>
      <c r="X802" s="3092"/>
      <c r="Y802" s="3092"/>
      <c r="Z802" s="3092"/>
      <c r="AA802" s="3092"/>
      <c r="AB802" s="3092"/>
      <c r="AC802" s="3092"/>
      <c r="AD802" s="3092"/>
      <c r="AE802" s="3093"/>
      <c r="AF802" s="3097"/>
      <c r="AG802" s="3098"/>
      <c r="AH802" s="3098"/>
      <c r="AI802" s="3098"/>
      <c r="AJ802" s="3098"/>
      <c r="AK802" s="309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Heaphey</cp:lastModifiedBy>
  <cp:lastPrinted>2021-04-23T23:58:28Z</cp:lastPrinted>
  <dcterms:created xsi:type="dcterms:W3CDTF">2007-12-27T18:26:28Z</dcterms:created>
  <dcterms:modified xsi:type="dcterms:W3CDTF">2021-05-21T16:28:57Z</dcterms:modified>
</cp:coreProperties>
</file>